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SEORC\PESQUISAS DE PREÇOS\2021\00200.006295-2020-23 - Carpete\"/>
    </mc:Choice>
  </mc:AlternateContent>
  <bookViews>
    <workbookView xWindow="-120" yWindow="-120" windowWidth="29040" windowHeight="15840" tabRatio="858" activeTab="3"/>
  </bookViews>
  <sheets>
    <sheet name="Composições" sheetId="5" r:id="rId1"/>
    <sheet name="Comp.Aux1" sheetId="6" r:id="rId2"/>
    <sheet name="Comp.Aux2" sheetId="7" r:id="rId3"/>
    <sheet name="Orçamentária" sheetId="8" r:id="rId4"/>
    <sheet name="BDI" sheetId="9" r:id="rId5"/>
  </sheets>
  <definedNames>
    <definedName name="_xlnm._FilterDatabase" localSheetId="1" hidden="1">'Comp.Aux1'!$A$5:$I$624</definedName>
    <definedName name="_xlnm._FilterDatabase" localSheetId="2" hidden="1">'Comp.Aux2'!$A$5:$I$126</definedName>
    <definedName name="_xlnm._FilterDatabase" localSheetId="0" hidden="1">Composições!$A$5:$J$6202</definedName>
    <definedName name="_xlnm._FilterDatabase" localSheetId="3" hidden="1">Orçamentária!$A$5:$I$2682</definedName>
    <definedName name="_xlnm.Print_Area" localSheetId="1">'Comp.Aux1'!$A$1:$G$605</definedName>
    <definedName name="_xlnm.Print_Area" localSheetId="2">'Comp.Aux2'!$A$1:$G$126</definedName>
    <definedName name="_xlnm.Print_Area" localSheetId="0">Composições!$A$1:$H$4623</definedName>
    <definedName name="_xlnm.Print_Area" localSheetId="3">Orçamentária!$A$1:$I$2684</definedName>
    <definedName name="Arial">#REF!</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52511"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 i="9" l="1"/>
  <c r="A1" i="5"/>
  <c r="A1" i="7" l="1"/>
  <c r="A1" i="6"/>
  <c r="G6046" i="5" l="1"/>
  <c r="D6045" i="5"/>
  <c r="B6045" i="5"/>
  <c r="G6039" i="5"/>
  <c r="D6038" i="5"/>
  <c r="B6038" i="5"/>
  <c r="G6033" i="5"/>
  <c r="G6032" i="5"/>
  <c r="D6032" i="5"/>
  <c r="B6032" i="5"/>
  <c r="G6026" i="5"/>
  <c r="D6025" i="5"/>
  <c r="B6025" i="5"/>
  <c r="F623" i="6"/>
  <c r="D621" i="6"/>
  <c r="D620" i="6"/>
  <c r="F611" i="6"/>
  <c r="G6038" i="5" l="1"/>
  <c r="G6045" i="5"/>
  <c r="G6025" i="5"/>
  <c r="F612" i="6"/>
  <c r="F624" i="6"/>
  <c r="F622" i="6"/>
  <c r="G6017" i="5"/>
  <c r="D6016" i="5"/>
  <c r="B6016" i="5"/>
  <c r="G6001" i="5"/>
  <c r="E6004" i="5"/>
  <c r="D6000" i="5"/>
  <c r="B6000" i="5"/>
  <c r="G6016" i="5" l="1"/>
  <c r="G6000" i="5"/>
  <c r="G6009" i="5"/>
  <c r="G6008" i="5"/>
  <c r="D6008" i="5"/>
  <c r="B6008" i="5"/>
  <c r="G5996" i="5"/>
  <c r="G5995" i="5"/>
  <c r="D5995" i="5"/>
  <c r="B5995" i="5"/>
  <c r="G5991" i="5"/>
  <c r="G5990" i="5"/>
  <c r="D5990" i="5"/>
  <c r="B5990" i="5"/>
  <c r="E5981" i="5"/>
  <c r="E5970" i="5"/>
  <c r="E5964" i="5"/>
  <c r="E5963" i="5"/>
  <c r="G5982" i="5"/>
  <c r="G5973" i="5"/>
  <c r="G5972" i="5"/>
  <c r="D5972" i="5"/>
  <c r="B5972" i="5"/>
  <c r="G5971" i="5"/>
  <c r="G5962" i="5"/>
  <c r="G5961" i="5"/>
  <c r="D5961" i="5"/>
  <c r="B5961" i="5"/>
  <c r="F607" i="6" l="1"/>
  <c r="F610" i="6"/>
  <c r="F606" i="6"/>
  <c r="G5984" i="5" l="1"/>
  <c r="G5983" i="5"/>
  <c r="D5983" i="5"/>
  <c r="B5983" i="5"/>
  <c r="E6181" i="5" l="1"/>
  <c r="E6186" i="5"/>
  <c r="E6185" i="5"/>
  <c r="F126" i="7" l="1"/>
  <c r="F123" i="7"/>
  <c r="F120" i="7"/>
  <c r="F119" i="7"/>
  <c r="D118" i="7"/>
  <c r="D117" i="7"/>
  <c r="F603" i="6"/>
  <c r="F594" i="6"/>
  <c r="F587" i="6"/>
  <c r="F581" i="6"/>
  <c r="F575" i="6"/>
  <c r="F572" i="6"/>
  <c r="F555" i="6"/>
  <c r="F538" i="6"/>
  <c r="F537" i="6"/>
  <c r="F536" i="6"/>
  <c r="F530" i="6"/>
  <c r="F524" i="6"/>
  <c r="F522" i="6"/>
  <c r="D602" i="6"/>
  <c r="D601" i="6"/>
  <c r="D571" i="6"/>
  <c r="D570" i="6"/>
  <c r="D521" i="6"/>
  <c r="D520" i="6"/>
  <c r="G6202" i="5"/>
  <c r="G6198" i="5"/>
  <c r="G6197" i="5"/>
  <c r="D6197" i="5"/>
  <c r="B6197" i="5"/>
  <c r="G6196" i="5"/>
  <c r="G6191" i="5"/>
  <c r="D6190" i="5"/>
  <c r="B6190" i="5"/>
  <c r="G6176" i="5"/>
  <c r="G6175" i="5"/>
  <c r="D6175" i="5"/>
  <c r="B6175" i="5"/>
  <c r="G6162" i="5"/>
  <c r="D6161" i="5"/>
  <c r="B6161" i="5"/>
  <c r="G6157" i="5"/>
  <c r="G6156" i="5"/>
  <c r="D6156" i="5"/>
  <c r="B6156" i="5"/>
  <c r="G6148" i="5"/>
  <c r="G6147" i="5"/>
  <c r="D6147" i="5"/>
  <c r="B6147" i="5"/>
  <c r="G6138" i="5"/>
  <c r="G6137" i="5"/>
  <c r="D6137" i="5"/>
  <c r="B6137" i="5"/>
  <c r="G6114" i="5"/>
  <c r="D6113" i="5"/>
  <c r="B6113" i="5"/>
  <c r="G6103" i="5"/>
  <c r="D6102" i="5"/>
  <c r="B6102" i="5"/>
  <c r="G6094" i="5"/>
  <c r="D6093" i="5"/>
  <c r="B6093" i="5"/>
  <c r="G6086" i="5"/>
  <c r="G6085" i="5"/>
  <c r="D6085" i="5"/>
  <c r="B6085" i="5"/>
  <c r="G6078" i="5"/>
  <c r="D6077" i="5"/>
  <c r="B6077" i="5"/>
  <c r="G6067" i="5"/>
  <c r="D6066" i="5"/>
  <c r="B6066" i="5"/>
  <c r="G6058" i="5"/>
  <c r="D6057" i="5"/>
  <c r="B6057" i="5"/>
  <c r="G6052" i="5"/>
  <c r="G6051" i="5"/>
  <c r="D6051" i="5"/>
  <c r="B6051" i="5"/>
  <c r="E6195" i="5"/>
  <c r="E6194" i="5"/>
  <c r="G6113" i="5" l="1"/>
  <c r="G6161" i="5"/>
  <c r="G6057" i="5"/>
  <c r="F515" i="6"/>
  <c r="F122" i="7"/>
  <c r="F548" i="6"/>
  <c r="F549" i="6"/>
  <c r="F604" i="6"/>
  <c r="F605" i="6"/>
  <c r="F108" i="7"/>
  <c r="F523" i="6"/>
  <c r="F593" i="6"/>
  <c r="F109" i="7"/>
  <c r="F121" i="7"/>
  <c r="F525" i="6"/>
  <c r="F542" i="6"/>
  <c r="F550" i="6"/>
  <c r="G6190" i="5"/>
  <c r="F576" i="6"/>
  <c r="F562" i="6"/>
  <c r="F563" i="6"/>
  <c r="F531" i="6"/>
  <c r="F544" i="6"/>
  <c r="F592" i="6"/>
  <c r="F556" i="6"/>
  <c r="F582" i="6"/>
  <c r="F532" i="6"/>
  <c r="F554" i="6"/>
  <c r="F543" i="6"/>
  <c r="F526" i="6"/>
  <c r="F514" i="6"/>
  <c r="F561" i="6"/>
  <c r="F589" i="6"/>
  <c r="F580" i="6"/>
  <c r="F574" i="6"/>
  <c r="F573" i="6"/>
  <c r="F588" i="6"/>
  <c r="G6093" i="5"/>
  <c r="G6102" i="5"/>
  <c r="G6077" i="5"/>
  <c r="G6066" i="5"/>
  <c r="G5320" i="5" l="1"/>
  <c r="G5315" i="5"/>
  <c r="D5314" i="5"/>
  <c r="B5314" i="5"/>
  <c r="G5314" i="5" l="1"/>
  <c r="D5321" i="5"/>
  <c r="B5321" i="5"/>
  <c r="D5310" i="5"/>
  <c r="B5310" i="5"/>
  <c r="D5304" i="5"/>
  <c r="B5304" i="5"/>
  <c r="D5298" i="5"/>
  <c r="B5298" i="5"/>
  <c r="D5292" i="5"/>
  <c r="B5292" i="5"/>
  <c r="D5285" i="5"/>
  <c r="B5285" i="5"/>
  <c r="D5279" i="5"/>
  <c r="B5279" i="5"/>
  <c r="D5273" i="5"/>
  <c r="B5273" i="5"/>
  <c r="D5261" i="5"/>
  <c r="B5261" i="5"/>
  <c r="D5251" i="5"/>
  <c r="B5251" i="5"/>
  <c r="D5244" i="5"/>
  <c r="B5244" i="5"/>
  <c r="D5236" i="5"/>
  <c r="B5236" i="5"/>
  <c r="D5228" i="5"/>
  <c r="B5228" i="5"/>
  <c r="D5220" i="5"/>
  <c r="B5220" i="5"/>
  <c r="D5214" i="5"/>
  <c r="B5214" i="5"/>
  <c r="D5208" i="5"/>
  <c r="B5208" i="5"/>
  <c r="D5201" i="5"/>
  <c r="B5201" i="5"/>
  <c r="D5195" i="5"/>
  <c r="B5195" i="5"/>
  <c r="D5189" i="5"/>
  <c r="B5189" i="5"/>
  <c r="D5182" i="5"/>
  <c r="B5182" i="5"/>
  <c r="D5175" i="5"/>
  <c r="B5175" i="5"/>
  <c r="D5168" i="5"/>
  <c r="B5168" i="5"/>
  <c r="D5162" i="5"/>
  <c r="B5162" i="5"/>
  <c r="D5156" i="5"/>
  <c r="B5156" i="5"/>
  <c r="D5150" i="5"/>
  <c r="B5150" i="5"/>
  <c r="D5144" i="5"/>
  <c r="B5144" i="5"/>
  <c r="D5138" i="5"/>
  <c r="B5138" i="5"/>
  <c r="F512" i="6"/>
  <c r="F503" i="6"/>
  <c r="F502" i="6"/>
  <c r="F484" i="6"/>
  <c r="F106" i="7"/>
  <c r="F94" i="7"/>
  <c r="D104" i="7"/>
  <c r="D103" i="7"/>
  <c r="D510" i="6"/>
  <c r="D509" i="6"/>
  <c r="G5324" i="5"/>
  <c r="G5322" i="5"/>
  <c r="G5321" i="5"/>
  <c r="G5313" i="5"/>
  <c r="G5311" i="5"/>
  <c r="G5309" i="5"/>
  <c r="G5305" i="5"/>
  <c r="G5304" i="5"/>
  <c r="G5303" i="5"/>
  <c r="G5299" i="5"/>
  <c r="G5297" i="5"/>
  <c r="G5293" i="5"/>
  <c r="G5291" i="5"/>
  <c r="G5286" i="5"/>
  <c r="G5284" i="5"/>
  <c r="G5280" i="5"/>
  <c r="G5279" i="5"/>
  <c r="G5278" i="5"/>
  <c r="G5274" i="5"/>
  <c r="G5273" i="5"/>
  <c r="G5272" i="5"/>
  <c r="G5262" i="5"/>
  <c r="G5260" i="5"/>
  <c r="G5252" i="5"/>
  <c r="G5250" i="5"/>
  <c r="G5245" i="5"/>
  <c r="G5243" i="5"/>
  <c r="G5237" i="5"/>
  <c r="G5235" i="5"/>
  <c r="G5229" i="5"/>
  <c r="G5227" i="5"/>
  <c r="G5221" i="5"/>
  <c r="G5219" i="5"/>
  <c r="G5215" i="5"/>
  <c r="G5214" i="5"/>
  <c r="G5213" i="5"/>
  <c r="G5209" i="5"/>
  <c r="G5208" i="5"/>
  <c r="G5207" i="5"/>
  <c r="G5202" i="5"/>
  <c r="G5201" i="5"/>
  <c r="G5200" i="5"/>
  <c r="G5196" i="5"/>
  <c r="G5194" i="5"/>
  <c r="G5190" i="5"/>
  <c r="G5189" i="5"/>
  <c r="G5188" i="5"/>
  <c r="G5183" i="5"/>
  <c r="G5181" i="5"/>
  <c r="G5176" i="5"/>
  <c r="G5174" i="5"/>
  <c r="G5169" i="5"/>
  <c r="G5167" i="5"/>
  <c r="G5163" i="5"/>
  <c r="G5161" i="5"/>
  <c r="G5157" i="5"/>
  <c r="G5155" i="5"/>
  <c r="G5151" i="5"/>
  <c r="G5149" i="5"/>
  <c r="G5145" i="5"/>
  <c r="G5143" i="5"/>
  <c r="G5139" i="5"/>
  <c r="E5269" i="5"/>
  <c r="E5268" i="5"/>
  <c r="E5267" i="5"/>
  <c r="E5266" i="5"/>
  <c r="E5265" i="5"/>
  <c r="E5264" i="5"/>
  <c r="E5263" i="5"/>
  <c r="E5259" i="5"/>
  <c r="E5258" i="5"/>
  <c r="E5257" i="5"/>
  <c r="E5256" i="5"/>
  <c r="E5255" i="5"/>
  <c r="E5254" i="5"/>
  <c r="E5253" i="5"/>
  <c r="E5249" i="5"/>
  <c r="E5248" i="5"/>
  <c r="E5204" i="5"/>
  <c r="E5203" i="5"/>
  <c r="F95" i="7" l="1"/>
  <c r="F105" i="7"/>
  <c r="F107" i="7"/>
  <c r="F513" i="6"/>
  <c r="F500" i="6"/>
  <c r="F499" i="6"/>
  <c r="F511" i="6"/>
  <c r="F501" i="6"/>
  <c r="F483" i="6"/>
  <c r="G5175" i="5"/>
  <c r="G5228" i="5"/>
  <c r="G5292" i="5"/>
  <c r="G5144" i="5"/>
  <c r="G5251" i="5"/>
  <c r="G5310" i="5"/>
  <c r="G5162" i="5"/>
  <c r="G5150" i="5"/>
  <c r="G5261" i="5"/>
  <c r="G5182" i="5"/>
  <c r="G5236" i="5"/>
  <c r="G5298" i="5"/>
  <c r="G5168" i="5"/>
  <c r="G5220" i="5"/>
  <c r="G5285" i="5"/>
  <c r="G5138" i="5"/>
  <c r="G5244" i="5"/>
  <c r="G5156" i="5"/>
  <c r="G5195" i="5"/>
  <c r="D90" i="7" l="1"/>
  <c r="D89" i="7"/>
  <c r="D67" i="7"/>
  <c r="D66" i="7"/>
  <c r="D54" i="7"/>
  <c r="D53" i="7"/>
  <c r="D31" i="7"/>
  <c r="D32" i="7"/>
  <c r="D479" i="6"/>
  <c r="D478" i="6"/>
  <c r="F92" i="7"/>
  <c r="F72" i="7"/>
  <c r="F481" i="6"/>
  <c r="F467" i="6"/>
  <c r="F448" i="6"/>
  <c r="D446" i="6"/>
  <c r="D445" i="6"/>
  <c r="E2246" i="5"/>
  <c r="E2262" i="5"/>
  <c r="E2272" i="5"/>
  <c r="E2282" i="5"/>
  <c r="E2292" i="5"/>
  <c r="E2302" i="5"/>
  <c r="F91" i="7" l="1"/>
  <c r="F80" i="7"/>
  <c r="F93" i="7"/>
  <c r="F81" i="7"/>
  <c r="F79" i="7"/>
  <c r="F73" i="7"/>
  <c r="F482" i="6"/>
  <c r="F480" i="6"/>
  <c r="F469" i="6"/>
  <c r="F470" i="6"/>
  <c r="F450" i="6"/>
  <c r="F468" i="6"/>
  <c r="F451" i="6"/>
  <c r="F466" i="6"/>
  <c r="F438" i="6"/>
  <c r="F447" i="6"/>
  <c r="F449" i="6"/>
  <c r="F439" i="6"/>
  <c r="E5103" i="5" l="1"/>
  <c r="E5102" i="5"/>
  <c r="E5101" i="5"/>
  <c r="E5100" i="5"/>
  <c r="E5099" i="5"/>
  <c r="E5098" i="5"/>
  <c r="E5097" i="5"/>
  <c r="E5096" i="5"/>
  <c r="E5095" i="5"/>
  <c r="E519" i="5"/>
  <c r="D2723" i="5"/>
  <c r="D5957" i="5"/>
  <c r="D5953" i="5"/>
  <c r="D5949" i="5"/>
  <c r="D5941" i="5"/>
  <c r="D5937" i="5"/>
  <c r="D5933" i="5"/>
  <c r="D5929" i="5"/>
  <c r="D5925" i="5"/>
  <c r="D5921" i="5"/>
  <c r="D5917" i="5"/>
  <c r="D5913" i="5"/>
  <c r="D5909" i="5"/>
  <c r="D5905" i="5"/>
  <c r="D5901" i="5"/>
  <c r="D5897" i="5"/>
  <c r="D5893" i="5"/>
  <c r="D5889" i="5"/>
  <c r="D5885" i="5"/>
  <c r="D5881" i="5"/>
  <c r="D5877" i="5"/>
  <c r="D5873" i="5"/>
  <c r="D5869" i="5"/>
  <c r="D5865" i="5"/>
  <c r="D5861" i="5"/>
  <c r="D5857" i="5"/>
  <c r="D5853" i="5"/>
  <c r="D5849" i="5"/>
  <c r="D5845" i="5"/>
  <c r="D5841" i="5"/>
  <c r="D5837" i="5"/>
  <c r="D5833" i="5"/>
  <c r="D5829" i="5"/>
  <c r="D5825" i="5"/>
  <c r="D5821" i="5"/>
  <c r="D5817" i="5"/>
  <c r="D5813" i="5"/>
  <c r="D5809" i="5"/>
  <c r="D5805" i="5"/>
  <c r="D5801" i="5"/>
  <c r="D5797" i="5"/>
  <c r="D5793" i="5"/>
  <c r="D5789" i="5"/>
  <c r="D5785" i="5"/>
  <c r="D5781" i="5"/>
  <c r="D5777" i="5"/>
  <c r="D5773" i="5"/>
  <c r="D5769" i="5"/>
  <c r="D5765" i="5"/>
  <c r="D5761" i="5"/>
  <c r="D5757" i="5"/>
  <c r="D5753" i="5"/>
  <c r="D5749" i="5"/>
  <c r="D5745" i="5"/>
  <c r="D5741" i="5"/>
  <c r="D5737" i="5"/>
  <c r="D5733" i="5"/>
  <c r="D5729" i="5"/>
  <c r="D5725" i="5"/>
  <c r="D5721" i="5"/>
  <c r="D5717" i="5"/>
  <c r="D5713" i="5"/>
  <c r="D5709" i="5"/>
  <c r="D5705" i="5"/>
  <c r="D5701" i="5"/>
  <c r="D5697" i="5"/>
  <c r="D5693" i="5"/>
  <c r="D5689" i="5"/>
  <c r="D5685" i="5"/>
  <c r="D5681" i="5"/>
  <c r="D5677" i="5"/>
  <c r="D5673" i="5"/>
  <c r="D5669" i="5"/>
  <c r="D5665" i="5"/>
  <c r="D5661" i="5"/>
  <c r="D5657" i="5"/>
  <c r="D5653" i="5"/>
  <c r="D5649" i="5"/>
  <c r="D5645" i="5"/>
  <c r="D5641" i="5"/>
  <c r="D5637" i="5"/>
  <c r="D5633" i="5"/>
  <c r="D5629" i="5"/>
  <c r="D5625" i="5"/>
  <c r="D5621" i="5"/>
  <c r="D5617" i="5"/>
  <c r="D5613" i="5"/>
  <c r="D5609" i="5"/>
  <c r="D5605" i="5"/>
  <c r="D5601" i="5"/>
  <c r="D5597" i="5"/>
  <c r="D5593" i="5"/>
  <c r="D5589" i="5"/>
  <c r="D5585" i="5"/>
  <c r="D5581" i="5"/>
  <c r="D5577" i="5"/>
  <c r="D5573" i="5"/>
  <c r="D5569" i="5"/>
  <c r="D5565" i="5"/>
  <c r="D5561" i="5"/>
  <c r="D5557" i="5"/>
  <c r="D5553" i="5"/>
  <c r="D5549" i="5"/>
  <c r="D5545" i="5"/>
  <c r="D5541" i="5"/>
  <c r="D5537" i="5"/>
  <c r="D5533" i="5"/>
  <c r="D5529" i="5"/>
  <c r="D5525" i="5"/>
  <c r="D5521" i="5"/>
  <c r="D5517" i="5"/>
  <c r="D5513" i="5"/>
  <c r="D5509" i="5"/>
  <c r="D5505" i="5"/>
  <c r="D5501" i="5"/>
  <c r="D5497" i="5"/>
  <c r="D5493" i="5"/>
  <c r="D5489" i="5"/>
  <c r="D5485" i="5"/>
  <c r="D5481" i="5"/>
  <c r="D5477" i="5"/>
  <c r="D5473" i="5"/>
  <c r="D5469" i="5"/>
  <c r="D5465" i="5"/>
  <c r="D5461" i="5"/>
  <c r="D5457" i="5"/>
  <c r="D5453" i="5"/>
  <c r="D5449" i="5"/>
  <c r="D5439" i="5"/>
  <c r="D5433" i="5"/>
  <c r="D5427" i="5"/>
  <c r="D5421" i="5"/>
  <c r="D5415" i="5"/>
  <c r="D5409" i="5"/>
  <c r="D5403" i="5"/>
  <c r="D5397" i="5"/>
  <c r="D5391" i="5"/>
  <c r="D5385" i="5"/>
  <c r="D5379" i="5"/>
  <c r="D5373" i="5"/>
  <c r="D5367" i="5"/>
  <c r="D5361" i="5"/>
  <c r="D5355" i="5"/>
  <c r="D5349" i="5"/>
  <c r="D5343" i="5"/>
  <c r="D5337" i="5"/>
  <c r="D5331" i="5"/>
  <c r="D5325" i="5"/>
  <c r="B5957" i="5"/>
  <c r="B5953" i="5"/>
  <c r="B5949" i="5"/>
  <c r="B5941" i="5"/>
  <c r="B5937" i="5"/>
  <c r="B5933" i="5"/>
  <c r="B5929" i="5"/>
  <c r="B5925" i="5"/>
  <c r="B5921" i="5"/>
  <c r="B5917" i="5"/>
  <c r="B5913" i="5"/>
  <c r="B5909" i="5"/>
  <c r="B5905" i="5"/>
  <c r="B5901" i="5"/>
  <c r="B5897" i="5"/>
  <c r="B5893" i="5"/>
  <c r="B5889" i="5"/>
  <c r="B5885" i="5"/>
  <c r="B5881" i="5"/>
  <c r="B5877" i="5"/>
  <c r="B5873" i="5"/>
  <c r="B5869" i="5"/>
  <c r="B5865" i="5"/>
  <c r="B5861" i="5"/>
  <c r="B5857" i="5"/>
  <c r="B5853" i="5"/>
  <c r="B5849" i="5"/>
  <c r="B5845" i="5"/>
  <c r="B5841" i="5"/>
  <c r="B5837" i="5"/>
  <c r="B5833" i="5"/>
  <c r="B5829" i="5"/>
  <c r="B5825" i="5"/>
  <c r="B5821" i="5"/>
  <c r="B5817" i="5"/>
  <c r="B5813" i="5"/>
  <c r="B5809" i="5"/>
  <c r="B5805" i="5"/>
  <c r="B5801" i="5"/>
  <c r="B5797" i="5"/>
  <c r="B5793" i="5"/>
  <c r="B5789" i="5"/>
  <c r="B5785" i="5"/>
  <c r="B5781" i="5"/>
  <c r="B5777" i="5"/>
  <c r="B5773" i="5"/>
  <c r="B5769" i="5"/>
  <c r="B5765" i="5"/>
  <c r="B5761" i="5"/>
  <c r="B5757" i="5"/>
  <c r="B5753" i="5"/>
  <c r="B5749" i="5"/>
  <c r="B5745" i="5"/>
  <c r="B5741" i="5"/>
  <c r="B5737" i="5"/>
  <c r="B5733" i="5"/>
  <c r="B5729" i="5"/>
  <c r="B5725" i="5"/>
  <c r="B5721" i="5"/>
  <c r="B5717" i="5"/>
  <c r="B5713" i="5"/>
  <c r="B5709" i="5"/>
  <c r="B5705" i="5"/>
  <c r="B5701" i="5"/>
  <c r="B5697" i="5"/>
  <c r="B5693" i="5"/>
  <c r="B5689" i="5"/>
  <c r="B5685" i="5"/>
  <c r="B5681" i="5"/>
  <c r="B5677" i="5"/>
  <c r="B5673" i="5"/>
  <c r="B5669" i="5"/>
  <c r="B5665" i="5"/>
  <c r="B5661" i="5"/>
  <c r="B5657" i="5"/>
  <c r="B5653" i="5"/>
  <c r="B5649" i="5"/>
  <c r="B5641" i="5"/>
  <c r="B5637" i="5"/>
  <c r="B5633" i="5"/>
  <c r="B5629" i="5"/>
  <c r="B5625" i="5"/>
  <c r="B5621" i="5"/>
  <c r="B5617" i="5"/>
  <c r="B5613" i="5"/>
  <c r="B5609" i="5"/>
  <c r="B5605" i="5"/>
  <c r="B5601" i="5"/>
  <c r="B5597" i="5"/>
  <c r="B5593" i="5"/>
  <c r="B5589" i="5"/>
  <c r="B5585" i="5"/>
  <c r="B5581" i="5"/>
  <c r="B5577" i="5"/>
  <c r="B5573" i="5"/>
  <c r="B5569" i="5"/>
  <c r="B5565" i="5"/>
  <c r="B5561" i="5"/>
  <c r="B5557" i="5"/>
  <c r="B5553" i="5"/>
  <c r="B5549" i="5"/>
  <c r="B5545" i="5"/>
  <c r="B5541" i="5"/>
  <c r="B5537" i="5"/>
  <c r="B5533" i="5"/>
  <c r="B5529" i="5"/>
  <c r="B5525" i="5"/>
  <c r="B5521" i="5"/>
  <c r="B5517" i="5"/>
  <c r="B5513" i="5"/>
  <c r="B5509" i="5"/>
  <c r="B5505" i="5"/>
  <c r="B5501" i="5"/>
  <c r="B5497" i="5"/>
  <c r="B5493" i="5"/>
  <c r="B5489" i="5"/>
  <c r="B5485" i="5"/>
  <c r="B5481" i="5"/>
  <c r="B5477" i="5"/>
  <c r="B5473" i="5"/>
  <c r="B5469" i="5"/>
  <c r="B5465" i="5"/>
  <c r="B5453" i="5"/>
  <c r="B5461" i="5"/>
  <c r="B5457" i="5"/>
  <c r="D5445" i="5"/>
  <c r="B5449" i="5"/>
  <c r="B5445" i="5"/>
  <c r="G5960" i="5"/>
  <c r="G5958" i="5"/>
  <c r="G5956" i="5"/>
  <c r="G5954" i="5"/>
  <c r="G5952" i="5"/>
  <c r="G5950" i="5"/>
  <c r="G5942" i="5"/>
  <c r="G5941" i="5"/>
  <c r="G5940" i="5"/>
  <c r="G5938" i="5"/>
  <c r="G5936" i="5"/>
  <c r="G5934" i="5"/>
  <c r="G5932" i="5"/>
  <c r="G5930" i="5"/>
  <c r="G5928" i="5"/>
  <c r="G5926" i="5"/>
  <c r="G5924" i="5"/>
  <c r="G5922" i="5"/>
  <c r="G5920" i="5"/>
  <c r="G5918" i="5"/>
  <c r="G5916" i="5"/>
  <c r="G5914" i="5"/>
  <c r="G5912" i="5"/>
  <c r="G5910" i="5"/>
  <c r="G5908" i="5"/>
  <c r="G5906" i="5"/>
  <c r="G5904" i="5"/>
  <c r="G5902" i="5"/>
  <c r="G5900" i="5"/>
  <c r="G5898" i="5"/>
  <c r="G5897" i="5"/>
  <c r="G5896" i="5"/>
  <c r="G5894" i="5"/>
  <c r="G5892" i="5"/>
  <c r="G5890" i="5"/>
  <c r="G5889" i="5"/>
  <c r="G5888" i="5"/>
  <c r="G5886" i="5"/>
  <c r="G5884" i="5"/>
  <c r="G5882" i="5"/>
  <c r="G5880" i="5"/>
  <c r="G5878" i="5"/>
  <c r="G5876" i="5"/>
  <c r="G5874" i="5"/>
  <c r="G5872" i="5"/>
  <c r="G5870" i="5"/>
  <c r="G5868" i="5"/>
  <c r="G5866" i="5"/>
  <c r="G5864" i="5"/>
  <c r="G5862" i="5"/>
  <c r="G5861" i="5"/>
  <c r="G5860" i="5"/>
  <c r="G5858" i="5"/>
  <c r="G5857" i="5"/>
  <c r="G5856" i="5"/>
  <c r="G5854" i="5"/>
  <c r="G5853" i="5"/>
  <c r="G5852" i="5"/>
  <c r="G5850" i="5"/>
  <c r="G5849" i="5"/>
  <c r="G5848" i="5"/>
  <c r="G5846" i="5"/>
  <c r="G5845" i="5"/>
  <c r="G5844" i="5"/>
  <c r="G5842" i="5"/>
  <c r="G5841" i="5"/>
  <c r="G5840" i="5"/>
  <c r="G5838" i="5"/>
  <c r="G5837" i="5"/>
  <c r="G5836" i="5"/>
  <c r="G5834" i="5"/>
  <c r="G5833" i="5"/>
  <c r="G5832" i="5"/>
  <c r="G5830" i="5"/>
  <c r="G5828" i="5"/>
  <c r="G5826" i="5"/>
  <c r="G5824" i="5"/>
  <c r="G5822" i="5"/>
  <c r="G5820" i="5"/>
  <c r="G5818" i="5"/>
  <c r="G5816" i="5"/>
  <c r="G5814" i="5"/>
  <c r="G5812" i="5"/>
  <c r="G5810" i="5"/>
  <c r="G5808" i="5"/>
  <c r="G5806" i="5"/>
  <c r="G5804" i="5"/>
  <c r="G5802" i="5"/>
  <c r="G5800" i="5"/>
  <c r="G5798" i="5"/>
  <c r="G5796" i="5"/>
  <c r="G5794" i="5"/>
  <c r="G5792" i="5"/>
  <c r="G5790" i="5"/>
  <c r="G5788" i="5"/>
  <c r="G5786" i="5"/>
  <c r="G5784" i="5"/>
  <c r="G5782" i="5"/>
  <c r="G5780" i="5"/>
  <c r="G5778" i="5"/>
  <c r="G5776" i="5"/>
  <c r="G5774" i="5"/>
  <c r="G5772" i="5"/>
  <c r="G5770" i="5"/>
  <c r="G5768" i="5"/>
  <c r="G5766" i="5"/>
  <c r="G5764" i="5"/>
  <c r="G5762" i="5"/>
  <c r="G5760" i="5"/>
  <c r="G5758" i="5"/>
  <c r="G5756" i="5"/>
  <c r="G5754" i="5"/>
  <c r="G5752" i="5"/>
  <c r="G5750" i="5"/>
  <c r="G5748" i="5"/>
  <c r="G5746" i="5"/>
  <c r="G5744" i="5"/>
  <c r="G5742" i="5"/>
  <c r="G5740" i="5"/>
  <c r="G5738" i="5"/>
  <c r="G5736" i="5"/>
  <c r="G5734" i="5"/>
  <c r="G5732" i="5"/>
  <c r="G5730" i="5"/>
  <c r="G5728" i="5"/>
  <c r="G5726" i="5"/>
  <c r="G5724" i="5"/>
  <c r="G5722" i="5"/>
  <c r="G5720" i="5"/>
  <c r="G5718" i="5"/>
  <c r="G5716" i="5"/>
  <c r="G5714" i="5"/>
  <c r="G5712" i="5"/>
  <c r="G5710" i="5"/>
  <c r="G5708" i="5"/>
  <c r="G5706" i="5"/>
  <c r="G5704" i="5"/>
  <c r="G5702" i="5"/>
  <c r="G5700" i="5"/>
  <c r="G5698" i="5"/>
  <c r="G5696" i="5"/>
  <c r="G5694" i="5"/>
  <c r="G5692" i="5"/>
  <c r="G5690" i="5"/>
  <c r="G5688" i="5"/>
  <c r="G5686" i="5"/>
  <c r="G5684" i="5"/>
  <c r="G5682" i="5"/>
  <c r="G5680" i="5"/>
  <c r="G5678" i="5"/>
  <c r="G5676" i="5"/>
  <c r="G5674" i="5"/>
  <c r="G5672" i="5"/>
  <c r="G5670" i="5"/>
  <c r="G5668" i="5"/>
  <c r="G5666" i="5"/>
  <c r="G5664" i="5"/>
  <c r="G5662" i="5"/>
  <c r="G5660" i="5"/>
  <c r="G5658" i="5"/>
  <c r="G5656" i="5"/>
  <c r="G5654" i="5"/>
  <c r="G5652" i="5"/>
  <c r="G5650" i="5"/>
  <c r="G5648" i="5"/>
  <c r="G5646" i="5"/>
  <c r="B5645" i="5"/>
  <c r="G5644" i="5"/>
  <c r="G5642" i="5"/>
  <c r="G5640" i="5"/>
  <c r="G5638" i="5"/>
  <c r="G5636" i="5"/>
  <c r="G5634" i="5"/>
  <c r="G5632" i="5"/>
  <c r="G5630" i="5"/>
  <c r="G5628" i="5"/>
  <c r="G5626" i="5"/>
  <c r="G5624" i="5"/>
  <c r="G5622" i="5"/>
  <c r="G5620" i="5"/>
  <c r="G5618" i="5"/>
  <c r="G5616" i="5"/>
  <c r="G5614" i="5"/>
  <c r="G5612" i="5"/>
  <c r="G5610" i="5"/>
  <c r="G5608" i="5"/>
  <c r="G5606" i="5"/>
  <c r="G5604" i="5"/>
  <c r="G5602" i="5"/>
  <c r="G5600" i="5"/>
  <c r="G5598" i="5"/>
  <c r="G5596" i="5"/>
  <c r="G5594" i="5"/>
  <c r="G5592" i="5"/>
  <c r="G5590" i="5"/>
  <c r="G5588" i="5"/>
  <c r="G5586" i="5"/>
  <c r="G5584" i="5"/>
  <c r="G5582" i="5"/>
  <c r="G5580" i="5"/>
  <c r="G5578" i="5"/>
  <c r="G5576" i="5"/>
  <c r="G5574" i="5"/>
  <c r="G5573" i="5"/>
  <c r="G5572" i="5"/>
  <c r="G5570" i="5"/>
  <c r="G5569" i="5"/>
  <c r="G5568" i="5"/>
  <c r="G5566" i="5"/>
  <c r="G5565" i="5"/>
  <c r="G5564" i="5"/>
  <c r="G5562" i="5"/>
  <c r="G5561" i="5"/>
  <c r="G5560" i="5"/>
  <c r="G5558" i="5"/>
  <c r="G5557" i="5"/>
  <c r="G5556" i="5"/>
  <c r="G5554" i="5"/>
  <c r="G5553" i="5"/>
  <c r="G5552" i="5"/>
  <c r="G5550" i="5"/>
  <c r="G5549" i="5"/>
  <c r="G5548" i="5"/>
  <c r="G5546" i="5"/>
  <c r="G5545" i="5"/>
  <c r="G5544" i="5"/>
  <c r="G5542" i="5"/>
  <c r="G5540" i="5"/>
  <c r="G5538" i="5"/>
  <c r="G5536" i="5"/>
  <c r="G5534" i="5"/>
  <c r="G5532" i="5"/>
  <c r="G5530" i="5"/>
  <c r="G5528" i="5"/>
  <c r="G5526" i="5"/>
  <c r="G5524" i="5"/>
  <c r="G5522" i="5"/>
  <c r="G5520" i="5"/>
  <c r="G5518" i="5"/>
  <c r="G5516" i="5"/>
  <c r="G5514" i="5"/>
  <c r="G5512" i="5"/>
  <c r="G5510" i="5"/>
  <c r="G5508" i="5"/>
  <c r="G5506" i="5"/>
  <c r="G5504" i="5"/>
  <c r="G5502" i="5"/>
  <c r="G5500" i="5"/>
  <c r="G5498" i="5"/>
  <c r="G5496" i="5"/>
  <c r="G5494" i="5"/>
  <c r="G5492" i="5"/>
  <c r="G5490" i="5"/>
  <c r="G5488" i="5"/>
  <c r="G5486" i="5"/>
  <c r="G5484" i="5"/>
  <c r="G5482" i="5"/>
  <c r="G5480" i="5"/>
  <c r="G5478" i="5"/>
  <c r="G5476" i="5"/>
  <c r="G5474" i="5"/>
  <c r="G5472" i="5"/>
  <c r="G5470" i="5"/>
  <c r="G5468" i="5"/>
  <c r="G5466" i="5"/>
  <c r="G5464" i="5"/>
  <c r="G5462" i="5"/>
  <c r="G5460" i="5"/>
  <c r="G5458" i="5"/>
  <c r="G5456" i="5"/>
  <c r="G5454" i="5"/>
  <c r="G5452" i="5"/>
  <c r="G5450" i="5"/>
  <c r="G5448" i="5"/>
  <c r="G5446" i="5"/>
  <c r="G5444" i="5"/>
  <c r="G5443" i="5"/>
  <c r="G5442" i="5"/>
  <c r="G5440" i="5"/>
  <c r="B5439" i="5"/>
  <c r="G5438" i="5"/>
  <c r="G5437" i="5"/>
  <c r="G5436" i="5"/>
  <c r="G5434" i="5"/>
  <c r="B5433" i="5"/>
  <c r="G5432" i="5"/>
  <c r="G5431" i="5"/>
  <c r="G5430" i="5"/>
  <c r="G5428" i="5"/>
  <c r="B5427" i="5"/>
  <c r="G5426" i="5"/>
  <c r="G5425" i="5"/>
  <c r="G5424" i="5"/>
  <c r="G5422" i="5"/>
  <c r="B5421" i="5"/>
  <c r="G5420" i="5"/>
  <c r="G5419" i="5"/>
  <c r="G5418" i="5"/>
  <c r="G5416" i="5"/>
  <c r="B5415" i="5"/>
  <c r="G5414" i="5"/>
  <c r="G5413" i="5"/>
  <c r="G5412" i="5"/>
  <c r="G5410" i="5"/>
  <c r="B5409" i="5"/>
  <c r="G5408" i="5"/>
  <c r="G5407" i="5"/>
  <c r="G5406" i="5"/>
  <c r="G5404" i="5"/>
  <c r="B5403" i="5"/>
  <c r="G5402" i="5"/>
  <c r="G5401" i="5"/>
  <c r="G5400" i="5"/>
  <c r="G5398" i="5"/>
  <c r="B5397" i="5"/>
  <c r="G5396" i="5"/>
  <c r="G5395" i="5"/>
  <c r="G5394" i="5"/>
  <c r="G5392" i="5"/>
  <c r="B5391" i="5"/>
  <c r="G5390" i="5"/>
  <c r="G5389" i="5"/>
  <c r="G5388" i="5"/>
  <c r="G5386" i="5"/>
  <c r="B5385" i="5"/>
  <c r="G5384" i="5"/>
  <c r="G5383" i="5"/>
  <c r="G5382" i="5"/>
  <c r="G5380" i="5"/>
  <c r="B5379" i="5"/>
  <c r="G5378" i="5"/>
  <c r="G5377" i="5"/>
  <c r="G5376" i="5"/>
  <c r="G5374" i="5"/>
  <c r="B5373" i="5"/>
  <c r="G5372" i="5"/>
  <c r="G5371" i="5"/>
  <c r="G5370" i="5"/>
  <c r="G5368" i="5"/>
  <c r="B5367" i="5"/>
  <c r="G5366" i="5"/>
  <c r="G5365" i="5"/>
  <c r="G5364" i="5"/>
  <c r="G5362" i="5"/>
  <c r="B5361" i="5"/>
  <c r="G5360" i="5"/>
  <c r="G5359" i="5"/>
  <c r="G5358" i="5"/>
  <c r="G5356" i="5"/>
  <c r="B5355" i="5"/>
  <c r="G5354" i="5"/>
  <c r="G5353" i="5"/>
  <c r="G5352" i="5"/>
  <c r="G5350" i="5"/>
  <c r="B5349" i="5"/>
  <c r="G5348" i="5"/>
  <c r="G5347" i="5"/>
  <c r="G5346" i="5"/>
  <c r="G5344" i="5"/>
  <c r="B5343" i="5"/>
  <c r="G5342" i="5"/>
  <c r="G5341" i="5"/>
  <c r="G5340" i="5"/>
  <c r="G5338" i="5"/>
  <c r="B5337" i="5"/>
  <c r="G5336" i="5"/>
  <c r="G5335" i="5"/>
  <c r="G5334" i="5"/>
  <c r="G5332" i="5"/>
  <c r="B5331" i="5"/>
  <c r="G5330" i="5"/>
  <c r="G5329" i="5"/>
  <c r="G5328" i="5"/>
  <c r="G5326" i="5"/>
  <c r="B5325" i="5"/>
  <c r="G2726" i="5"/>
  <c r="G2724" i="5"/>
  <c r="B2723" i="5"/>
  <c r="G2718" i="5"/>
  <c r="G2716" i="5"/>
  <c r="D2715" i="5"/>
  <c r="B2715" i="5"/>
  <c r="E5441" i="5"/>
  <c r="E5435" i="5"/>
  <c r="E5429" i="5"/>
  <c r="E5423" i="5"/>
  <c r="E5417" i="5"/>
  <c r="E5411" i="5"/>
  <c r="E5405" i="5"/>
  <c r="E5399" i="5"/>
  <c r="E5393" i="5"/>
  <c r="E5387" i="5"/>
  <c r="E5381" i="5"/>
  <c r="E5375" i="5"/>
  <c r="E5369" i="5"/>
  <c r="E5363" i="5"/>
  <c r="E5357" i="5"/>
  <c r="E5351" i="5"/>
  <c r="E5345" i="5"/>
  <c r="E5339" i="5"/>
  <c r="E5333" i="5"/>
  <c r="E5327" i="5"/>
  <c r="G5501" i="5" l="1"/>
  <c r="G5473" i="5"/>
  <c r="G5505" i="5"/>
  <c r="G5533" i="5"/>
  <c r="G5453" i="5"/>
  <c r="G5485" i="5"/>
  <c r="G5517" i="5"/>
  <c r="G5509" i="5"/>
  <c r="G5541" i="5"/>
  <c r="G5497" i="5"/>
  <c r="G5477" i="5"/>
  <c r="G5325" i="5"/>
  <c r="G5373" i="5"/>
  <c r="G5397" i="5"/>
  <c r="G5457" i="5"/>
  <c r="G5489" i="5"/>
  <c r="G5521" i="5"/>
  <c r="G5481" i="5"/>
  <c r="G5513" i="5"/>
  <c r="G5529" i="5"/>
  <c r="G5469" i="5"/>
  <c r="G5461" i="5"/>
  <c r="G5493" i="5"/>
  <c r="G5525" i="5"/>
  <c r="G5593" i="5"/>
  <c r="G5597" i="5"/>
  <c r="G5865" i="5"/>
  <c r="G5877" i="5"/>
  <c r="G5881" i="5"/>
  <c r="G5893" i="5"/>
  <c r="G5901" i="5"/>
  <c r="G5905" i="5"/>
  <c r="G5909" i="5"/>
  <c r="G5929" i="5"/>
  <c r="G5933" i="5"/>
  <c r="G5937" i="5"/>
  <c r="G5949" i="5"/>
  <c r="G5957" i="5"/>
  <c r="G2715" i="5"/>
  <c r="G5355" i="5"/>
  <c r="G5379" i="5"/>
  <c r="G5403" i="5"/>
  <c r="G5625" i="5"/>
  <c r="G5773" i="5"/>
  <c r="G5805" i="5"/>
  <c r="G5637" i="5"/>
  <c r="G5657" i="5"/>
  <c r="G5701" i="5"/>
  <c r="G5733" i="5"/>
  <c r="G5765" i="5"/>
  <c r="G5797" i="5"/>
  <c r="G5681" i="5"/>
  <c r="G5713" i="5"/>
  <c r="G5745" i="5"/>
  <c r="G5777" i="5"/>
  <c r="G5809" i="5"/>
  <c r="G5609" i="5"/>
  <c r="G5661" i="5"/>
  <c r="G5757" i="5"/>
  <c r="G5789" i="5"/>
  <c r="G5821" i="5"/>
  <c r="G5673" i="5"/>
  <c r="G5705" i="5"/>
  <c r="G5769" i="5"/>
  <c r="G5693" i="5"/>
  <c r="G2723" i="5"/>
  <c r="G5361" i="5"/>
  <c r="G5385" i="5"/>
  <c r="G5409" i="5"/>
  <c r="G5433" i="5"/>
  <c r="G5601" i="5"/>
  <c r="G5633" i="5"/>
  <c r="G5685" i="5"/>
  <c r="G5717" i="5"/>
  <c r="G5781" i="5"/>
  <c r="G5813" i="5"/>
  <c r="G5613" i="5"/>
  <c r="G5665" i="5"/>
  <c r="G5761" i="5"/>
  <c r="G5793" i="5"/>
  <c r="G5825" i="5"/>
  <c r="G5605" i="5"/>
  <c r="G5689" i="5"/>
  <c r="G5753" i="5"/>
  <c r="G5785" i="5"/>
  <c r="G5817" i="5"/>
  <c r="G5913" i="5"/>
  <c r="G5829" i="5"/>
  <c r="G5953" i="5"/>
  <c r="G5749" i="5"/>
  <c r="G5921" i="5"/>
  <c r="G5873" i="5"/>
  <c r="G5885" i="5"/>
  <c r="G5869" i="5"/>
  <c r="G5917" i="5"/>
  <c r="G5721" i="5"/>
  <c r="G5925" i="5"/>
  <c r="G5725" i="5"/>
  <c r="G5581" i="5"/>
  <c r="G5697" i="5"/>
  <c r="G5801" i="5"/>
  <c r="G5649" i="5"/>
  <c r="G5645" i="5"/>
  <c r="G5653" i="5"/>
  <c r="G5677" i="5"/>
  <c r="G5617" i="5"/>
  <c r="G5669" i="5"/>
  <c r="G5641" i="5"/>
  <c r="G5709" i="5"/>
  <c r="G5741" i="5"/>
  <c r="G5737" i="5"/>
  <c r="G5621" i="5"/>
  <c r="G5585" i="5"/>
  <c r="G5729" i="5"/>
  <c r="G5629" i="5"/>
  <c r="G5589" i="5"/>
  <c r="G5537" i="5"/>
  <c r="G5427" i="5"/>
  <c r="G5391" i="5"/>
  <c r="G5439" i="5"/>
  <c r="G5449" i="5"/>
  <c r="G5445" i="5"/>
  <c r="G5465" i="5"/>
  <c r="G5415" i="5"/>
  <c r="G5343" i="5"/>
  <c r="G5577" i="5"/>
  <c r="G5349" i="5"/>
  <c r="G5337" i="5"/>
  <c r="G5367" i="5"/>
  <c r="G5421" i="5"/>
  <c r="G5331" i="5"/>
  <c r="D2719" i="5"/>
  <c r="G2720" i="5"/>
  <c r="G2719" i="5"/>
  <c r="G2722" i="5"/>
  <c r="B2719" i="5"/>
  <c r="D4326" i="5" l="1"/>
  <c r="D4338" i="5"/>
  <c r="G2454" i="5" l="1"/>
  <c r="G2452" i="5"/>
  <c r="G2451" i="5"/>
  <c r="D2451" i="5"/>
  <c r="B2451" i="5"/>
  <c r="G2450" i="5"/>
  <c r="G2448" i="5"/>
  <c r="G2447" i="5"/>
  <c r="D2447" i="5"/>
  <c r="B2447" i="5"/>
  <c r="G2654" i="5" l="1"/>
  <c r="G2652" i="5"/>
  <c r="G2651" i="5"/>
  <c r="D2651" i="5"/>
  <c r="B2651" i="5"/>
  <c r="G2646" i="5"/>
  <c r="G2644" i="5"/>
  <c r="G2643" i="5"/>
  <c r="D2643" i="5"/>
  <c r="B2643" i="5"/>
  <c r="D2547" i="5"/>
  <c r="G2554" i="5" l="1"/>
  <c r="G2552" i="5"/>
  <c r="G2551" i="5"/>
  <c r="D2551" i="5"/>
  <c r="B2551" i="5"/>
  <c r="G2550" i="5"/>
  <c r="G2548" i="5"/>
  <c r="B2547" i="5"/>
  <c r="G2546" i="5"/>
  <c r="G2544" i="5"/>
  <c r="D2543" i="5"/>
  <c r="B2543" i="5"/>
  <c r="G2542" i="5"/>
  <c r="G2540" i="5"/>
  <c r="G2539" i="5"/>
  <c r="D2539" i="5"/>
  <c r="B2539" i="5"/>
  <c r="G2538" i="5"/>
  <c r="G2536" i="5"/>
  <c r="D2535" i="5"/>
  <c r="B2535" i="5"/>
  <c r="G2534" i="5"/>
  <c r="G2532" i="5"/>
  <c r="G2531" i="5"/>
  <c r="D2531" i="5"/>
  <c r="B2531" i="5"/>
  <c r="G2530" i="5"/>
  <c r="G2528" i="5"/>
  <c r="G2527" i="5"/>
  <c r="D2527" i="5"/>
  <c r="B2527" i="5"/>
  <c r="G2526" i="5"/>
  <c r="G2524" i="5"/>
  <c r="D2523" i="5"/>
  <c r="B2523" i="5"/>
  <c r="G2522" i="5"/>
  <c r="G2520" i="5"/>
  <c r="G2519" i="5"/>
  <c r="D2519" i="5"/>
  <c r="B2519" i="5"/>
  <c r="G2518" i="5"/>
  <c r="G2516" i="5"/>
  <c r="G2515" i="5"/>
  <c r="D2515" i="5"/>
  <c r="B2515" i="5"/>
  <c r="G2514" i="5"/>
  <c r="G2512" i="5"/>
  <c r="G2511" i="5"/>
  <c r="D2511" i="5"/>
  <c r="B2511" i="5"/>
  <c r="G2510" i="5"/>
  <c r="G2508" i="5"/>
  <c r="G2507" i="5"/>
  <c r="D2507" i="5"/>
  <c r="B2507" i="5"/>
  <c r="G2506" i="5"/>
  <c r="G2504" i="5"/>
  <c r="G2503" i="5"/>
  <c r="D2503" i="5"/>
  <c r="B2503" i="5"/>
  <c r="G2502" i="5"/>
  <c r="G2500" i="5"/>
  <c r="G2499" i="5"/>
  <c r="D2499" i="5"/>
  <c r="B2499" i="5"/>
  <c r="G2498" i="5"/>
  <c r="G2496" i="5"/>
  <c r="G2495" i="5"/>
  <c r="D2495" i="5"/>
  <c r="B2495" i="5"/>
  <c r="G2494" i="5"/>
  <c r="G2492" i="5"/>
  <c r="D2491" i="5"/>
  <c r="B2491" i="5"/>
  <c r="G2490" i="5"/>
  <c r="G2488" i="5"/>
  <c r="G2487" i="5"/>
  <c r="D2487" i="5"/>
  <c r="B2487" i="5"/>
  <c r="G2486" i="5"/>
  <c r="G2484" i="5"/>
  <c r="D2483" i="5"/>
  <c r="B2483" i="5"/>
  <c r="G2482" i="5"/>
  <c r="G2480" i="5"/>
  <c r="G2479" i="5"/>
  <c r="D2479" i="5"/>
  <c r="B2479" i="5"/>
  <c r="G2478" i="5"/>
  <c r="G2476" i="5"/>
  <c r="G2475" i="5"/>
  <c r="D2475" i="5"/>
  <c r="B2475" i="5"/>
  <c r="G2474" i="5"/>
  <c r="G2472" i="5"/>
  <c r="D2471" i="5"/>
  <c r="B2471" i="5"/>
  <c r="G2470" i="5"/>
  <c r="G2468" i="5"/>
  <c r="G2467" i="5"/>
  <c r="D2467" i="5"/>
  <c r="B2467" i="5"/>
  <c r="G2466" i="5"/>
  <c r="G2464" i="5"/>
  <c r="G2463" i="5"/>
  <c r="D2463" i="5"/>
  <c r="B2463" i="5"/>
  <c r="G2462" i="5"/>
  <c r="G2460" i="5"/>
  <c r="G2459" i="5"/>
  <c r="D2459" i="5"/>
  <c r="B2459" i="5"/>
  <c r="E2457" i="5"/>
  <c r="G2458" i="5"/>
  <c r="G2456" i="5"/>
  <c r="G2455" i="5"/>
  <c r="D2455" i="5"/>
  <c r="B2455" i="5"/>
  <c r="G2446" i="5"/>
  <c r="G2444" i="5"/>
  <c r="G2443" i="5"/>
  <c r="D2443" i="5"/>
  <c r="B2443" i="5"/>
  <c r="G2442" i="5"/>
  <c r="G2440" i="5"/>
  <c r="G2439" i="5"/>
  <c r="D2439" i="5"/>
  <c r="B2439" i="5"/>
  <c r="G2434" i="5"/>
  <c r="G2432" i="5"/>
  <c r="G2431" i="5"/>
  <c r="D2431" i="5"/>
  <c r="B2431" i="5"/>
  <c r="G2430" i="5"/>
  <c r="G2428" i="5"/>
  <c r="G2427" i="5"/>
  <c r="D2427" i="5"/>
  <c r="B2427" i="5"/>
  <c r="G2426" i="5"/>
  <c r="G2424" i="5"/>
  <c r="D2423" i="5"/>
  <c r="B2423" i="5"/>
  <c r="G2422" i="5"/>
  <c r="G2420" i="5"/>
  <c r="G2419" i="5"/>
  <c r="D2419" i="5"/>
  <c r="B2419" i="5"/>
  <c r="G2418" i="5"/>
  <c r="G2416" i="5"/>
  <c r="G2415" i="5"/>
  <c r="D2415" i="5"/>
  <c r="B2415" i="5"/>
  <c r="G2414" i="5"/>
  <c r="G2412" i="5"/>
  <c r="D2411" i="5"/>
  <c r="B2411" i="5"/>
  <c r="G2406" i="5"/>
  <c r="G2404" i="5"/>
  <c r="G2403" i="5"/>
  <c r="D2403" i="5"/>
  <c r="B2403" i="5"/>
  <c r="G2402" i="5"/>
  <c r="G2400" i="5"/>
  <c r="G2399" i="5"/>
  <c r="D2399" i="5"/>
  <c r="B2399" i="5"/>
  <c r="G2547" i="5" l="1"/>
  <c r="G2543" i="5"/>
  <c r="G2535" i="5"/>
  <c r="G2523" i="5"/>
  <c r="G2483" i="5"/>
  <c r="G2491" i="5"/>
  <c r="G2471" i="5"/>
  <c r="G2423" i="5"/>
  <c r="G2411" i="5"/>
  <c r="D5132" i="5"/>
  <c r="D5126" i="5"/>
  <c r="B5132" i="5" l="1"/>
  <c r="G5137" i="5"/>
  <c r="G5133" i="5"/>
  <c r="G5131" i="5"/>
  <c r="G5127" i="5"/>
  <c r="B5126" i="5"/>
  <c r="G5132" i="5" l="1"/>
  <c r="G5126" i="5"/>
  <c r="D5105" i="5" l="1"/>
  <c r="G5112" i="5" l="1"/>
  <c r="G5106" i="5"/>
  <c r="G5105" i="5"/>
  <c r="B5105" i="5"/>
  <c r="D434" i="6"/>
  <c r="D433" i="6"/>
  <c r="F436" i="6"/>
  <c r="F427" i="6"/>
  <c r="F437" i="6" l="1"/>
  <c r="F428" i="6"/>
  <c r="F435" i="6"/>
  <c r="E4084" i="5"/>
  <c r="D345" i="6" l="1"/>
  <c r="D423" i="6"/>
  <c r="D422" i="6"/>
  <c r="D410" i="6"/>
  <c r="D411" i="6"/>
  <c r="F416" i="6" l="1"/>
  <c r="F426" i="6" l="1"/>
  <c r="F424" i="6"/>
  <c r="F415" i="6"/>
  <c r="F425" i="6"/>
  <c r="E721" i="5" l="1"/>
  <c r="E720" i="5"/>
  <c r="E719" i="5"/>
  <c r="E718" i="5"/>
  <c r="E717" i="5"/>
  <c r="E716" i="5"/>
  <c r="E467" i="5" l="1"/>
  <c r="E457" i="5"/>
  <c r="F404" i="6"/>
  <c r="F402" i="6"/>
  <c r="F393" i="6"/>
  <c r="F373" i="6"/>
  <c r="F372" i="6"/>
  <c r="F364" i="6"/>
  <c r="F60" i="7"/>
  <c r="F46" i="7"/>
  <c r="F37" i="7"/>
  <c r="F36" i="7"/>
  <c r="G5125" i="5"/>
  <c r="G5120" i="5"/>
  <c r="D5119" i="5"/>
  <c r="B5119" i="5"/>
  <c r="G5118" i="5"/>
  <c r="G5114" i="5"/>
  <c r="D5113" i="5"/>
  <c r="B5113" i="5"/>
  <c r="G5104" i="5"/>
  <c r="G5094" i="5"/>
  <c r="D5093" i="5"/>
  <c r="B5093" i="5"/>
  <c r="G5113" i="5" l="1"/>
  <c r="G5119" i="5"/>
  <c r="G5093" i="5"/>
  <c r="F412" i="6"/>
  <c r="F414" i="6"/>
  <c r="F413" i="6"/>
  <c r="F394" i="6"/>
  <c r="F403" i="6"/>
  <c r="F392" i="6"/>
  <c r="F70" i="7"/>
  <c r="F384" i="6"/>
  <c r="F385" i="6"/>
  <c r="F68" i="7"/>
  <c r="F69" i="7"/>
  <c r="F59" i="7"/>
  <c r="F71" i="7"/>
  <c r="F379" i="6"/>
  <c r="F378" i="6"/>
  <c r="F55" i="7"/>
  <c r="F57" i="7"/>
  <c r="F56" i="7"/>
  <c r="F58" i="7"/>
  <c r="F47" i="7"/>
  <c r="F45" i="7"/>
  <c r="F371" i="6"/>
  <c r="F365" i="6"/>
  <c r="G5092" i="5"/>
  <c r="G5087" i="5"/>
  <c r="D5086" i="5"/>
  <c r="B5086" i="5"/>
  <c r="G5085" i="5"/>
  <c r="G5081" i="5"/>
  <c r="D5080" i="5"/>
  <c r="B5080" i="5"/>
  <c r="G5079" i="5"/>
  <c r="G5075" i="5"/>
  <c r="D5074" i="5"/>
  <c r="B5074" i="5"/>
  <c r="G5073" i="5"/>
  <c r="G5068" i="5"/>
  <c r="D5067" i="5"/>
  <c r="B5067" i="5"/>
  <c r="G5066" i="5"/>
  <c r="G5061" i="5"/>
  <c r="D5060" i="5"/>
  <c r="B5060" i="5"/>
  <c r="E5054" i="5"/>
  <c r="E5057" i="5"/>
  <c r="G5059" i="5"/>
  <c r="G5051" i="5"/>
  <c r="D5050" i="5"/>
  <c r="B5050" i="5"/>
  <c r="E5047" i="5"/>
  <c r="E5044" i="5"/>
  <c r="G5049" i="5"/>
  <c r="G5041" i="5"/>
  <c r="D5040" i="5"/>
  <c r="B5040" i="5"/>
  <c r="G5086" i="5" l="1"/>
  <c r="G5050" i="5"/>
  <c r="G5060" i="5"/>
  <c r="G5067" i="5"/>
  <c r="G5074" i="5"/>
  <c r="G5080" i="5"/>
  <c r="G5040" i="5"/>
  <c r="E5038" i="5"/>
  <c r="E5037" i="5"/>
  <c r="E5036" i="5"/>
  <c r="E5034" i="5"/>
  <c r="G5039" i="5"/>
  <c r="G5033" i="5"/>
  <c r="D5032" i="5"/>
  <c r="B5032" i="5"/>
  <c r="G5032" i="5" l="1"/>
  <c r="E5030" i="5"/>
  <c r="E5029" i="5"/>
  <c r="E5028" i="5"/>
  <c r="E5026" i="5"/>
  <c r="G5031" i="5" l="1"/>
  <c r="G5025" i="5"/>
  <c r="D5024" i="5"/>
  <c r="B5024" i="5"/>
  <c r="G5023" i="5"/>
  <c r="G5017" i="5"/>
  <c r="D5016" i="5"/>
  <c r="B5016" i="5"/>
  <c r="G5024" i="5" l="1"/>
  <c r="G5016" i="5"/>
  <c r="E5014" i="5"/>
  <c r="E5013" i="5"/>
  <c r="G5015" i="5"/>
  <c r="G5011" i="5"/>
  <c r="D5010" i="5"/>
  <c r="B5010" i="5"/>
  <c r="E5008" i="5"/>
  <c r="E5007" i="5"/>
  <c r="E5006" i="5"/>
  <c r="E5004" i="5"/>
  <c r="G5009" i="5"/>
  <c r="G5003" i="5"/>
  <c r="D5002" i="5"/>
  <c r="B5002" i="5"/>
  <c r="E4994" i="5"/>
  <c r="E4993" i="5"/>
  <c r="E4992" i="5"/>
  <c r="E4990" i="5"/>
  <c r="E4986" i="5"/>
  <c r="E4985" i="5"/>
  <c r="E4984" i="5"/>
  <c r="E4982" i="5"/>
  <c r="E4978" i="5"/>
  <c r="E4977" i="5"/>
  <c r="E4976" i="5"/>
  <c r="E4974" i="5"/>
  <c r="E4970" i="5"/>
  <c r="E4969" i="5"/>
  <c r="E4968" i="5"/>
  <c r="E4966" i="5"/>
  <c r="G5001" i="5"/>
  <c r="G4997" i="5"/>
  <c r="D4996" i="5"/>
  <c r="B4996" i="5"/>
  <c r="G4995" i="5"/>
  <c r="G4989" i="5"/>
  <c r="D4988" i="5"/>
  <c r="B4988" i="5"/>
  <c r="G4987" i="5"/>
  <c r="G4981" i="5"/>
  <c r="D4980" i="5"/>
  <c r="B4980" i="5"/>
  <c r="G4979" i="5"/>
  <c r="G4973" i="5"/>
  <c r="D4972" i="5"/>
  <c r="B4972" i="5"/>
  <c r="G4971" i="5"/>
  <c r="G4965" i="5"/>
  <c r="D4964" i="5"/>
  <c r="B4964" i="5"/>
  <c r="G4963" i="5"/>
  <c r="G4959" i="5"/>
  <c r="D4958" i="5"/>
  <c r="B4958" i="5"/>
  <c r="G4958" i="5" l="1"/>
  <c r="G4964" i="5"/>
  <c r="G4980" i="5"/>
  <c r="G4988" i="5"/>
  <c r="G4996" i="5"/>
  <c r="G5002" i="5"/>
  <c r="G4972" i="5"/>
  <c r="G5010" i="5"/>
  <c r="E4950" i="5"/>
  <c r="E4952" i="5"/>
  <c r="E4951" i="5"/>
  <c r="E4949" i="5"/>
  <c r="G4957" i="5"/>
  <c r="G4948" i="5"/>
  <c r="D4947" i="5"/>
  <c r="B4947" i="5"/>
  <c r="E4943" i="5"/>
  <c r="E4942" i="5"/>
  <c r="E4945" i="5"/>
  <c r="E4944" i="5"/>
  <c r="G4946" i="5"/>
  <c r="G4941" i="5"/>
  <c r="D4940" i="5"/>
  <c r="B4940" i="5"/>
  <c r="A2683" i="8"/>
  <c r="G4940" i="5" l="1"/>
  <c r="G4947" i="5"/>
  <c r="E4891" i="5"/>
  <c r="E2244" i="5" l="1"/>
  <c r="E2242" i="5"/>
  <c r="E2241" i="5"/>
  <c r="E2245" i="5"/>
  <c r="E2300" i="5"/>
  <c r="E2299" i="5"/>
  <c r="E2290" i="5"/>
  <c r="E2289" i="5"/>
  <c r="E2280" i="5"/>
  <c r="E2279" i="5"/>
  <c r="E2270" i="5"/>
  <c r="E2269" i="5"/>
  <c r="E2260" i="5"/>
  <c r="E2259" i="5"/>
  <c r="E2301" i="5"/>
  <c r="E2291" i="5"/>
  <c r="E2281" i="5"/>
  <c r="E2271" i="5"/>
  <c r="E2261" i="5"/>
  <c r="E4836" i="5"/>
  <c r="E4835" i="5"/>
  <c r="E4830" i="5"/>
  <c r="E4829" i="5"/>
  <c r="E4824" i="5"/>
  <c r="E4823" i="5"/>
  <c r="E4818" i="5"/>
  <c r="E4817" i="5"/>
  <c r="G4939" i="5" l="1"/>
  <c r="G4934" i="5"/>
  <c r="D4933" i="5"/>
  <c r="B4933" i="5"/>
  <c r="G4932" i="5"/>
  <c r="G4928" i="5"/>
  <c r="D4927" i="5"/>
  <c r="B4927" i="5"/>
  <c r="G4926" i="5"/>
  <c r="G4922" i="5"/>
  <c r="D4921" i="5"/>
  <c r="B4921" i="5"/>
  <c r="G4920" i="5"/>
  <c r="G4916" i="5"/>
  <c r="D4915" i="5"/>
  <c r="B4915" i="5"/>
  <c r="G4914" i="5"/>
  <c r="G4910" i="5"/>
  <c r="D4909" i="5"/>
  <c r="B4909" i="5"/>
  <c r="G4921" i="5" l="1"/>
  <c r="G4933" i="5"/>
  <c r="G4909" i="5"/>
  <c r="G4927" i="5"/>
  <c r="G4915" i="5"/>
  <c r="E4907" i="5"/>
  <c r="G4908" i="5"/>
  <c r="G4902" i="5"/>
  <c r="G4901" i="5"/>
  <c r="D4901" i="5"/>
  <c r="B4901" i="5"/>
  <c r="G4900" i="5"/>
  <c r="G4895" i="5"/>
  <c r="D4894" i="5"/>
  <c r="B4894" i="5"/>
  <c r="G4893" i="5"/>
  <c r="G4888" i="5"/>
  <c r="G4887" i="5"/>
  <c r="D4887" i="5"/>
  <c r="B4887" i="5"/>
  <c r="E4843" i="5"/>
  <c r="E4842" i="5"/>
  <c r="E4841" i="5"/>
  <c r="E4840" i="5"/>
  <c r="G4886" i="5"/>
  <c r="G4881" i="5"/>
  <c r="D4880" i="5"/>
  <c r="B4880" i="5"/>
  <c r="G4879" i="5"/>
  <c r="G4875" i="5"/>
  <c r="D4874" i="5"/>
  <c r="B4874" i="5"/>
  <c r="G4873" i="5"/>
  <c r="G4869" i="5"/>
  <c r="D4868" i="5"/>
  <c r="B4868" i="5"/>
  <c r="G4867" i="5"/>
  <c r="G4865" i="5"/>
  <c r="G4864" i="5"/>
  <c r="D4864" i="5"/>
  <c r="B4864" i="5"/>
  <c r="G4857" i="5"/>
  <c r="G4851" i="5"/>
  <c r="D4850" i="5"/>
  <c r="B4850" i="5"/>
  <c r="G4863" i="5"/>
  <c r="G4859" i="5"/>
  <c r="D4858" i="5"/>
  <c r="B4858" i="5"/>
  <c r="G4849" i="5"/>
  <c r="G4846" i="5"/>
  <c r="G4845" i="5"/>
  <c r="D4845" i="5"/>
  <c r="B4845" i="5"/>
  <c r="G4844" i="5"/>
  <c r="G4839" i="5"/>
  <c r="G4838" i="5"/>
  <c r="D4838" i="5"/>
  <c r="B4838" i="5"/>
  <c r="G4837" i="5"/>
  <c r="G4833" i="5"/>
  <c r="D4832" i="5"/>
  <c r="B4832" i="5"/>
  <c r="G4831" i="5"/>
  <c r="G4827" i="5"/>
  <c r="D4826" i="5"/>
  <c r="B4826" i="5"/>
  <c r="G4825" i="5"/>
  <c r="G4821" i="5"/>
  <c r="D4820" i="5"/>
  <c r="B4820" i="5"/>
  <c r="G4819" i="5"/>
  <c r="G4815" i="5"/>
  <c r="D4814" i="5"/>
  <c r="B4814" i="5"/>
  <c r="G4813" i="5"/>
  <c r="G4810" i="5"/>
  <c r="G4809" i="5"/>
  <c r="D4809" i="5"/>
  <c r="B4809" i="5"/>
  <c r="E4807" i="5"/>
  <c r="E4806" i="5"/>
  <c r="E4800" i="5"/>
  <c r="E4799" i="5"/>
  <c r="G4808" i="5"/>
  <c r="G4803" i="5"/>
  <c r="D4802" i="5"/>
  <c r="B4802" i="5"/>
  <c r="G4801" i="5"/>
  <c r="G4796" i="5"/>
  <c r="D4795" i="5"/>
  <c r="B4795" i="5"/>
  <c r="B4788" i="5"/>
  <c r="D4788" i="5"/>
  <c r="G4789" i="5"/>
  <c r="G4794" i="5"/>
  <c r="G4787" i="5"/>
  <c r="G4782" i="5"/>
  <c r="D4781" i="5"/>
  <c r="B4781" i="5"/>
  <c r="G4780" i="5"/>
  <c r="G4777" i="5"/>
  <c r="G4776" i="5"/>
  <c r="D4776" i="5"/>
  <c r="B4776" i="5"/>
  <c r="G4775" i="5"/>
  <c r="G4770" i="5"/>
  <c r="D4769" i="5"/>
  <c r="B4769" i="5"/>
  <c r="G4768" i="5"/>
  <c r="G4763" i="5"/>
  <c r="D4762" i="5"/>
  <c r="B4762" i="5"/>
  <c r="G4761" i="5"/>
  <c r="G4756" i="5"/>
  <c r="D4755" i="5"/>
  <c r="B4755" i="5"/>
  <c r="G4820" i="5" l="1"/>
  <c r="G4826" i="5"/>
  <c r="G4788" i="5"/>
  <c r="G4868" i="5"/>
  <c r="G4781" i="5"/>
  <c r="G4894" i="5"/>
  <c r="G4814" i="5"/>
  <c r="G4880" i="5"/>
  <c r="G4769" i="5"/>
  <c r="G4832" i="5"/>
  <c r="G4795" i="5"/>
  <c r="G4850" i="5"/>
  <c r="G4874" i="5"/>
  <c r="G4858" i="5"/>
  <c r="G4762" i="5"/>
  <c r="G4755" i="5"/>
  <c r="G4802" i="5"/>
  <c r="G4754" i="5" l="1"/>
  <c r="G4749" i="5"/>
  <c r="D4748" i="5"/>
  <c r="B4748" i="5"/>
  <c r="G4747" i="5"/>
  <c r="G4742" i="5"/>
  <c r="D4741" i="5"/>
  <c r="B4741" i="5"/>
  <c r="G4740" i="5"/>
  <c r="G4734" i="5"/>
  <c r="D4733" i="5"/>
  <c r="B4733" i="5"/>
  <c r="G4733" i="5" l="1"/>
  <c r="G4741" i="5"/>
  <c r="G4748" i="5"/>
  <c r="G4732" i="5"/>
  <c r="G4724" i="5"/>
  <c r="D4723" i="5"/>
  <c r="B4723" i="5"/>
  <c r="G4723" i="5" l="1"/>
  <c r="G4722" i="5"/>
  <c r="G4716" i="5"/>
  <c r="G4715" i="5"/>
  <c r="D4715" i="5"/>
  <c r="B4715" i="5"/>
  <c r="G4714" i="5"/>
  <c r="G4708" i="5"/>
  <c r="G4707" i="5"/>
  <c r="D4707" i="5"/>
  <c r="B4707" i="5"/>
  <c r="G4706" i="5"/>
  <c r="G4700" i="5"/>
  <c r="G4699" i="5"/>
  <c r="D4699" i="5"/>
  <c r="B4699" i="5"/>
  <c r="G4698" i="5"/>
  <c r="G4692" i="5"/>
  <c r="G4691" i="5"/>
  <c r="D4691" i="5"/>
  <c r="B4691" i="5"/>
  <c r="G4690" i="5"/>
  <c r="G4684" i="5"/>
  <c r="G4683" i="5"/>
  <c r="D4683" i="5"/>
  <c r="B4683" i="5"/>
  <c r="G4682" i="5"/>
  <c r="G4676" i="5"/>
  <c r="G4675" i="5"/>
  <c r="D4675" i="5"/>
  <c r="B4675" i="5"/>
  <c r="G4674" i="5"/>
  <c r="G4668" i="5"/>
  <c r="G4667" i="5"/>
  <c r="D4667" i="5"/>
  <c r="B4667" i="5"/>
  <c r="G4665" i="5"/>
  <c r="G4660" i="5"/>
  <c r="G4659" i="5"/>
  <c r="D4659" i="5"/>
  <c r="B4659" i="5"/>
  <c r="G4658" i="5"/>
  <c r="G4655" i="5"/>
  <c r="G4654" i="5"/>
  <c r="D4654" i="5"/>
  <c r="B4654" i="5"/>
  <c r="G4653" i="5"/>
  <c r="G4650" i="5"/>
  <c r="G4649" i="5"/>
  <c r="D4649" i="5"/>
  <c r="B4649" i="5"/>
  <c r="E712" i="5"/>
  <c r="E711" i="5"/>
  <c r="E710" i="5"/>
  <c r="E709" i="5"/>
  <c r="E708" i="5"/>
  <c r="E707" i="5"/>
  <c r="E706" i="5"/>
  <c r="E684" i="5"/>
  <c r="E683" i="5"/>
  <c r="E682" i="5"/>
  <c r="E681" i="5"/>
  <c r="E680" i="5"/>
  <c r="E679" i="5"/>
  <c r="E678" i="5"/>
  <c r="E3733" i="5"/>
  <c r="E3729" i="5"/>
  <c r="E3730" i="5"/>
  <c r="E3731" i="5"/>
  <c r="E3732" i="5"/>
  <c r="E3735" i="5"/>
  <c r="E3734" i="5"/>
  <c r="G4648" i="5"/>
  <c r="G4645" i="5"/>
  <c r="G4644" i="5"/>
  <c r="D4644" i="5"/>
  <c r="B4644" i="5"/>
  <c r="E4639" i="5"/>
  <c r="E4638" i="5"/>
  <c r="E4636" i="5"/>
  <c r="G4635" i="5"/>
  <c r="E4629" i="5"/>
  <c r="E4628" i="5"/>
  <c r="E4626" i="5"/>
  <c r="G4643" i="5"/>
  <c r="D4634" i="5"/>
  <c r="B4634" i="5"/>
  <c r="G4633" i="5"/>
  <c r="G4625" i="5"/>
  <c r="D4624" i="5"/>
  <c r="B4624" i="5"/>
  <c r="G4624" i="5" l="1"/>
  <c r="G4634" i="5"/>
  <c r="E4379" i="5" l="1"/>
  <c r="E4370" i="5"/>
  <c r="E4046" i="5"/>
  <c r="E3990" i="5" l="1"/>
  <c r="E527" i="5" l="1"/>
  <c r="E4617" i="5" l="1"/>
  <c r="G2757" i="5" l="1"/>
  <c r="G2754" i="5"/>
  <c r="D2753" i="5"/>
  <c r="B2753" i="5"/>
  <c r="G2752" i="5"/>
  <c r="G2749" i="5"/>
  <c r="D2748" i="5"/>
  <c r="B2748" i="5"/>
  <c r="G2753" i="5" l="1"/>
  <c r="G2748" i="5"/>
  <c r="D4619" i="5" l="1"/>
  <c r="B4619" i="5"/>
  <c r="D4608" i="5"/>
  <c r="B4608" i="5"/>
  <c r="D4600" i="5"/>
  <c r="B4600" i="5"/>
  <c r="D4594" i="5"/>
  <c r="B4594" i="5"/>
  <c r="D4582" i="5"/>
  <c r="B4582" i="5"/>
  <c r="D4573" i="5"/>
  <c r="B4573" i="5"/>
  <c r="D4565" i="5"/>
  <c r="B4565" i="5"/>
  <c r="D4559" i="5"/>
  <c r="B4559" i="5"/>
  <c r="D4549" i="5"/>
  <c r="B4549" i="5"/>
  <c r="D4541" i="5"/>
  <c r="B4541" i="5"/>
  <c r="D4533" i="5"/>
  <c r="B4533" i="5"/>
  <c r="D4527" i="5"/>
  <c r="B4527" i="5"/>
  <c r="D4519" i="5"/>
  <c r="B4519" i="5"/>
  <c r="D4507" i="5"/>
  <c r="B4507" i="5"/>
  <c r="D4501" i="5"/>
  <c r="B4501" i="5"/>
  <c r="D4493" i="5"/>
  <c r="B4493" i="5"/>
  <c r="D4484" i="5"/>
  <c r="B4484" i="5"/>
  <c r="D4476" i="5"/>
  <c r="B4476" i="5"/>
  <c r="D4457" i="5"/>
  <c r="B4457" i="5"/>
  <c r="D4445" i="5"/>
  <c r="B4445" i="5"/>
  <c r="D4433" i="5"/>
  <c r="B4433" i="5"/>
  <c r="D4427" i="5"/>
  <c r="B4427" i="5"/>
  <c r="D4422" i="5"/>
  <c r="B4422" i="5"/>
  <c r="D4414" i="5"/>
  <c r="B4414" i="5"/>
  <c r="D4408" i="5"/>
  <c r="B4408" i="5"/>
  <c r="D4403" i="5"/>
  <c r="B4403" i="5"/>
  <c r="D4398" i="5"/>
  <c r="B4398" i="5"/>
  <c r="D4392" i="5"/>
  <c r="B4392" i="5"/>
  <c r="D4384" i="5"/>
  <c r="B4384" i="5"/>
  <c r="D4376" i="5"/>
  <c r="B4376" i="5"/>
  <c r="D4356" i="5"/>
  <c r="B4356" i="5"/>
  <c r="D4350" i="5"/>
  <c r="B4350" i="5"/>
  <c r="B4338" i="5"/>
  <c r="B4326" i="5"/>
  <c r="D4318" i="5"/>
  <c r="B4318" i="5"/>
  <c r="D4308" i="5"/>
  <c r="B4308" i="5"/>
  <c r="D4298" i="5"/>
  <c r="B4298" i="5"/>
  <c r="D4288" i="5"/>
  <c r="B4288" i="5"/>
  <c r="D4280" i="5"/>
  <c r="B4280" i="5"/>
  <c r="D4272" i="5"/>
  <c r="B4272" i="5"/>
  <c r="D4262" i="5"/>
  <c r="B4262" i="5"/>
  <c r="D4253" i="5"/>
  <c r="B4253" i="5"/>
  <c r="D4244" i="5"/>
  <c r="B4244" i="5"/>
  <c r="D4235" i="5"/>
  <c r="B4235" i="5"/>
  <c r="D4226" i="5"/>
  <c r="B4226" i="5"/>
  <c r="D4216" i="5"/>
  <c r="B4216" i="5"/>
  <c r="D4209" i="5"/>
  <c r="B4209" i="5"/>
  <c r="D4182" i="5"/>
  <c r="B4182" i="5"/>
  <c r="D4166" i="5"/>
  <c r="B4166" i="5"/>
  <c r="D4157" i="5"/>
  <c r="B4157" i="5"/>
  <c r="D4147" i="5"/>
  <c r="B4147" i="5"/>
  <c r="D4142" i="5"/>
  <c r="B4142" i="5"/>
  <c r="D4135" i="5"/>
  <c r="B4135" i="5"/>
  <c r="D4128" i="5"/>
  <c r="B4128" i="5"/>
  <c r="D4122" i="5"/>
  <c r="B4122" i="5"/>
  <c r="D4114" i="5"/>
  <c r="B4114" i="5"/>
  <c r="D4108" i="5"/>
  <c r="B4108" i="5"/>
  <c r="D4098" i="5"/>
  <c r="B4098" i="5"/>
  <c r="D4092" i="5"/>
  <c r="B4092" i="5"/>
  <c r="D4086" i="5"/>
  <c r="B4086" i="5"/>
  <c r="D4080" i="5"/>
  <c r="B4080" i="5"/>
  <c r="D4073" i="5"/>
  <c r="B4073" i="5"/>
  <c r="D4066" i="5"/>
  <c r="B4066" i="5"/>
  <c r="D4062" i="5"/>
  <c r="B4062" i="5"/>
  <c r="D4051" i="5"/>
  <c r="B4051" i="5"/>
  <c r="D4040" i="5"/>
  <c r="B4040" i="5"/>
  <c r="D4033" i="5"/>
  <c r="B4033" i="5"/>
  <c r="D4023" i="5"/>
  <c r="B4023" i="5"/>
  <c r="D4015" i="5"/>
  <c r="B4015" i="5"/>
  <c r="D4007" i="5"/>
  <c r="B4007" i="5"/>
  <c r="D3999" i="5"/>
  <c r="B3999" i="5"/>
  <c r="D3992" i="5"/>
  <c r="B3992" i="5"/>
  <c r="D3988" i="5"/>
  <c r="B3988" i="5"/>
  <c r="D3982" i="5"/>
  <c r="B3982" i="5"/>
  <c r="D3975" i="5"/>
  <c r="B3975" i="5"/>
  <c r="D3969" i="5"/>
  <c r="B3969" i="5"/>
  <c r="D3963" i="5"/>
  <c r="B3963" i="5"/>
  <c r="D3954" i="5"/>
  <c r="B3954" i="5"/>
  <c r="D3945" i="5"/>
  <c r="B3945" i="5"/>
  <c r="D3936" i="5"/>
  <c r="B3936" i="5"/>
  <c r="D3927" i="5"/>
  <c r="B3927" i="5"/>
  <c r="D3918" i="5"/>
  <c r="B3918" i="5"/>
  <c r="D3909" i="5"/>
  <c r="B3909" i="5"/>
  <c r="D3905" i="5"/>
  <c r="B3905" i="5"/>
  <c r="D3901" i="5"/>
  <c r="B3901" i="5"/>
  <c r="D3896" i="5"/>
  <c r="B3896" i="5"/>
  <c r="D3883" i="5"/>
  <c r="B3883" i="5"/>
  <c r="D3870" i="5"/>
  <c r="B3870" i="5"/>
  <c r="D3862" i="5"/>
  <c r="B3862" i="5"/>
  <c r="D3855" i="5"/>
  <c r="B3855" i="5"/>
  <c r="D3845" i="5"/>
  <c r="B3845" i="5"/>
  <c r="D3838" i="5"/>
  <c r="B3838" i="5"/>
  <c r="D3829" i="5"/>
  <c r="B3829" i="5"/>
  <c r="D3822" i="5"/>
  <c r="B3822" i="5"/>
  <c r="D3816" i="5"/>
  <c r="B3816" i="5"/>
  <c r="D3810" i="5"/>
  <c r="B3810" i="5"/>
  <c r="D3804" i="5"/>
  <c r="B3804" i="5"/>
  <c r="D3788" i="5"/>
  <c r="B3788" i="5"/>
  <c r="D3781" i="5"/>
  <c r="B3781" i="5"/>
  <c r="D3766" i="5"/>
  <c r="B3766" i="5"/>
  <c r="D3754" i="5"/>
  <c r="B3754" i="5"/>
  <c r="D3746" i="5"/>
  <c r="B3746" i="5"/>
  <c r="D3737" i="5"/>
  <c r="B3737" i="5"/>
  <c r="D3727" i="5"/>
  <c r="B3727" i="5"/>
  <c r="D3716" i="5"/>
  <c r="B3716" i="5"/>
  <c r="D3711" i="5"/>
  <c r="B3711" i="5"/>
  <c r="D3705" i="5"/>
  <c r="B3705" i="5"/>
  <c r="D3701" i="5"/>
  <c r="B3701" i="5"/>
  <c r="D3697" i="5"/>
  <c r="B3697" i="5"/>
  <c r="D3693" i="5"/>
  <c r="B3693" i="5"/>
  <c r="D3684" i="5"/>
  <c r="B3684" i="5"/>
  <c r="D3675" i="5"/>
  <c r="B3675" i="5"/>
  <c r="D3670" i="5"/>
  <c r="B3670" i="5"/>
  <c r="D3660" i="5"/>
  <c r="B3660" i="5"/>
  <c r="D3656" i="5"/>
  <c r="B3656" i="5"/>
  <c r="D3645" i="5"/>
  <c r="B3645" i="5"/>
  <c r="D3632" i="5"/>
  <c r="B3632" i="5"/>
  <c r="D3620" i="5"/>
  <c r="B3620" i="5"/>
  <c r="D3612" i="5"/>
  <c r="B3612" i="5"/>
  <c r="D3597" i="5"/>
  <c r="B3597" i="5"/>
  <c r="D3591" i="5"/>
  <c r="B3591" i="5"/>
  <c r="D3587" i="5"/>
  <c r="B3587" i="5"/>
  <c r="D3579" i="5"/>
  <c r="B3579" i="5"/>
  <c r="D3574" i="5"/>
  <c r="B3574" i="5"/>
  <c r="D3569" i="5"/>
  <c r="B3569" i="5"/>
  <c r="D3559" i="5"/>
  <c r="B3559" i="5"/>
  <c r="D3553" i="5"/>
  <c r="B3553" i="5"/>
  <c r="D3546" i="5"/>
  <c r="B3546" i="5"/>
  <c r="D3540" i="5"/>
  <c r="B3540" i="5"/>
  <c r="D3532" i="5"/>
  <c r="B3532" i="5"/>
  <c r="D3527" i="5"/>
  <c r="B3527" i="5"/>
  <c r="D3520" i="5"/>
  <c r="B3520" i="5"/>
  <c r="D3512" i="5"/>
  <c r="B3512" i="5"/>
  <c r="D3506" i="5"/>
  <c r="B3506" i="5"/>
  <c r="D3500" i="5"/>
  <c r="B3500" i="5"/>
  <c r="D3484" i="5"/>
  <c r="B3484" i="5"/>
  <c r="D3477" i="5"/>
  <c r="B3477" i="5"/>
  <c r="D3465" i="5"/>
  <c r="B3465" i="5"/>
  <c r="D3448" i="5"/>
  <c r="B3448" i="5"/>
  <c r="D3440" i="5"/>
  <c r="B3440" i="5"/>
  <c r="D3423" i="5"/>
  <c r="B3423" i="5"/>
  <c r="D3415" i="5"/>
  <c r="B3415" i="5"/>
  <c r="D3404" i="5"/>
  <c r="B3404" i="5"/>
  <c r="D3394" i="5"/>
  <c r="B3394" i="5"/>
  <c r="D3390" i="5"/>
  <c r="B3390" i="5"/>
  <c r="D3386" i="5"/>
  <c r="B3386" i="5"/>
  <c r="D3381" i="5"/>
  <c r="B3381" i="5"/>
  <c r="D3376" i="5"/>
  <c r="B3376" i="5"/>
  <c r="D3371" i="5"/>
  <c r="B3371" i="5"/>
  <c r="D3364" i="5"/>
  <c r="B3364" i="5"/>
  <c r="D3357" i="5"/>
  <c r="B3357" i="5"/>
  <c r="D3350" i="5"/>
  <c r="B3350" i="5"/>
  <c r="D3346" i="5"/>
  <c r="B3346" i="5"/>
  <c r="D3342" i="5"/>
  <c r="B3342" i="5"/>
  <c r="D3337" i="5"/>
  <c r="B3337" i="5"/>
  <c r="D3333" i="5"/>
  <c r="B3333" i="5"/>
  <c r="D3329" i="5"/>
  <c r="B3329" i="5"/>
  <c r="D3322" i="5"/>
  <c r="B3322" i="5"/>
  <c r="D3315" i="5"/>
  <c r="B3315" i="5"/>
  <c r="D3308" i="5"/>
  <c r="B3308" i="5"/>
  <c r="D3303" i="5"/>
  <c r="B3303" i="5"/>
  <c r="D3294" i="5"/>
  <c r="B3294" i="5"/>
  <c r="D3288" i="5"/>
  <c r="B3288" i="5"/>
  <c r="D3282" i="5"/>
  <c r="B3282" i="5"/>
  <c r="D3275" i="5"/>
  <c r="B3275" i="5"/>
  <c r="D3268" i="5"/>
  <c r="B3268" i="5"/>
  <c r="D3261" i="5"/>
  <c r="B3261" i="5"/>
  <c r="D3254" i="5"/>
  <c r="B3254" i="5"/>
  <c r="D3247" i="5"/>
  <c r="B3247" i="5"/>
  <c r="D3240" i="5"/>
  <c r="B3240" i="5"/>
  <c r="D3233" i="5"/>
  <c r="B3233" i="5"/>
  <c r="D3226" i="5"/>
  <c r="B3226" i="5"/>
  <c r="D3219" i="5"/>
  <c r="B3219" i="5"/>
  <c r="D3212" i="5"/>
  <c r="B3212" i="5"/>
  <c r="D3207" i="5"/>
  <c r="B3207" i="5"/>
  <c r="D3197" i="5"/>
  <c r="B3197" i="5"/>
  <c r="D3191" i="5"/>
  <c r="B3191" i="5"/>
  <c r="D3185" i="5"/>
  <c r="B3185" i="5"/>
  <c r="D3179" i="5"/>
  <c r="B3179" i="5"/>
  <c r="D3166" i="5"/>
  <c r="B3166" i="5"/>
  <c r="D3159" i="5"/>
  <c r="B3159" i="5"/>
  <c r="D3155" i="5"/>
  <c r="B3155" i="5"/>
  <c r="D3150" i="5"/>
  <c r="B3150" i="5"/>
  <c r="D3142" i="5"/>
  <c r="B3142" i="5"/>
  <c r="D3134" i="5"/>
  <c r="B3134" i="5"/>
  <c r="D3128" i="5"/>
  <c r="B3128" i="5"/>
  <c r="D3123" i="5"/>
  <c r="B3123" i="5"/>
  <c r="D3117" i="5"/>
  <c r="B3117" i="5"/>
  <c r="D3112" i="5"/>
  <c r="B3112" i="5"/>
  <c r="D3106" i="5"/>
  <c r="B3106" i="5"/>
  <c r="D3100" i="5"/>
  <c r="B3100" i="5"/>
  <c r="D3094" i="5"/>
  <c r="B3094" i="5"/>
  <c r="D3088" i="5"/>
  <c r="B3088" i="5"/>
  <c r="D3083" i="5"/>
  <c r="B3083" i="5"/>
  <c r="D3078" i="5"/>
  <c r="B3078" i="5"/>
  <c r="D3073" i="5"/>
  <c r="B3073" i="5"/>
  <c r="D3068" i="5"/>
  <c r="B3068" i="5"/>
  <c r="D3063" i="5"/>
  <c r="B3063" i="5"/>
  <c r="D3058" i="5"/>
  <c r="B3058" i="5"/>
  <c r="D3053" i="5"/>
  <c r="B3053" i="5"/>
  <c r="D3048" i="5"/>
  <c r="B3048" i="5"/>
  <c r="D3043" i="5"/>
  <c r="B3043" i="5"/>
  <c r="D3035" i="5"/>
  <c r="B3035" i="5"/>
  <c r="D3030" i="5"/>
  <c r="B3030" i="5"/>
  <c r="D3022" i="5"/>
  <c r="B3022" i="5"/>
  <c r="D3018" i="5"/>
  <c r="B3018" i="5"/>
  <c r="D3010" i="5"/>
  <c r="B3010" i="5"/>
  <c r="D3005" i="5"/>
  <c r="B3005" i="5"/>
  <c r="D2997" i="5"/>
  <c r="B2997" i="5"/>
  <c r="D2992" i="5"/>
  <c r="B2992" i="5"/>
  <c r="D2987" i="5"/>
  <c r="B2987" i="5"/>
  <c r="D2982" i="5"/>
  <c r="B2982" i="5"/>
  <c r="D2977" i="5"/>
  <c r="B2977" i="5"/>
  <c r="D2972" i="5"/>
  <c r="B2972" i="5"/>
  <c r="D2967" i="5"/>
  <c r="B2967" i="5"/>
  <c r="D2962" i="5"/>
  <c r="B2962" i="5"/>
  <c r="D2957" i="5"/>
  <c r="B2957" i="5"/>
  <c r="D2952" i="5"/>
  <c r="B2952" i="5"/>
  <c r="D2942" i="5"/>
  <c r="B2942" i="5"/>
  <c r="D2937" i="5"/>
  <c r="B2937" i="5"/>
  <c r="D2932" i="5"/>
  <c r="B2932" i="5"/>
  <c r="D2927" i="5"/>
  <c r="B2927" i="5"/>
  <c r="D2922" i="5"/>
  <c r="B2922" i="5"/>
  <c r="D2917" i="5"/>
  <c r="B2917" i="5"/>
  <c r="D2912" i="5"/>
  <c r="B2912" i="5"/>
  <c r="D2907" i="5"/>
  <c r="B2907" i="5"/>
  <c r="D2902" i="5"/>
  <c r="B2902" i="5"/>
  <c r="D2897" i="5"/>
  <c r="B2897" i="5"/>
  <c r="D2892" i="5"/>
  <c r="B2892" i="5"/>
  <c r="D2884" i="5"/>
  <c r="B2884" i="5"/>
  <c r="D2876" i="5"/>
  <c r="B2876" i="5"/>
  <c r="D2868" i="5"/>
  <c r="B2868" i="5"/>
  <c r="D2860" i="5"/>
  <c r="B2860" i="5"/>
  <c r="D2852" i="5"/>
  <c r="B2852" i="5"/>
  <c r="D2847" i="5"/>
  <c r="B2847" i="5"/>
  <c r="D2842" i="5"/>
  <c r="B2842" i="5"/>
  <c r="D2837" i="5"/>
  <c r="B2837" i="5"/>
  <c r="D2830" i="5"/>
  <c r="B2830" i="5"/>
  <c r="D2825" i="5"/>
  <c r="B2825" i="5"/>
  <c r="D2820" i="5"/>
  <c r="B2820" i="5"/>
  <c r="D2815" i="5"/>
  <c r="B2815" i="5"/>
  <c r="D2810" i="5"/>
  <c r="B2810" i="5"/>
  <c r="D2805" i="5"/>
  <c r="B2805" i="5"/>
  <c r="D2800" i="5"/>
  <c r="B2800" i="5"/>
  <c r="D2795" i="5"/>
  <c r="B2795" i="5"/>
  <c r="D2790" i="5"/>
  <c r="B2790" i="5"/>
  <c r="D2783" i="5"/>
  <c r="B2783" i="5"/>
  <c r="D2778" i="5"/>
  <c r="B2778" i="5"/>
  <c r="D2773" i="5"/>
  <c r="B2773" i="5"/>
  <c r="D2768" i="5"/>
  <c r="B2768" i="5"/>
  <c r="D2758" i="5"/>
  <c r="B2758" i="5"/>
  <c r="D2742" i="5"/>
  <c r="B2742" i="5"/>
  <c r="D2732" i="5"/>
  <c r="B2732" i="5"/>
  <c r="D2727" i="5"/>
  <c r="B2727" i="5"/>
  <c r="D2709" i="5"/>
  <c r="B2709" i="5"/>
  <c r="D2703" i="5"/>
  <c r="B2703" i="5"/>
  <c r="D2697" i="5"/>
  <c r="B2697" i="5"/>
  <c r="D2691" i="5"/>
  <c r="B2691" i="5"/>
  <c r="D2685" i="5"/>
  <c r="B2685" i="5"/>
  <c r="D2679" i="5"/>
  <c r="B2679" i="5"/>
  <c r="D2673" i="5"/>
  <c r="B2673" i="5"/>
  <c r="D2667" i="5"/>
  <c r="B2667" i="5"/>
  <c r="D2661" i="5"/>
  <c r="B2661" i="5"/>
  <c r="D2655" i="5"/>
  <c r="B2655" i="5"/>
  <c r="D2647" i="5"/>
  <c r="B2647" i="5"/>
  <c r="D2639" i="5"/>
  <c r="B2639" i="5"/>
  <c r="D2635" i="5"/>
  <c r="B2635" i="5"/>
  <c r="D2631" i="5"/>
  <c r="B2631" i="5"/>
  <c r="D2627" i="5"/>
  <c r="B2627" i="5"/>
  <c r="D2623" i="5"/>
  <c r="B2623" i="5"/>
  <c r="D2619" i="5"/>
  <c r="B2619" i="5"/>
  <c r="D2615" i="5"/>
  <c r="B2615" i="5"/>
  <c r="D2611" i="5"/>
  <c r="B2611" i="5"/>
  <c r="D2607" i="5"/>
  <c r="B2607" i="5"/>
  <c r="D2603" i="5"/>
  <c r="B2603" i="5"/>
  <c r="D2599" i="5"/>
  <c r="B2599" i="5"/>
  <c r="D2591" i="5"/>
  <c r="B2591" i="5"/>
  <c r="D2583" i="5"/>
  <c r="B2583" i="5"/>
  <c r="D2575" i="5"/>
  <c r="B2575" i="5"/>
  <c r="D2571" i="5"/>
  <c r="B2571" i="5"/>
  <c r="D2567" i="5"/>
  <c r="B2567" i="5"/>
  <c r="D2563" i="5"/>
  <c r="B2563" i="5"/>
  <c r="D2559" i="5"/>
  <c r="B2559" i="5"/>
  <c r="D2555" i="5"/>
  <c r="B2555" i="5"/>
  <c r="D2435" i="5"/>
  <c r="B2435" i="5"/>
  <c r="D2407" i="5"/>
  <c r="B2407" i="5"/>
  <c r="D2393" i="5"/>
  <c r="B2393" i="5"/>
  <c r="D2386" i="5"/>
  <c r="B2386" i="5"/>
  <c r="D2380" i="5"/>
  <c r="B2380" i="5"/>
  <c r="D2373" i="5"/>
  <c r="B2373" i="5"/>
  <c r="D2365" i="5"/>
  <c r="B2365" i="5"/>
  <c r="D2359" i="5"/>
  <c r="B2359" i="5"/>
  <c r="D2354" i="5"/>
  <c r="B2354" i="5"/>
  <c r="D2349" i="5"/>
  <c r="B2349" i="5"/>
  <c r="D2344" i="5"/>
  <c r="B2344" i="5"/>
  <c r="D2338" i="5"/>
  <c r="B2338" i="5"/>
  <c r="D2332" i="5"/>
  <c r="B2332" i="5"/>
  <c r="D2326" i="5"/>
  <c r="B2326" i="5"/>
  <c r="D2320" i="5"/>
  <c r="B2320" i="5"/>
  <c r="D2313" i="5"/>
  <c r="B2313" i="5"/>
  <c r="D2306" i="5"/>
  <c r="B2306" i="5"/>
  <c r="D2296" i="5"/>
  <c r="B2296" i="5"/>
  <c r="D2286" i="5"/>
  <c r="B2286" i="5"/>
  <c r="D2276" i="5"/>
  <c r="B2276" i="5"/>
  <c r="D2266" i="5"/>
  <c r="B2266" i="5"/>
  <c r="D2256" i="5"/>
  <c r="B2256" i="5"/>
  <c r="D2250" i="5"/>
  <c r="B2250" i="5"/>
  <c r="D2236" i="5"/>
  <c r="B2236" i="5"/>
  <c r="D2230" i="5"/>
  <c r="B2230" i="5"/>
  <c r="D2224" i="5"/>
  <c r="B2224" i="5"/>
  <c r="D2218" i="5"/>
  <c r="B2218" i="5"/>
  <c r="D2211" i="5"/>
  <c r="B2211" i="5"/>
  <c r="D2206" i="5"/>
  <c r="B2206" i="5"/>
  <c r="D2198" i="5"/>
  <c r="B2198" i="5"/>
  <c r="D2190" i="5"/>
  <c r="B2190" i="5"/>
  <c r="D2182" i="5"/>
  <c r="B2182" i="5"/>
  <c r="D2174" i="5"/>
  <c r="B2174" i="5"/>
  <c r="D2166" i="5"/>
  <c r="B2166" i="5"/>
  <c r="D2158" i="5"/>
  <c r="B2158" i="5"/>
  <c r="D2150" i="5"/>
  <c r="B2150" i="5"/>
  <c r="D2142" i="5"/>
  <c r="B2142" i="5"/>
  <c r="D2136" i="5"/>
  <c r="B2136" i="5"/>
  <c r="D2130" i="5"/>
  <c r="B2130" i="5"/>
  <c r="D2124" i="5"/>
  <c r="B2124" i="5"/>
  <c r="D2118" i="5"/>
  <c r="B2118" i="5"/>
  <c r="D2112" i="5"/>
  <c r="B2112" i="5"/>
  <c r="D2104" i="5"/>
  <c r="B2104" i="5"/>
  <c r="D2096" i="5"/>
  <c r="B2096" i="5"/>
  <c r="D2088" i="5"/>
  <c r="B2088" i="5"/>
  <c r="D2080" i="5"/>
  <c r="B2080" i="5"/>
  <c r="D2072" i="5"/>
  <c r="B2072" i="5"/>
  <c r="D2064" i="5"/>
  <c r="B2064" i="5"/>
  <c r="D2056" i="5"/>
  <c r="B2056" i="5"/>
  <c r="D2048" i="5"/>
  <c r="B2048" i="5"/>
  <c r="D2040" i="5"/>
  <c r="B2040" i="5"/>
  <c r="D2032" i="5"/>
  <c r="B2032" i="5"/>
  <c r="D2024" i="5"/>
  <c r="B2024" i="5"/>
  <c r="D2018" i="5"/>
  <c r="B2018" i="5"/>
  <c r="D2011" i="5"/>
  <c r="B2011" i="5"/>
  <c r="D2004" i="5"/>
  <c r="B2004" i="5"/>
  <c r="D1997" i="5"/>
  <c r="B1997" i="5"/>
  <c r="D1990" i="5"/>
  <c r="B1990" i="5"/>
  <c r="D1982" i="5"/>
  <c r="B1982" i="5"/>
  <c r="D1974" i="5"/>
  <c r="B1974" i="5"/>
  <c r="D1967" i="5"/>
  <c r="B1967" i="5"/>
  <c r="D1960" i="5"/>
  <c r="B1960" i="5"/>
  <c r="D1954" i="5"/>
  <c r="B1954" i="5"/>
  <c r="D1948" i="5"/>
  <c r="B1948" i="5"/>
  <c r="D1943" i="5"/>
  <c r="B1943" i="5"/>
  <c r="D1938" i="5"/>
  <c r="B1938" i="5"/>
  <c r="D1933" i="5"/>
  <c r="B1933" i="5"/>
  <c r="D1927" i="5"/>
  <c r="B1927" i="5"/>
  <c r="D1922" i="5"/>
  <c r="B1922" i="5"/>
  <c r="D1917" i="5"/>
  <c r="B1917" i="5"/>
  <c r="D1912" i="5"/>
  <c r="B1912" i="5"/>
  <c r="D1906" i="5"/>
  <c r="B1906" i="5"/>
  <c r="D1900" i="5"/>
  <c r="B1900" i="5"/>
  <c r="D1894" i="5"/>
  <c r="B1894" i="5"/>
  <c r="D1888" i="5"/>
  <c r="B1888" i="5"/>
  <c r="D1882" i="5"/>
  <c r="B1882" i="5"/>
  <c r="D1876" i="5"/>
  <c r="B1876" i="5"/>
  <c r="D1870" i="5"/>
  <c r="B1870" i="5"/>
  <c r="D1864" i="5"/>
  <c r="B1864" i="5"/>
  <c r="D1858" i="5"/>
  <c r="B1858" i="5"/>
  <c r="D1852" i="5"/>
  <c r="B1852" i="5"/>
  <c r="D1846" i="5"/>
  <c r="B1846" i="5"/>
  <c r="D1840" i="5"/>
  <c r="B1840" i="5"/>
  <c r="D1833" i="5"/>
  <c r="B1833" i="5"/>
  <c r="D1827" i="5"/>
  <c r="B1827" i="5"/>
  <c r="D1821" i="5"/>
  <c r="B1821" i="5"/>
  <c r="D1816" i="5"/>
  <c r="B1816" i="5"/>
  <c r="D1811" i="5"/>
  <c r="B1811" i="5"/>
  <c r="D1804" i="5"/>
  <c r="B1804" i="5"/>
  <c r="D1797" i="5"/>
  <c r="B1797" i="5"/>
  <c r="D1790" i="5"/>
  <c r="B1790" i="5"/>
  <c r="D1783" i="5"/>
  <c r="B1783" i="5"/>
  <c r="D1776" i="5"/>
  <c r="B1776" i="5"/>
  <c r="D1769" i="5"/>
  <c r="B1769" i="5"/>
  <c r="D1762" i="5"/>
  <c r="B1762" i="5"/>
  <c r="D1755" i="5"/>
  <c r="B1755" i="5"/>
  <c r="D1744" i="5"/>
  <c r="B1744" i="5"/>
  <c r="D1733" i="5"/>
  <c r="B1733" i="5"/>
  <c r="D1722" i="5"/>
  <c r="B1722" i="5"/>
  <c r="D1711" i="5"/>
  <c r="B1711" i="5"/>
  <c r="D1703" i="5"/>
  <c r="B1703" i="5"/>
  <c r="D1697" i="5"/>
  <c r="B1697" i="5"/>
  <c r="D1690" i="5"/>
  <c r="B1690" i="5"/>
  <c r="D1683" i="5"/>
  <c r="B1683" i="5"/>
  <c r="D1677" i="5"/>
  <c r="B1677" i="5"/>
  <c r="D1672" i="5"/>
  <c r="B1672" i="5"/>
  <c r="D1667" i="5"/>
  <c r="B1667" i="5"/>
  <c r="D1662" i="5"/>
  <c r="B1662" i="5"/>
  <c r="D1656" i="5"/>
  <c r="B1656" i="5"/>
  <c r="D1650" i="5"/>
  <c r="B1650" i="5"/>
  <c r="D1644" i="5"/>
  <c r="B1644" i="5"/>
  <c r="D1638" i="5"/>
  <c r="B1638" i="5"/>
  <c r="D1633" i="5"/>
  <c r="B1633" i="5"/>
  <c r="D1627" i="5"/>
  <c r="B1627" i="5"/>
  <c r="D1621" i="5"/>
  <c r="B1621" i="5"/>
  <c r="D1616" i="5"/>
  <c r="B1616" i="5"/>
  <c r="D1609" i="5"/>
  <c r="B1609" i="5"/>
  <c r="D1603" i="5"/>
  <c r="B1603" i="5"/>
  <c r="D1597" i="5"/>
  <c r="B1597" i="5"/>
  <c r="D1591" i="5"/>
  <c r="B1591" i="5"/>
  <c r="D1576" i="5"/>
  <c r="B1576" i="5"/>
  <c r="D1569" i="5"/>
  <c r="B1569" i="5"/>
  <c r="D1562" i="5"/>
  <c r="B1562" i="5"/>
  <c r="D1555" i="5"/>
  <c r="B1555" i="5"/>
  <c r="D1548" i="5"/>
  <c r="B1548" i="5"/>
  <c r="D1540" i="5"/>
  <c r="B1540" i="5"/>
  <c r="D1532" i="5"/>
  <c r="B1532" i="5"/>
  <c r="D1524" i="5"/>
  <c r="B1524" i="5"/>
  <c r="D1516" i="5"/>
  <c r="B1516" i="5"/>
  <c r="D1508" i="5"/>
  <c r="B1508" i="5"/>
  <c r="D1493" i="5"/>
  <c r="B1493" i="5"/>
  <c r="D1478" i="5"/>
  <c r="B1478" i="5"/>
  <c r="D1463" i="5"/>
  <c r="B1463" i="5"/>
  <c r="D1448" i="5"/>
  <c r="B1448" i="5"/>
  <c r="D1433" i="5"/>
  <c r="B1433" i="5"/>
  <c r="D1418" i="5"/>
  <c r="B1418" i="5"/>
  <c r="D1403" i="5"/>
  <c r="B1403" i="5"/>
  <c r="D1396" i="5"/>
  <c r="B1396" i="5"/>
  <c r="D1390" i="5"/>
  <c r="B1390" i="5"/>
  <c r="D1384" i="5"/>
  <c r="B1384" i="5"/>
  <c r="D1378" i="5"/>
  <c r="B1378" i="5"/>
  <c r="D1372" i="5"/>
  <c r="B1372" i="5"/>
  <c r="D1366" i="5"/>
  <c r="B1366" i="5"/>
  <c r="D1360" i="5"/>
  <c r="B1360" i="5"/>
  <c r="D1353" i="5"/>
  <c r="B1353" i="5"/>
  <c r="D1347" i="5"/>
  <c r="B1347" i="5"/>
  <c r="D1340" i="5"/>
  <c r="B1340" i="5"/>
  <c r="D1334" i="5"/>
  <c r="B1334" i="5"/>
  <c r="D1328" i="5"/>
  <c r="B1328" i="5"/>
  <c r="D1322" i="5"/>
  <c r="B1322" i="5"/>
  <c r="D1317" i="5"/>
  <c r="B1317" i="5"/>
  <c r="D1308" i="5"/>
  <c r="B1308" i="5"/>
  <c r="D1300" i="5"/>
  <c r="B1300" i="5"/>
  <c r="D1293" i="5"/>
  <c r="B1293" i="5"/>
  <c r="D1286" i="5"/>
  <c r="B1286" i="5"/>
  <c r="D1279" i="5"/>
  <c r="B1279" i="5"/>
  <c r="D1272" i="5"/>
  <c r="B1272" i="5"/>
  <c r="D1266" i="5"/>
  <c r="B1266" i="5"/>
  <c r="D1259" i="5"/>
  <c r="B1259" i="5"/>
  <c r="D1252" i="5"/>
  <c r="B1252" i="5"/>
  <c r="D1245" i="5"/>
  <c r="B1245" i="5"/>
  <c r="D1238" i="5"/>
  <c r="B1238" i="5"/>
  <c r="D1231" i="5"/>
  <c r="B1231" i="5"/>
  <c r="D1224" i="5"/>
  <c r="B1224" i="5"/>
  <c r="D1217" i="5"/>
  <c r="B1217" i="5"/>
  <c r="D1210" i="5"/>
  <c r="B1210" i="5"/>
  <c r="D1203" i="5"/>
  <c r="B1203" i="5"/>
  <c r="D1196" i="5"/>
  <c r="B1196" i="5"/>
  <c r="D1189" i="5"/>
  <c r="B1189" i="5"/>
  <c r="D1182" i="5"/>
  <c r="B1182" i="5"/>
  <c r="D1175" i="5"/>
  <c r="B1175" i="5"/>
  <c r="D1168" i="5"/>
  <c r="B1168" i="5"/>
  <c r="D1161" i="5"/>
  <c r="B1161" i="5"/>
  <c r="D1154" i="5"/>
  <c r="B1154" i="5"/>
  <c r="D1147" i="5"/>
  <c r="B1147" i="5"/>
  <c r="D1140" i="5"/>
  <c r="B1140" i="5"/>
  <c r="D1133" i="5"/>
  <c r="B1133" i="5"/>
  <c r="D1128" i="5"/>
  <c r="B1128" i="5"/>
  <c r="D1122" i="5"/>
  <c r="B1122" i="5"/>
  <c r="D1117" i="5"/>
  <c r="B1117" i="5"/>
  <c r="D1112" i="5"/>
  <c r="B1112" i="5"/>
  <c r="D1104" i="5"/>
  <c r="B1104" i="5"/>
  <c r="D1094" i="5"/>
  <c r="B1094" i="5"/>
  <c r="D1086" i="5"/>
  <c r="B1086" i="5"/>
  <c r="D1078" i="5"/>
  <c r="B1078" i="5"/>
  <c r="D1069" i="5"/>
  <c r="B1069" i="5"/>
  <c r="D1062" i="5"/>
  <c r="B1062" i="5"/>
  <c r="D1055" i="5"/>
  <c r="B1055" i="5"/>
  <c r="D1048" i="5"/>
  <c r="B1048" i="5"/>
  <c r="D1041" i="5"/>
  <c r="B1041" i="5"/>
  <c r="D1032" i="5"/>
  <c r="B1032" i="5"/>
  <c r="D1022" i="5"/>
  <c r="B1022" i="5"/>
  <c r="D1017" i="5"/>
  <c r="B1017" i="5"/>
  <c r="D1008" i="5"/>
  <c r="B1008" i="5"/>
  <c r="D1003" i="5"/>
  <c r="B1003" i="5"/>
  <c r="D998" i="5"/>
  <c r="B998" i="5"/>
  <c r="D987" i="5"/>
  <c r="B987" i="5"/>
  <c r="D976" i="5"/>
  <c r="B976" i="5"/>
  <c r="D969" i="5"/>
  <c r="B969" i="5"/>
  <c r="D962" i="5"/>
  <c r="B962" i="5"/>
  <c r="D955" i="5"/>
  <c r="B955" i="5"/>
  <c r="D949" i="5"/>
  <c r="B949" i="5"/>
  <c r="D943" i="5"/>
  <c r="B943" i="5"/>
  <c r="D934" i="5"/>
  <c r="B934" i="5"/>
  <c r="D925" i="5"/>
  <c r="B925" i="5"/>
  <c r="D918" i="5"/>
  <c r="B918" i="5"/>
  <c r="D909" i="5"/>
  <c r="B909" i="5"/>
  <c r="D903" i="5"/>
  <c r="B903" i="5"/>
  <c r="D899" i="5"/>
  <c r="B899" i="5"/>
  <c r="D892" i="5"/>
  <c r="B892" i="5"/>
  <c r="D887" i="5"/>
  <c r="B887" i="5"/>
  <c r="D881" i="5"/>
  <c r="B881" i="5"/>
  <c r="D875" i="5"/>
  <c r="B875" i="5"/>
  <c r="D867" i="5"/>
  <c r="B867" i="5"/>
  <c r="D862" i="5"/>
  <c r="B862" i="5"/>
  <c r="D856" i="5"/>
  <c r="B856" i="5"/>
  <c r="D850" i="5"/>
  <c r="B850" i="5"/>
  <c r="D845" i="5"/>
  <c r="B845" i="5"/>
  <c r="D839" i="5"/>
  <c r="B839" i="5"/>
  <c r="D832" i="5"/>
  <c r="B832" i="5"/>
  <c r="D827" i="5"/>
  <c r="B827" i="5"/>
  <c r="D823" i="5"/>
  <c r="B823" i="5"/>
  <c r="D818" i="5"/>
  <c r="B818" i="5"/>
  <c r="D814" i="5"/>
  <c r="B814" i="5"/>
  <c r="D804" i="5"/>
  <c r="B804" i="5"/>
  <c r="D790" i="5"/>
  <c r="B790" i="5"/>
  <c r="D783" i="5"/>
  <c r="B783" i="5"/>
  <c r="D772" i="5"/>
  <c r="B772" i="5"/>
  <c r="D766" i="5"/>
  <c r="B766" i="5"/>
  <c r="D755" i="5"/>
  <c r="B755" i="5"/>
  <c r="D748" i="5"/>
  <c r="B748" i="5"/>
  <c r="D744" i="5"/>
  <c r="B744" i="5"/>
  <c r="D736" i="5"/>
  <c r="B736" i="5"/>
  <c r="D730" i="5"/>
  <c r="B730" i="5"/>
  <c r="D723" i="5"/>
  <c r="B723" i="5"/>
  <c r="D714" i="5"/>
  <c r="B714" i="5"/>
  <c r="D704" i="5"/>
  <c r="B704" i="5"/>
  <c r="D696" i="5"/>
  <c r="B696" i="5"/>
  <c r="D686" i="5"/>
  <c r="B686" i="5"/>
  <c r="D676" i="5"/>
  <c r="B676" i="5"/>
  <c r="D668" i="5"/>
  <c r="B668" i="5"/>
  <c r="D664" i="5"/>
  <c r="B664" i="5"/>
  <c r="D660" i="5"/>
  <c r="B660" i="5"/>
  <c r="D656" i="5"/>
  <c r="B656" i="5"/>
  <c r="D652" i="5"/>
  <c r="B652" i="5"/>
  <c r="D648" i="5"/>
  <c r="B648" i="5"/>
  <c r="D644" i="5"/>
  <c r="B644" i="5"/>
  <c r="D637" i="5"/>
  <c r="B637" i="5"/>
  <c r="D629" i="5"/>
  <c r="B629" i="5"/>
  <c r="D621" i="5"/>
  <c r="B621" i="5"/>
  <c r="D615" i="5"/>
  <c r="B615" i="5"/>
  <c r="D606" i="5"/>
  <c r="B606" i="5"/>
  <c r="D596" i="5"/>
  <c r="B596" i="5"/>
  <c r="D588" i="5"/>
  <c r="B588" i="5"/>
  <c r="D579" i="5"/>
  <c r="B579" i="5"/>
  <c r="D569" i="5"/>
  <c r="B569" i="5"/>
  <c r="D561" i="5"/>
  <c r="B561" i="5"/>
  <c r="D553" i="5"/>
  <c r="B553" i="5"/>
  <c r="D545" i="5"/>
  <c r="B545" i="5"/>
  <c r="D537" i="5"/>
  <c r="B537" i="5"/>
  <c r="D531" i="5"/>
  <c r="B531" i="5"/>
  <c r="D524" i="5"/>
  <c r="B524" i="5"/>
  <c r="D517" i="5"/>
  <c r="B517" i="5"/>
  <c r="D511" i="5"/>
  <c r="B511" i="5"/>
  <c r="D504" i="5"/>
  <c r="B504" i="5"/>
  <c r="D497" i="5"/>
  <c r="B497" i="5"/>
  <c r="D489" i="5"/>
  <c r="B489" i="5"/>
  <c r="D483" i="5"/>
  <c r="B483" i="5"/>
  <c r="D471" i="5"/>
  <c r="B471" i="5"/>
  <c r="D464" i="5"/>
  <c r="B464" i="5"/>
  <c r="D454" i="5"/>
  <c r="B454" i="5"/>
  <c r="D446" i="5"/>
  <c r="B446" i="5"/>
  <c r="D440" i="5"/>
  <c r="B440" i="5"/>
  <c r="D434" i="5"/>
  <c r="B434" i="5"/>
  <c r="D422" i="5"/>
  <c r="B422" i="5"/>
  <c r="D415" i="5"/>
  <c r="B415" i="5"/>
  <c r="D401" i="5"/>
  <c r="B401" i="5"/>
  <c r="D394" i="5"/>
  <c r="B394" i="5"/>
  <c r="D380" i="5"/>
  <c r="B380" i="5"/>
  <c r="D371" i="5"/>
  <c r="B371" i="5"/>
  <c r="D365" i="5"/>
  <c r="B365" i="5"/>
  <c r="D351" i="5"/>
  <c r="B351" i="5"/>
  <c r="D341" i="5"/>
  <c r="B341" i="5"/>
  <c r="D326" i="5"/>
  <c r="B326" i="5"/>
  <c r="D320" i="5"/>
  <c r="B320" i="5"/>
  <c r="D305" i="5"/>
  <c r="B305" i="5"/>
  <c r="D290" i="5"/>
  <c r="B290" i="5"/>
  <c r="D283" i="5"/>
  <c r="B283" i="5"/>
  <c r="D276" i="5"/>
  <c r="B276" i="5"/>
  <c r="D268" i="5"/>
  <c r="B268" i="5"/>
  <c r="D263" i="5"/>
  <c r="B263" i="5"/>
  <c r="D248" i="5"/>
  <c r="B248" i="5"/>
  <c r="D240" i="5"/>
  <c r="B240" i="5"/>
  <c r="D236" i="5"/>
  <c r="B236" i="5"/>
  <c r="D232" i="5"/>
  <c r="B232" i="5"/>
  <c r="D228" i="5"/>
  <c r="B228" i="5"/>
  <c r="D224" i="5"/>
  <c r="B224" i="5"/>
  <c r="D219" i="5"/>
  <c r="B219" i="5"/>
  <c r="D214" i="5"/>
  <c r="B214" i="5"/>
  <c r="D210" i="5"/>
  <c r="B210" i="5"/>
  <c r="D205" i="5"/>
  <c r="B205" i="5"/>
  <c r="D201" i="5"/>
  <c r="B201" i="5"/>
  <c r="D197" i="5"/>
  <c r="B197" i="5"/>
  <c r="D190" i="5"/>
  <c r="B190" i="5"/>
  <c r="D183" i="5"/>
  <c r="B183" i="5"/>
  <c r="D179" i="5"/>
  <c r="B179" i="5"/>
  <c r="D175" i="5"/>
  <c r="B175" i="5"/>
  <c r="D171" i="5"/>
  <c r="B171" i="5"/>
  <c r="D166" i="5"/>
  <c r="B166" i="5"/>
  <c r="D161" i="5"/>
  <c r="B161" i="5"/>
  <c r="D154" i="5"/>
  <c r="B154" i="5"/>
  <c r="D149" i="5"/>
  <c r="B149" i="5"/>
  <c r="D144" i="5"/>
  <c r="B144" i="5"/>
  <c r="D139" i="5"/>
  <c r="B139" i="5"/>
  <c r="D135" i="5"/>
  <c r="B135" i="5"/>
  <c r="D131" i="5"/>
  <c r="B131" i="5"/>
  <c r="D126" i="5"/>
  <c r="B126" i="5"/>
  <c r="D121" i="5"/>
  <c r="B121" i="5"/>
  <c r="D116" i="5"/>
  <c r="B116" i="5"/>
  <c r="D111" i="5"/>
  <c r="B111" i="5"/>
  <c r="D106" i="5"/>
  <c r="B106" i="5"/>
  <c r="D102" i="5"/>
  <c r="B102" i="5"/>
  <c r="D97" i="5"/>
  <c r="B97" i="5"/>
  <c r="D92" i="5"/>
  <c r="B92" i="5"/>
  <c r="D87" i="5"/>
  <c r="B87" i="5"/>
  <c r="D82" i="5"/>
  <c r="B82" i="5"/>
  <c r="D77" i="5"/>
  <c r="B77" i="5"/>
  <c r="D69" i="5"/>
  <c r="B69" i="5"/>
  <c r="D64" i="5"/>
  <c r="B64" i="5"/>
  <c r="D59" i="5"/>
  <c r="B59" i="5"/>
  <c r="D52" i="5"/>
  <c r="B52" i="5"/>
  <c r="D47" i="5"/>
  <c r="B47" i="5"/>
  <c r="D42" i="5"/>
  <c r="B42" i="5"/>
  <c r="D37" i="5"/>
  <c r="B37" i="5"/>
  <c r="D33" i="5"/>
  <c r="B33" i="5"/>
  <c r="D28" i="5"/>
  <c r="B28" i="5"/>
  <c r="D23" i="5"/>
  <c r="B23" i="5"/>
  <c r="D18" i="5"/>
  <c r="B18" i="5"/>
  <c r="D14" i="5"/>
  <c r="B14" i="5"/>
  <c r="D10" i="5"/>
  <c r="B10" i="5"/>
  <c r="D6" i="5"/>
  <c r="B6" i="5"/>
  <c r="A3" i="5"/>
  <c r="A3" i="7" l="1"/>
  <c r="A3" i="6"/>
  <c r="G6004" i="5" l="1"/>
  <c r="G5317" i="5"/>
  <c r="G5222" i="5"/>
  <c r="G5218" i="5"/>
  <c r="G5180" i="5"/>
  <c r="G5146" i="5"/>
  <c r="G5164" i="5"/>
  <c r="G5281" i="5"/>
  <c r="G5206" i="5"/>
  <c r="G5290" i="5"/>
  <c r="G5187" i="5"/>
  <c r="G5275" i="5"/>
  <c r="G5191" i="5"/>
  <c r="G5158" i="5"/>
  <c r="G5300" i="5"/>
  <c r="G5308" i="5"/>
  <c r="G5152" i="5"/>
  <c r="G5212" i="5"/>
  <c r="G5140" i="5"/>
  <c r="G4962" i="5"/>
  <c r="G5019" i="5"/>
  <c r="G5076" i="5"/>
  <c r="G5082" i="5"/>
  <c r="G5005" i="5"/>
  <c r="G5070" i="5"/>
  <c r="G5035" i="5"/>
  <c r="G4923" i="5"/>
  <c r="G5027" i="5"/>
  <c r="G5012" i="5"/>
  <c r="G4967" i="5"/>
  <c r="G4975" i="5"/>
  <c r="G4983" i="5"/>
  <c r="G4991" i="5"/>
  <c r="G4998" i="5"/>
  <c r="G4743" i="5"/>
  <c r="G4896" i="5"/>
  <c r="G4892" i="5"/>
  <c r="G4765" i="5"/>
  <c r="G4779" i="5"/>
  <c r="G4751" i="5"/>
  <c r="G4798" i="5"/>
  <c r="G4805" i="5"/>
  <c r="G4758" i="5"/>
  <c r="G4772" i="5"/>
  <c r="G4725" i="5"/>
  <c r="G4735" i="5"/>
  <c r="G4657" i="5"/>
  <c r="G4652" i="5"/>
  <c r="E17" i="9" l="1"/>
  <c r="F34" i="7"/>
  <c r="F23" i="7"/>
  <c r="F18" i="7"/>
  <c r="F358" i="6"/>
  <c r="F357" i="6"/>
  <c r="F356" i="6"/>
  <c r="D346" i="6"/>
  <c r="D334" i="6"/>
  <c r="D333" i="6"/>
  <c r="F323" i="6"/>
  <c r="F322" i="6"/>
  <c r="D320" i="6"/>
  <c r="D319" i="6"/>
  <c r="F310" i="6"/>
  <c r="F297" i="6"/>
  <c r="F296" i="6"/>
  <c r="F293" i="6"/>
  <c r="D292" i="6"/>
  <c r="D291" i="6"/>
  <c r="D273" i="6"/>
  <c r="D272" i="6"/>
  <c r="D263" i="6"/>
  <c r="D262" i="6"/>
  <c r="D249" i="6"/>
  <c r="D248" i="6"/>
  <c r="D235" i="6"/>
  <c r="D234" i="6"/>
  <c r="F221" i="6"/>
  <c r="D211" i="6"/>
  <c r="F208" i="6"/>
  <c r="F204" i="6"/>
  <c r="F191" i="6"/>
  <c r="F180" i="6"/>
  <c r="F179" i="6"/>
  <c r="F178" i="6"/>
  <c r="F177" i="6"/>
  <c r="D176" i="6"/>
  <c r="D175" i="6"/>
  <c r="F169" i="6"/>
  <c r="F166" i="6"/>
  <c r="F165" i="6"/>
  <c r="D164" i="6"/>
  <c r="D163" i="6"/>
  <c r="F155" i="6"/>
  <c r="F149" i="6"/>
  <c r="F148" i="6"/>
  <c r="F147" i="6"/>
  <c r="F131" i="6"/>
  <c r="F129" i="6"/>
  <c r="F123" i="6"/>
  <c r="F112" i="6"/>
  <c r="F106" i="6"/>
  <c r="D102" i="6"/>
  <c r="D101" i="6"/>
  <c r="F96" i="6"/>
  <c r="F95" i="6"/>
  <c r="D92" i="6"/>
  <c r="D91" i="6"/>
  <c r="F87" i="6"/>
  <c r="F86" i="6"/>
  <c r="F85" i="6"/>
  <c r="F80" i="6"/>
  <c r="F79" i="6"/>
  <c r="D75" i="6"/>
  <c r="D74" i="6"/>
  <c r="F69" i="6"/>
  <c r="F60" i="6"/>
  <c r="F59" i="6"/>
  <c r="F58" i="6"/>
  <c r="D57" i="6"/>
  <c r="D56" i="6"/>
  <c r="F49" i="6"/>
  <c r="F39" i="6"/>
  <c r="F38" i="6"/>
  <c r="F26" i="6"/>
  <c r="F20" i="6"/>
  <c r="F14" i="6"/>
  <c r="F13" i="6"/>
  <c r="D12" i="6"/>
  <c r="D11" i="6"/>
  <c r="F6" i="6"/>
  <c r="G4623" i="5"/>
  <c r="G4620" i="5"/>
  <c r="G4619" i="5"/>
  <c r="G4618" i="5"/>
  <c r="G4609" i="5"/>
  <c r="G4608" i="5"/>
  <c r="G4607" i="5"/>
  <c r="G4606" i="5"/>
  <c r="G4605" i="5"/>
  <c r="E4604" i="5"/>
  <c r="E4603" i="5"/>
  <c r="G4601" i="5"/>
  <c r="G4600" i="5"/>
  <c r="G4599" i="5"/>
  <c r="G4598" i="5"/>
  <c r="G4597" i="5"/>
  <c r="G4595" i="5"/>
  <c r="G4594" i="5"/>
  <c r="G4593" i="5"/>
  <c r="G4592" i="5"/>
  <c r="G4591" i="5"/>
  <c r="G4590" i="5"/>
  <c r="E4588" i="5"/>
  <c r="G4583" i="5"/>
  <c r="G4582" i="5"/>
  <c r="G4581" i="5"/>
  <c r="G4574" i="5"/>
  <c r="G4573" i="5"/>
  <c r="G4572" i="5"/>
  <c r="G4571" i="5"/>
  <c r="G4570" i="5"/>
  <c r="G4569" i="5"/>
  <c r="G4566" i="5"/>
  <c r="G4565" i="5"/>
  <c r="G4564" i="5"/>
  <c r="G4560" i="5"/>
  <c r="G4559" i="5"/>
  <c r="G4558" i="5"/>
  <c r="G4550" i="5"/>
  <c r="G4549" i="5"/>
  <c r="G4548" i="5"/>
  <c r="G4542" i="5"/>
  <c r="G4541" i="5"/>
  <c r="G4540" i="5"/>
  <c r="G4534" i="5"/>
  <c r="G4533" i="5"/>
  <c r="G4532" i="5"/>
  <c r="G4528" i="5"/>
  <c r="G4527" i="5"/>
  <c r="G4526" i="5"/>
  <c r="G4525" i="5"/>
  <c r="G4524" i="5"/>
  <c r="G4523" i="5"/>
  <c r="G4520" i="5"/>
  <c r="G4518" i="5"/>
  <c r="G4517" i="5"/>
  <c r="G4516" i="5"/>
  <c r="E4515" i="5"/>
  <c r="E4514" i="5"/>
  <c r="G4508" i="5"/>
  <c r="G4507" i="5"/>
  <c r="G4506" i="5"/>
  <c r="G4502" i="5"/>
  <c r="G4501" i="5"/>
  <c r="G4500" i="5"/>
  <c r="G4499" i="5"/>
  <c r="G4498" i="5"/>
  <c r="E4497" i="5"/>
  <c r="G4494" i="5"/>
  <c r="G4493" i="5"/>
  <c r="G4492" i="5"/>
  <c r="G4485" i="5"/>
  <c r="G4484" i="5"/>
  <c r="G4483" i="5"/>
  <c r="E4482" i="5"/>
  <c r="E4481" i="5"/>
  <c r="E4480" i="5"/>
  <c r="E4479" i="5"/>
  <c r="E4478" i="5"/>
  <c r="G4477" i="5"/>
  <c r="G4476" i="5"/>
  <c r="G4475" i="5"/>
  <c r="G4474" i="5"/>
  <c r="G4473" i="5"/>
  <c r="E4472" i="5"/>
  <c r="E4471" i="5"/>
  <c r="G4458" i="5"/>
  <c r="G4457" i="5"/>
  <c r="G4456" i="5"/>
  <c r="E4451" i="5"/>
  <c r="E4450" i="5"/>
  <c r="E4449" i="5"/>
  <c r="E4448" i="5"/>
  <c r="E4447" i="5"/>
  <c r="G4446" i="5"/>
  <c r="G4445" i="5"/>
  <c r="G4444" i="5"/>
  <c r="G4434" i="5"/>
  <c r="G4432" i="5"/>
  <c r="G4428" i="5"/>
  <c r="G4427" i="5"/>
  <c r="G4426" i="5"/>
  <c r="G4423" i="5"/>
  <c r="G4422" i="5"/>
  <c r="G4421" i="5"/>
  <c r="E4420" i="5"/>
  <c r="G4415" i="5"/>
  <c r="G4414" i="5"/>
  <c r="G4413" i="5"/>
  <c r="G4409" i="5"/>
  <c r="G4408" i="5"/>
  <c r="G4407" i="5"/>
  <c r="G4404" i="5"/>
  <c r="G4403" i="5"/>
  <c r="G4402" i="5"/>
  <c r="G4399" i="5"/>
  <c r="G4398" i="5"/>
  <c r="G4397" i="5"/>
  <c r="G4393" i="5"/>
  <c r="G4392" i="5"/>
  <c r="G4391" i="5"/>
  <c r="G4385" i="5"/>
  <c r="G4384" i="5"/>
  <c r="G4383" i="5"/>
  <c r="G4377" i="5"/>
  <c r="G4376" i="5"/>
  <c r="G4375" i="5"/>
  <c r="E4364" i="5"/>
  <c r="G4357" i="5"/>
  <c r="G4356" i="5"/>
  <c r="G4355" i="5"/>
  <c r="G4351" i="5"/>
  <c r="G4350" i="5"/>
  <c r="G4349" i="5"/>
  <c r="G4339" i="5"/>
  <c r="G4338" i="5"/>
  <c r="G4337" i="5"/>
  <c r="G4327" i="5"/>
  <c r="G4326" i="5"/>
  <c r="G4325" i="5"/>
  <c r="G4319" i="5"/>
  <c r="G4318" i="5"/>
  <c r="G4317" i="5"/>
  <c r="G4309" i="5"/>
  <c r="G4308" i="5"/>
  <c r="G4307" i="5"/>
  <c r="G4299" i="5"/>
  <c r="G4297" i="5"/>
  <c r="G4289" i="5"/>
  <c r="G4288" i="5"/>
  <c r="G4287" i="5"/>
  <c r="E4286" i="5"/>
  <c r="E4284" i="5"/>
  <c r="E4283" i="5"/>
  <c r="E4282" i="5"/>
  <c r="G4281" i="5"/>
  <c r="G4280" i="5"/>
  <c r="G4279" i="5"/>
  <c r="E4278" i="5"/>
  <c r="E4276" i="5"/>
  <c r="E4275" i="5"/>
  <c r="E4274" i="5"/>
  <c r="G4273" i="5"/>
  <c r="G4272" i="5"/>
  <c r="G4271" i="5"/>
  <c r="G4263" i="5"/>
  <c r="G4262" i="5"/>
  <c r="G4261" i="5"/>
  <c r="G4254" i="5"/>
  <c r="G4253" i="5"/>
  <c r="G4252" i="5"/>
  <c r="G4245" i="5"/>
  <c r="G4244" i="5"/>
  <c r="G4243" i="5"/>
  <c r="G4236" i="5"/>
  <c r="G4235" i="5"/>
  <c r="G4234" i="5"/>
  <c r="G4227" i="5"/>
  <c r="G4226" i="5"/>
  <c r="G4225" i="5"/>
  <c r="G4217" i="5"/>
  <c r="G4216" i="5"/>
  <c r="G4215" i="5"/>
  <c r="E4213" i="5"/>
  <c r="E4212" i="5"/>
  <c r="E4211" i="5"/>
  <c r="G4210" i="5"/>
  <c r="G4209" i="5"/>
  <c r="G4208" i="5"/>
  <c r="G4207" i="5"/>
  <c r="G4206" i="5"/>
  <c r="E4205" i="5"/>
  <c r="E4204" i="5"/>
  <c r="G4183" i="5"/>
  <c r="G4182" i="5"/>
  <c r="G4181" i="5"/>
  <c r="G4180" i="5"/>
  <c r="G4179" i="5"/>
  <c r="E4178" i="5"/>
  <c r="E4177" i="5"/>
  <c r="G4167" i="5"/>
  <c r="G4166" i="5"/>
  <c r="G4165" i="5"/>
  <c r="E4161" i="5"/>
  <c r="E4160" i="5"/>
  <c r="E4159" i="5"/>
  <c r="G4158" i="5"/>
  <c r="G4157" i="5"/>
  <c r="G4156" i="5"/>
  <c r="G4148" i="5"/>
  <c r="G4147" i="5"/>
  <c r="G4146" i="5"/>
  <c r="G4143" i="5"/>
  <c r="G4142" i="5"/>
  <c r="G4141" i="5"/>
  <c r="G4136" i="5"/>
  <c r="G4135" i="5"/>
  <c r="G4134" i="5"/>
  <c r="G4129" i="5"/>
  <c r="G4128" i="5"/>
  <c r="G4127" i="5"/>
  <c r="G4123" i="5"/>
  <c r="G4122" i="5"/>
  <c r="G4121" i="5"/>
  <c r="G4120" i="5"/>
  <c r="G4119" i="5"/>
  <c r="E4116" i="5"/>
  <c r="G4115" i="5"/>
  <c r="G4114" i="5"/>
  <c r="G4113" i="5"/>
  <c r="G4109" i="5"/>
  <c r="G4108" i="5"/>
  <c r="G4107" i="5"/>
  <c r="G4099" i="5"/>
  <c r="G4098" i="5"/>
  <c r="G4097" i="5"/>
  <c r="G4093" i="5"/>
  <c r="G4092" i="5"/>
  <c r="G4091" i="5"/>
  <c r="G4087" i="5"/>
  <c r="G4086" i="5"/>
  <c r="G4085" i="5"/>
  <c r="G4081" i="5"/>
  <c r="G4080" i="5"/>
  <c r="G4079" i="5"/>
  <c r="G4074" i="5"/>
  <c r="G4073" i="5"/>
  <c r="G4072" i="5"/>
  <c r="G4067" i="5"/>
  <c r="G4066" i="5"/>
  <c r="G4065" i="5"/>
  <c r="G4063" i="5"/>
  <c r="G4062" i="5"/>
  <c r="G4061" i="5"/>
  <c r="G4060" i="5"/>
  <c r="G4059" i="5"/>
  <c r="E4054" i="5"/>
  <c r="G4052" i="5"/>
  <c r="G4051" i="5"/>
  <c r="G4050" i="5"/>
  <c r="G4041" i="5"/>
  <c r="G4040" i="5"/>
  <c r="G4039" i="5"/>
  <c r="G4034" i="5"/>
  <c r="G4033" i="5"/>
  <c r="G4032" i="5"/>
  <c r="G4024" i="5"/>
  <c r="G4023" i="5"/>
  <c r="G4022" i="5"/>
  <c r="G4016" i="5"/>
  <c r="G4015" i="5"/>
  <c r="G4014" i="5"/>
  <c r="G4008" i="5"/>
  <c r="G4007" i="5"/>
  <c r="G4006" i="5"/>
  <c r="G4000" i="5"/>
  <c r="G3998" i="5"/>
  <c r="G3993" i="5"/>
  <c r="G3992" i="5"/>
  <c r="G3991" i="5"/>
  <c r="G3989" i="5"/>
  <c r="G3988" i="5"/>
  <c r="G3987" i="5"/>
  <c r="G3986" i="5"/>
  <c r="G3985" i="5"/>
  <c r="E3984" i="5"/>
  <c r="G3983" i="5"/>
  <c r="G3982" i="5"/>
  <c r="G3981" i="5"/>
  <c r="G3976" i="5"/>
  <c r="G3975" i="5"/>
  <c r="G3974" i="5"/>
  <c r="G3970" i="5"/>
  <c r="G3968" i="5"/>
  <c r="G3964" i="5"/>
  <c r="G3963" i="5"/>
  <c r="G3962" i="5"/>
  <c r="G3955" i="5"/>
  <c r="G3953" i="5"/>
  <c r="G3946" i="5"/>
  <c r="G3945" i="5"/>
  <c r="G3944" i="5"/>
  <c r="G3937" i="5"/>
  <c r="G3936" i="5"/>
  <c r="G3935" i="5"/>
  <c r="G3928" i="5"/>
  <c r="G3927" i="5"/>
  <c r="G3926" i="5"/>
  <c r="G3919" i="5"/>
  <c r="G3917" i="5"/>
  <c r="G3910" i="5"/>
  <c r="G3909" i="5"/>
  <c r="G3908" i="5"/>
  <c r="G3906" i="5"/>
  <c r="G3905" i="5"/>
  <c r="G3904" i="5"/>
  <c r="G3902" i="5"/>
  <c r="G3901" i="5"/>
  <c r="G3900" i="5"/>
  <c r="E3898" i="5"/>
  <c r="G3897" i="5"/>
  <c r="G3896" i="5"/>
  <c r="G3895" i="5"/>
  <c r="G3884" i="5"/>
  <c r="G3883" i="5"/>
  <c r="G3882" i="5"/>
  <c r="G3881" i="5"/>
  <c r="G3880" i="5"/>
  <c r="E3879" i="5"/>
  <c r="E3878" i="5"/>
  <c r="G3871" i="5"/>
  <c r="G3870" i="5"/>
  <c r="G3869" i="5"/>
  <c r="G3863" i="5"/>
  <c r="G3862" i="5"/>
  <c r="G3861" i="5"/>
  <c r="G3856" i="5"/>
  <c r="G3855" i="5"/>
  <c r="G3854" i="5"/>
  <c r="G3846" i="5"/>
  <c r="G3844" i="5"/>
  <c r="E3841" i="5"/>
  <c r="G3839" i="5"/>
  <c r="G3838" i="5"/>
  <c r="G3837" i="5"/>
  <c r="G3830" i="5"/>
  <c r="G3829" i="5"/>
  <c r="G3828" i="5"/>
  <c r="E3827" i="5"/>
  <c r="E3826" i="5"/>
  <c r="E3825" i="5"/>
  <c r="E3824" i="5"/>
  <c r="G3823" i="5"/>
  <c r="G3822" i="5"/>
  <c r="G3821" i="5"/>
  <c r="G3817" i="5"/>
  <c r="G3816" i="5"/>
  <c r="G3815" i="5"/>
  <c r="G3811" i="5"/>
  <c r="G3810" i="5"/>
  <c r="G3809" i="5"/>
  <c r="G3805" i="5"/>
  <c r="G3803" i="5"/>
  <c r="G3789" i="5"/>
  <c r="G3787" i="5"/>
  <c r="G3782" i="5"/>
  <c r="G3780" i="5"/>
  <c r="G3767" i="5"/>
  <c r="G3766" i="5"/>
  <c r="G3765" i="5"/>
  <c r="G3764" i="5"/>
  <c r="G3763" i="5"/>
  <c r="E3762" i="5"/>
  <c r="E3761" i="5"/>
  <c r="G3755" i="5"/>
  <c r="G3754" i="5"/>
  <c r="G3753" i="5"/>
  <c r="G3747" i="5"/>
  <c r="G3745" i="5"/>
  <c r="G3738" i="5"/>
  <c r="G3737" i="5"/>
  <c r="G3736" i="5"/>
  <c r="G3728" i="5"/>
  <c r="G3726" i="5"/>
  <c r="G3725" i="5"/>
  <c r="G3724" i="5"/>
  <c r="E3723" i="5"/>
  <c r="G3717" i="5"/>
  <c r="G3716" i="5"/>
  <c r="G3715" i="5"/>
  <c r="E3714" i="5"/>
  <c r="E3713" i="5"/>
  <c r="G3712" i="5"/>
  <c r="G3711" i="5"/>
  <c r="G3710" i="5"/>
  <c r="G3709" i="5"/>
  <c r="G3708" i="5"/>
  <c r="E3707" i="5"/>
  <c r="G3706" i="5"/>
  <c r="G3705" i="5"/>
  <c r="G3704" i="5"/>
  <c r="G3702" i="5"/>
  <c r="G3701" i="5"/>
  <c r="G3700" i="5"/>
  <c r="G3698" i="5"/>
  <c r="G3696" i="5"/>
  <c r="G3694" i="5"/>
  <c r="G3693" i="5"/>
  <c r="G3692" i="5"/>
  <c r="G3685" i="5"/>
  <c r="G3684" i="5"/>
  <c r="G3683" i="5"/>
  <c r="G3682" i="5"/>
  <c r="G3681" i="5"/>
  <c r="G3680" i="5"/>
  <c r="E3679" i="5"/>
  <c r="E3678" i="5"/>
  <c r="E3677" i="5"/>
  <c r="G3676" i="5"/>
  <c r="G3675" i="5"/>
  <c r="G3674" i="5"/>
  <c r="E3673" i="5"/>
  <c r="G3671" i="5"/>
  <c r="G3670" i="5"/>
  <c r="G3669" i="5"/>
  <c r="G3661" i="5"/>
  <c r="G3659" i="5"/>
  <c r="G3657" i="5"/>
  <c r="G3655" i="5"/>
  <c r="G3654" i="5"/>
  <c r="G3653" i="5"/>
  <c r="E3652" i="5"/>
  <c r="E3650" i="5"/>
  <c r="E3649" i="5"/>
  <c r="E3648" i="5"/>
  <c r="E3647" i="5"/>
  <c r="G3646" i="5"/>
  <c r="G3645" i="5"/>
  <c r="G3644" i="5"/>
  <c r="G3643" i="5"/>
  <c r="G3642" i="5"/>
  <c r="E3641" i="5"/>
  <c r="E3640" i="5"/>
  <c r="G3633" i="5"/>
  <c r="G3631" i="5"/>
  <c r="G3630" i="5"/>
  <c r="G3629" i="5"/>
  <c r="E3628" i="5"/>
  <c r="E3627" i="5"/>
  <c r="G3621" i="5"/>
  <c r="G3620" i="5"/>
  <c r="G3619" i="5"/>
  <c r="G3618" i="5"/>
  <c r="G3617" i="5"/>
  <c r="E3616" i="5"/>
  <c r="E3615" i="5"/>
  <c r="E3614" i="5"/>
  <c r="G3613" i="5"/>
  <c r="G3612" i="5"/>
  <c r="G3611" i="5"/>
  <c r="G3610" i="5"/>
  <c r="G3609" i="5"/>
  <c r="E3606" i="5"/>
  <c r="E3605" i="5"/>
  <c r="E3604" i="5"/>
  <c r="E3603" i="5"/>
  <c r="E3602" i="5"/>
  <c r="G3598" i="5"/>
  <c r="G3596" i="5"/>
  <c r="G3592" i="5"/>
  <c r="G3591" i="5"/>
  <c r="G3590" i="5"/>
  <c r="G3588" i="5"/>
  <c r="G3587" i="5"/>
  <c r="G3586" i="5"/>
  <c r="E3583" i="5"/>
  <c r="G3580" i="5"/>
  <c r="G3579" i="5"/>
  <c r="G3578" i="5"/>
  <c r="G3575" i="5"/>
  <c r="G3574" i="5"/>
  <c r="G3573" i="5"/>
  <c r="G3570" i="5"/>
  <c r="G3569" i="5"/>
  <c r="G3568" i="5"/>
  <c r="G3560" i="5"/>
  <c r="G3559" i="5"/>
  <c r="G3558" i="5"/>
  <c r="G3554" i="5"/>
  <c r="G3553" i="5"/>
  <c r="G3552" i="5"/>
  <c r="G3547" i="5"/>
  <c r="G3545" i="5"/>
  <c r="E3544" i="5"/>
  <c r="G3541" i="5"/>
  <c r="G3540" i="5"/>
  <c r="G3539" i="5"/>
  <c r="E3538" i="5"/>
  <c r="G3533" i="5"/>
  <c r="G3532" i="5"/>
  <c r="G3531" i="5"/>
  <c r="G3528" i="5"/>
  <c r="G3527" i="5"/>
  <c r="G3526" i="5"/>
  <c r="E3523" i="5"/>
  <c r="G3521" i="5"/>
  <c r="G3520" i="5"/>
  <c r="G3519" i="5"/>
  <c r="E3518" i="5"/>
  <c r="E3517" i="5"/>
  <c r="E3516" i="5"/>
  <c r="E3515" i="5"/>
  <c r="G3513" i="5"/>
  <c r="G3512" i="5"/>
  <c r="G3511" i="5"/>
  <c r="G3507" i="5"/>
  <c r="G3506" i="5"/>
  <c r="G3505" i="5"/>
  <c r="G3501" i="5"/>
  <c r="G3500" i="5"/>
  <c r="G3499" i="5"/>
  <c r="G3498" i="5"/>
  <c r="G3497" i="5"/>
  <c r="G3496" i="5"/>
  <c r="E3494" i="5"/>
  <c r="E3493" i="5"/>
  <c r="E3492" i="5"/>
  <c r="E3491" i="5"/>
  <c r="E3488" i="5"/>
  <c r="E3486" i="5"/>
  <c r="G3485" i="5"/>
  <c r="G3484" i="5"/>
  <c r="G3483" i="5"/>
  <c r="G3478" i="5"/>
  <c r="G3477" i="5"/>
  <c r="G3476" i="5"/>
  <c r="G3475" i="5"/>
  <c r="G3474" i="5"/>
  <c r="G3473" i="5"/>
  <c r="E3471" i="5"/>
  <c r="E3470" i="5"/>
  <c r="G3466" i="5"/>
  <c r="G3465" i="5"/>
  <c r="G3464" i="5"/>
  <c r="G3463" i="5"/>
  <c r="G3462" i="5"/>
  <c r="G3461" i="5"/>
  <c r="E3459" i="5"/>
  <c r="E3458" i="5"/>
  <c r="E3457" i="5"/>
  <c r="E3456" i="5"/>
  <c r="E3453" i="5"/>
  <c r="E3451" i="5"/>
  <c r="G3449" i="5"/>
  <c r="G3448" i="5"/>
  <c r="G3447" i="5"/>
  <c r="G3441" i="5"/>
  <c r="G3440" i="5"/>
  <c r="G3439" i="5"/>
  <c r="G3438" i="5"/>
  <c r="G3437" i="5"/>
  <c r="G3436" i="5"/>
  <c r="E3434" i="5"/>
  <c r="E3433" i="5"/>
  <c r="E3432" i="5"/>
  <c r="E3431" i="5"/>
  <c r="E3428" i="5"/>
  <c r="E3426" i="5"/>
  <c r="G3424" i="5"/>
  <c r="G3423" i="5"/>
  <c r="G3422" i="5"/>
  <c r="G3416" i="5"/>
  <c r="G3415" i="5"/>
  <c r="G3414" i="5"/>
  <c r="G3413" i="5"/>
  <c r="G3412" i="5"/>
  <c r="E3411" i="5"/>
  <c r="E3409" i="5"/>
  <c r="E3408" i="5"/>
  <c r="E3407" i="5"/>
  <c r="E3406" i="5"/>
  <c r="G3405" i="5"/>
  <c r="G3404" i="5"/>
  <c r="G3403" i="5"/>
  <c r="G3402" i="5"/>
  <c r="G3401" i="5"/>
  <c r="E3400" i="5"/>
  <c r="E3399" i="5"/>
  <c r="E3398" i="5"/>
  <c r="E3397" i="5"/>
  <c r="E3396" i="5"/>
  <c r="G3395" i="5"/>
  <c r="G3394" i="5"/>
  <c r="G3393" i="5"/>
  <c r="G3391" i="5"/>
  <c r="G3390" i="5"/>
  <c r="G3389" i="5"/>
  <c r="G3387" i="5"/>
  <c r="G3386" i="5"/>
  <c r="G3385" i="5"/>
  <c r="G3382" i="5"/>
  <c r="G3381" i="5"/>
  <c r="G3380" i="5"/>
  <c r="G3377" i="5"/>
  <c r="G3376" i="5"/>
  <c r="G3375" i="5"/>
  <c r="G3372" i="5"/>
  <c r="G3371" i="5"/>
  <c r="G3370" i="5"/>
  <c r="G3365" i="5"/>
  <c r="G3363" i="5"/>
  <c r="G3358" i="5"/>
  <c r="G3357" i="5"/>
  <c r="G3356" i="5"/>
  <c r="G3351" i="5"/>
  <c r="G3349" i="5"/>
  <c r="G3347" i="5"/>
  <c r="G3346" i="5"/>
  <c r="G3345" i="5"/>
  <c r="G3343" i="5"/>
  <c r="G3342" i="5"/>
  <c r="G3341" i="5"/>
  <c r="G3338" i="5"/>
  <c r="G3337" i="5"/>
  <c r="G3336" i="5"/>
  <c r="G3334" i="5"/>
  <c r="G3333" i="5"/>
  <c r="G3332" i="5"/>
  <c r="G3330" i="5"/>
  <c r="G3328" i="5"/>
  <c r="G3323" i="5"/>
  <c r="G3322" i="5"/>
  <c r="G3321" i="5"/>
  <c r="G3316" i="5"/>
  <c r="G3315" i="5"/>
  <c r="G3314" i="5"/>
  <c r="G3309" i="5"/>
  <c r="G3308" i="5"/>
  <c r="G3307" i="5"/>
  <c r="G3304" i="5"/>
  <c r="G3303" i="5"/>
  <c r="G3302" i="5"/>
  <c r="G3301" i="5"/>
  <c r="G3300" i="5"/>
  <c r="E3297" i="5"/>
  <c r="G3295" i="5"/>
  <c r="G3294" i="5"/>
  <c r="G3293" i="5"/>
  <c r="G3289" i="5"/>
  <c r="G3288" i="5"/>
  <c r="G3287" i="5"/>
  <c r="G3283" i="5"/>
  <c r="G3281" i="5"/>
  <c r="G3276" i="5"/>
  <c r="G3275" i="5"/>
  <c r="G3274" i="5"/>
  <c r="G3269" i="5"/>
  <c r="G3268" i="5"/>
  <c r="G3267" i="5"/>
  <c r="G3262" i="5"/>
  <c r="G3260" i="5"/>
  <c r="G3255" i="5"/>
  <c r="G3253" i="5"/>
  <c r="G3248" i="5"/>
  <c r="G3247" i="5"/>
  <c r="G3246" i="5"/>
  <c r="G3241" i="5"/>
  <c r="G3240" i="5"/>
  <c r="G3239" i="5"/>
  <c r="G3234" i="5"/>
  <c r="G3232" i="5"/>
  <c r="G3227" i="5"/>
  <c r="G3225" i="5"/>
  <c r="G3220" i="5"/>
  <c r="G3219" i="5"/>
  <c r="G3218" i="5"/>
  <c r="G3213" i="5"/>
  <c r="G3212" i="5"/>
  <c r="G3211" i="5"/>
  <c r="G3208" i="5"/>
  <c r="G3207" i="5"/>
  <c r="G3206" i="5"/>
  <c r="G3198" i="5"/>
  <c r="G3197" i="5"/>
  <c r="G3196" i="5"/>
  <c r="G3192" i="5"/>
  <c r="G3191" i="5"/>
  <c r="G3190" i="5"/>
  <c r="G3186" i="5"/>
  <c r="G3185" i="5"/>
  <c r="G3184" i="5"/>
  <c r="G3180" i="5"/>
  <c r="G3179" i="5"/>
  <c r="G3178" i="5"/>
  <c r="G3177" i="5"/>
  <c r="G3176" i="5"/>
  <c r="E3175" i="5"/>
  <c r="E3174" i="5"/>
  <c r="G3167" i="5"/>
  <c r="G3166" i="5"/>
  <c r="G3165" i="5"/>
  <c r="G3160" i="5"/>
  <c r="G3159" i="5"/>
  <c r="G3158" i="5"/>
  <c r="G3156" i="5"/>
  <c r="G3154" i="5"/>
  <c r="G3151" i="5"/>
  <c r="G3150" i="5"/>
  <c r="G3149" i="5"/>
  <c r="G3143" i="5"/>
  <c r="G3142" i="5"/>
  <c r="G3141" i="5"/>
  <c r="G3135" i="5"/>
  <c r="G3134" i="5"/>
  <c r="G3133" i="5"/>
  <c r="G3129" i="5"/>
  <c r="G3127" i="5"/>
  <c r="G3124" i="5"/>
  <c r="G3123" i="5"/>
  <c r="G3122" i="5"/>
  <c r="G3118" i="5"/>
  <c r="G3116" i="5"/>
  <c r="G3113" i="5"/>
  <c r="G3112" i="5"/>
  <c r="G3111" i="5"/>
  <c r="G3107" i="5"/>
  <c r="G3106" i="5"/>
  <c r="G3105" i="5"/>
  <c r="G3101" i="5"/>
  <c r="G3100" i="5"/>
  <c r="G3099" i="5"/>
  <c r="G3095" i="5"/>
  <c r="G3094" i="5"/>
  <c r="G3093" i="5"/>
  <c r="G3092" i="5"/>
  <c r="G3091" i="5"/>
  <c r="G3089" i="5"/>
  <c r="G3088" i="5"/>
  <c r="G3087" i="5"/>
  <c r="G3084" i="5"/>
  <c r="G3083" i="5"/>
  <c r="G3082" i="5"/>
  <c r="G3079" i="5"/>
  <c r="G3078" i="5"/>
  <c r="G3077" i="5"/>
  <c r="G3074" i="5"/>
  <c r="G3073" i="5"/>
  <c r="G3072" i="5"/>
  <c r="G3069" i="5"/>
  <c r="G3068" i="5"/>
  <c r="G3067" i="5"/>
  <c r="G3064" i="5"/>
  <c r="G3063" i="5"/>
  <c r="G3062" i="5"/>
  <c r="G3059" i="5"/>
  <c r="G3058" i="5"/>
  <c r="G3057" i="5"/>
  <c r="G3054" i="5"/>
  <c r="G3053" i="5"/>
  <c r="G3052" i="5"/>
  <c r="G3049" i="5"/>
  <c r="G3048" i="5"/>
  <c r="G3047" i="5"/>
  <c r="G3044" i="5"/>
  <c r="G3043" i="5"/>
  <c r="G3042" i="5"/>
  <c r="G3036" i="5"/>
  <c r="G3035" i="5"/>
  <c r="G3034" i="5"/>
  <c r="G3031" i="5"/>
  <c r="G3030" i="5"/>
  <c r="G3029" i="5"/>
  <c r="G3023" i="5"/>
  <c r="G3022" i="5"/>
  <c r="G3021" i="5"/>
  <c r="G3019" i="5"/>
  <c r="G3018" i="5"/>
  <c r="G3017" i="5"/>
  <c r="G3016" i="5"/>
  <c r="G3015" i="5"/>
  <c r="G3014" i="5"/>
  <c r="G3011" i="5"/>
  <c r="G3010" i="5"/>
  <c r="G3009" i="5"/>
  <c r="G3006" i="5"/>
  <c r="G3005" i="5"/>
  <c r="G3004" i="5"/>
  <c r="G3003" i="5"/>
  <c r="G3002" i="5"/>
  <c r="G3001" i="5"/>
  <c r="G2998" i="5"/>
  <c r="G2997" i="5"/>
  <c r="G2996" i="5"/>
  <c r="G2993" i="5"/>
  <c r="G2992" i="5"/>
  <c r="G2991" i="5"/>
  <c r="G2988" i="5"/>
  <c r="G2987" i="5"/>
  <c r="G2986" i="5"/>
  <c r="G2983" i="5"/>
  <c r="G2982" i="5"/>
  <c r="G2981" i="5"/>
  <c r="G2978" i="5"/>
  <c r="G2977" i="5"/>
  <c r="G2976" i="5"/>
  <c r="G2973" i="5"/>
  <c r="G2972" i="5"/>
  <c r="G2971" i="5"/>
  <c r="G2968" i="5"/>
  <c r="G2967" i="5"/>
  <c r="G2966" i="5"/>
  <c r="G2963" i="5"/>
  <c r="G2962" i="5"/>
  <c r="G2961" i="5"/>
  <c r="G2958" i="5"/>
  <c r="G2957" i="5"/>
  <c r="G2956" i="5"/>
  <c r="G2953" i="5"/>
  <c r="G2952" i="5"/>
  <c r="G2951" i="5"/>
  <c r="G2943" i="5"/>
  <c r="G2942" i="5"/>
  <c r="G2941" i="5"/>
  <c r="G2938" i="5"/>
  <c r="G2937" i="5"/>
  <c r="G2936" i="5"/>
  <c r="G2933" i="5"/>
  <c r="G2932" i="5"/>
  <c r="G2931" i="5"/>
  <c r="G2928" i="5"/>
  <c r="G2927" i="5"/>
  <c r="G2926" i="5"/>
  <c r="G2923" i="5"/>
  <c r="G2922" i="5"/>
  <c r="G2921" i="5"/>
  <c r="G2918" i="5"/>
  <c r="G2917" i="5"/>
  <c r="G2916" i="5"/>
  <c r="G2913" i="5"/>
  <c r="G2912" i="5"/>
  <c r="G2911" i="5"/>
  <c r="G2908" i="5"/>
  <c r="G2907" i="5"/>
  <c r="G2906" i="5"/>
  <c r="G2903" i="5"/>
  <c r="G2902" i="5"/>
  <c r="G2901" i="5"/>
  <c r="G2898" i="5"/>
  <c r="G2897" i="5"/>
  <c r="G2896" i="5"/>
  <c r="G2893" i="5"/>
  <c r="G2892" i="5"/>
  <c r="G2891" i="5"/>
  <c r="G2890" i="5"/>
  <c r="G2889" i="5"/>
  <c r="G2888" i="5"/>
  <c r="G2885" i="5"/>
  <c r="G2884" i="5"/>
  <c r="G2883" i="5"/>
  <c r="G2882" i="5"/>
  <c r="G2881" i="5"/>
  <c r="G2880" i="5"/>
  <c r="G2877" i="5"/>
  <c r="G2876" i="5"/>
  <c r="G2875" i="5"/>
  <c r="G2874" i="5"/>
  <c r="G2873" i="5"/>
  <c r="G2872" i="5"/>
  <c r="G2869" i="5"/>
  <c r="G2868" i="5"/>
  <c r="G2867" i="5"/>
  <c r="G2866" i="5"/>
  <c r="G2865" i="5"/>
  <c r="G2864" i="5"/>
  <c r="G2861" i="5"/>
  <c r="G2860" i="5"/>
  <c r="G2859" i="5"/>
  <c r="G2858" i="5"/>
  <c r="G2857" i="5"/>
  <c r="G2856" i="5"/>
  <c r="G2853" i="5"/>
  <c r="G2852" i="5"/>
  <c r="G2851" i="5"/>
  <c r="G2848" i="5"/>
  <c r="G2847" i="5"/>
  <c r="G2846" i="5"/>
  <c r="G2843" i="5"/>
  <c r="G2842" i="5"/>
  <c r="G2841" i="5"/>
  <c r="G2838" i="5"/>
  <c r="G2837" i="5"/>
  <c r="G2836" i="5"/>
  <c r="G2831" i="5"/>
  <c r="G2830" i="5"/>
  <c r="G2829" i="5"/>
  <c r="G2826" i="5"/>
  <c r="G2825" i="5"/>
  <c r="G2824" i="5"/>
  <c r="G2821" i="5"/>
  <c r="G2820" i="5"/>
  <c r="G2819" i="5"/>
  <c r="G2816" i="5"/>
  <c r="G2815" i="5"/>
  <c r="G2814" i="5"/>
  <c r="G2811" i="5"/>
  <c r="G2810" i="5"/>
  <c r="G2809" i="5"/>
  <c r="G2806" i="5"/>
  <c r="G2805" i="5"/>
  <c r="G2804" i="5"/>
  <c r="G2801" i="5"/>
  <c r="G2800" i="5"/>
  <c r="G2799" i="5"/>
  <c r="G2796" i="5"/>
  <c r="G2795" i="5"/>
  <c r="G2794" i="5"/>
  <c r="G2791" i="5"/>
  <c r="G2790" i="5"/>
  <c r="G2789" i="5"/>
  <c r="G2788" i="5"/>
  <c r="G2787" i="5"/>
  <c r="G2784" i="5"/>
  <c r="G2783" i="5"/>
  <c r="G2782" i="5"/>
  <c r="G2779" i="5"/>
  <c r="G2778" i="5"/>
  <c r="G2777" i="5"/>
  <c r="G2774" i="5"/>
  <c r="G2773" i="5"/>
  <c r="G2772" i="5"/>
  <c r="G2769" i="5"/>
  <c r="G2768" i="5"/>
  <c r="G2767" i="5"/>
  <c r="G2759" i="5"/>
  <c r="G2758" i="5"/>
  <c r="G2747" i="5"/>
  <c r="G2743" i="5"/>
  <c r="G2742" i="5"/>
  <c r="G2741" i="5"/>
  <c r="G2733" i="5"/>
  <c r="G2732" i="5"/>
  <c r="G2731" i="5"/>
  <c r="G2728" i="5"/>
  <c r="G2727" i="5"/>
  <c r="G2714" i="5"/>
  <c r="G2713" i="5"/>
  <c r="G2712" i="5"/>
  <c r="E2711" i="5"/>
  <c r="G2710" i="5"/>
  <c r="G2709" i="5"/>
  <c r="G2708" i="5"/>
  <c r="G2707" i="5"/>
  <c r="G2706" i="5"/>
  <c r="E2705" i="5"/>
  <c r="G2704" i="5"/>
  <c r="G2703" i="5"/>
  <c r="G2702" i="5"/>
  <c r="G2701" i="5"/>
  <c r="G2700" i="5"/>
  <c r="E2699" i="5"/>
  <c r="G2698" i="5"/>
  <c r="G2697" i="5"/>
  <c r="G2696" i="5"/>
  <c r="G2695" i="5"/>
  <c r="G2694" i="5"/>
  <c r="E2693" i="5"/>
  <c r="G2692" i="5"/>
  <c r="G2691" i="5"/>
  <c r="G2690" i="5"/>
  <c r="G2689" i="5"/>
  <c r="G2688" i="5"/>
  <c r="E2687" i="5"/>
  <c r="G2686" i="5"/>
  <c r="G2685" i="5"/>
  <c r="G2684" i="5"/>
  <c r="G2683" i="5"/>
  <c r="G2682" i="5"/>
  <c r="E2681" i="5"/>
  <c r="G2680" i="5"/>
  <c r="G2679" i="5"/>
  <c r="G2678" i="5"/>
  <c r="G2677" i="5"/>
  <c r="G2676" i="5"/>
  <c r="E2675" i="5"/>
  <c r="G2674" i="5"/>
  <c r="G2673" i="5"/>
  <c r="G2672" i="5"/>
  <c r="G2671" i="5"/>
  <c r="G2670" i="5"/>
  <c r="E2669" i="5"/>
  <c r="G2668" i="5"/>
  <c r="G2667" i="5"/>
  <c r="G2666" i="5"/>
  <c r="G2665" i="5"/>
  <c r="G2664" i="5"/>
  <c r="E2663" i="5"/>
  <c r="G2662" i="5"/>
  <c r="G2661" i="5"/>
  <c r="G2660" i="5"/>
  <c r="G2659" i="5"/>
  <c r="G2658" i="5"/>
  <c r="E2657" i="5"/>
  <c r="G2656" i="5"/>
  <c r="G2655" i="5"/>
  <c r="G2650" i="5"/>
  <c r="G2648" i="5"/>
  <c r="G2642" i="5"/>
  <c r="G2640" i="5"/>
  <c r="G2639" i="5"/>
  <c r="G2638" i="5"/>
  <c r="G2636" i="5"/>
  <c r="G2635" i="5"/>
  <c r="G2634" i="5"/>
  <c r="G2632" i="5"/>
  <c r="G2631" i="5"/>
  <c r="G2630" i="5"/>
  <c r="G2628" i="5"/>
  <c r="G2627" i="5"/>
  <c r="G2626" i="5"/>
  <c r="G2624" i="5"/>
  <c r="G2623" i="5"/>
  <c r="G2622" i="5"/>
  <c r="G2620" i="5"/>
  <c r="G2619" i="5"/>
  <c r="G2618" i="5"/>
  <c r="G2616" i="5"/>
  <c r="G2615" i="5"/>
  <c r="G2614" i="5"/>
  <c r="G2612" i="5"/>
  <c r="G2611" i="5"/>
  <c r="G2610" i="5"/>
  <c r="G2608" i="5"/>
  <c r="G2607" i="5"/>
  <c r="G2606" i="5"/>
  <c r="G2604" i="5"/>
  <c r="G2603" i="5"/>
  <c r="G2602" i="5"/>
  <c r="E2601" i="5"/>
  <c r="G2600" i="5"/>
  <c r="G2599" i="5"/>
  <c r="G2598" i="5"/>
  <c r="G2597" i="5"/>
  <c r="G2596" i="5"/>
  <c r="E2595" i="5"/>
  <c r="E2594" i="5"/>
  <c r="G2592" i="5"/>
  <c r="G2591" i="5"/>
  <c r="G2590" i="5"/>
  <c r="G2589" i="5"/>
  <c r="G2588" i="5"/>
  <c r="E2587" i="5"/>
  <c r="E2586" i="5"/>
  <c r="G2584" i="5"/>
  <c r="G2583" i="5"/>
  <c r="G2582" i="5"/>
  <c r="G2581" i="5"/>
  <c r="G2580" i="5"/>
  <c r="E2579" i="5"/>
  <c r="E2578" i="5"/>
  <c r="G2576" i="5"/>
  <c r="G2575" i="5"/>
  <c r="G2574" i="5"/>
  <c r="G2572" i="5"/>
  <c r="G2571" i="5"/>
  <c r="G2570" i="5"/>
  <c r="G2568" i="5"/>
  <c r="G2567" i="5"/>
  <c r="G2566" i="5"/>
  <c r="G2564" i="5"/>
  <c r="G2563" i="5"/>
  <c r="G2562" i="5"/>
  <c r="G2560" i="5"/>
  <c r="G2559" i="5"/>
  <c r="G2558" i="5"/>
  <c r="G2556" i="5"/>
  <c r="G2555" i="5"/>
  <c r="G2438" i="5"/>
  <c r="G2436" i="5"/>
  <c r="G2435" i="5"/>
  <c r="G2410" i="5"/>
  <c r="G2408" i="5"/>
  <c r="G2398" i="5"/>
  <c r="G2394" i="5"/>
  <c r="G2393" i="5"/>
  <c r="G2392" i="5"/>
  <c r="G2387" i="5"/>
  <c r="G2386" i="5"/>
  <c r="G2385" i="5"/>
  <c r="G2381" i="5"/>
  <c r="G2380" i="5"/>
  <c r="G2379" i="5"/>
  <c r="E2376" i="5"/>
  <c r="E2375" i="5"/>
  <c r="G2374" i="5"/>
  <c r="G2373" i="5"/>
  <c r="G2372" i="5"/>
  <c r="E2371" i="5"/>
  <c r="E2370" i="5"/>
  <c r="G2366" i="5"/>
  <c r="G2365" i="5"/>
  <c r="G2364" i="5"/>
  <c r="G2360" i="5"/>
  <c r="G2359" i="5"/>
  <c r="G2358" i="5"/>
  <c r="E2356" i="5"/>
  <c r="G2355" i="5"/>
  <c r="G2354" i="5"/>
  <c r="G2353" i="5"/>
  <c r="G2350" i="5"/>
  <c r="G2349" i="5"/>
  <c r="G2348" i="5"/>
  <c r="G2345" i="5"/>
  <c r="G2344" i="5"/>
  <c r="G2343" i="5"/>
  <c r="G2339" i="5"/>
  <c r="G2338" i="5"/>
  <c r="G2337" i="5"/>
  <c r="G2333" i="5"/>
  <c r="G2332" i="5"/>
  <c r="G2331" i="5"/>
  <c r="G2327" i="5"/>
  <c r="G2326" i="5"/>
  <c r="G2325" i="5"/>
  <c r="G2321" i="5"/>
  <c r="G2320" i="5"/>
  <c r="G2319" i="5"/>
  <c r="G2314" i="5"/>
  <c r="G2313" i="5"/>
  <c r="G2312" i="5"/>
  <c r="G2307" i="5"/>
  <c r="G2306" i="5"/>
  <c r="G2305" i="5"/>
  <c r="G2297" i="5"/>
  <c r="G2296" i="5"/>
  <c r="G2295" i="5"/>
  <c r="G2287" i="5"/>
  <c r="G2286" i="5"/>
  <c r="G2285" i="5"/>
  <c r="G2277" i="5"/>
  <c r="G2275" i="5"/>
  <c r="G2267" i="5"/>
  <c r="G2265" i="5"/>
  <c r="G2257" i="5"/>
  <c r="G2256" i="5"/>
  <c r="G2255" i="5"/>
  <c r="G2251" i="5"/>
  <c r="G2250" i="5"/>
  <c r="G2249" i="5"/>
  <c r="G2237" i="5"/>
  <c r="G2236" i="5"/>
  <c r="G2235" i="5"/>
  <c r="G2231" i="5"/>
  <c r="G2230" i="5"/>
  <c r="G2229" i="5"/>
  <c r="G2225" i="5"/>
  <c r="G2224" i="5"/>
  <c r="G2223" i="5"/>
  <c r="G2219" i="5"/>
  <c r="G2218" i="5"/>
  <c r="G2217" i="5"/>
  <c r="E2214" i="5"/>
  <c r="G2212" i="5"/>
  <c r="G2211" i="5"/>
  <c r="G2210" i="5"/>
  <c r="G2207" i="5"/>
  <c r="G2206" i="5"/>
  <c r="G2205" i="5"/>
  <c r="G2204" i="5"/>
  <c r="G2203" i="5"/>
  <c r="E2202" i="5"/>
  <c r="E2201" i="5"/>
  <c r="G2199" i="5"/>
  <c r="G2198" i="5"/>
  <c r="G2197" i="5"/>
  <c r="G2196" i="5"/>
  <c r="G2195" i="5"/>
  <c r="E2194" i="5"/>
  <c r="E2193" i="5"/>
  <c r="G2191" i="5"/>
  <c r="G2190" i="5"/>
  <c r="G2189" i="5"/>
  <c r="G2188" i="5"/>
  <c r="G2187" i="5"/>
  <c r="E2186" i="5"/>
  <c r="E2185" i="5"/>
  <c r="G2183" i="5"/>
  <c r="G2181" i="5"/>
  <c r="G2180" i="5"/>
  <c r="G2179" i="5"/>
  <c r="E2178" i="5"/>
  <c r="E2177" i="5"/>
  <c r="G2175" i="5"/>
  <c r="G2173" i="5"/>
  <c r="G2172" i="5"/>
  <c r="G2171" i="5"/>
  <c r="E2170" i="5"/>
  <c r="E2169" i="5"/>
  <c r="G2167" i="5"/>
  <c r="G2166" i="5"/>
  <c r="G2165" i="5"/>
  <c r="G2164" i="5"/>
  <c r="G2163" i="5"/>
  <c r="E2162" i="5"/>
  <c r="E2161" i="5"/>
  <c r="G2159" i="5"/>
  <c r="G2158" i="5"/>
  <c r="G2157" i="5"/>
  <c r="G2156" i="5"/>
  <c r="G2155" i="5"/>
  <c r="E2154" i="5"/>
  <c r="E2153" i="5"/>
  <c r="G2151" i="5"/>
  <c r="G2149" i="5"/>
  <c r="G2148" i="5"/>
  <c r="G2147" i="5"/>
  <c r="E2146" i="5"/>
  <c r="E2145" i="5"/>
  <c r="G2143" i="5"/>
  <c r="G2142" i="5"/>
  <c r="G2141" i="5"/>
  <c r="G2137" i="5"/>
  <c r="G2135" i="5"/>
  <c r="G2131" i="5"/>
  <c r="G2130" i="5"/>
  <c r="G2129" i="5"/>
  <c r="G2125" i="5"/>
  <c r="G2124" i="5"/>
  <c r="G2123" i="5"/>
  <c r="G2119" i="5"/>
  <c r="G2117" i="5"/>
  <c r="G2113" i="5"/>
  <c r="G2112" i="5"/>
  <c r="G2111" i="5"/>
  <c r="G2110" i="5"/>
  <c r="G2109" i="5"/>
  <c r="E2108" i="5"/>
  <c r="E2107" i="5"/>
  <c r="G2105" i="5"/>
  <c r="G2103" i="5"/>
  <c r="G2102" i="5"/>
  <c r="G2101" i="5"/>
  <c r="E2100" i="5"/>
  <c r="E2099" i="5"/>
  <c r="G2097" i="5"/>
  <c r="G2096" i="5"/>
  <c r="G2095" i="5"/>
  <c r="G2094" i="5"/>
  <c r="G2093" i="5"/>
  <c r="E2092" i="5"/>
  <c r="E2091" i="5"/>
  <c r="G2089" i="5"/>
  <c r="G2088" i="5"/>
  <c r="G2087" i="5"/>
  <c r="G2086" i="5"/>
  <c r="G2085" i="5"/>
  <c r="E2084" i="5"/>
  <c r="E2083" i="5"/>
  <c r="G2081" i="5"/>
  <c r="G2080" i="5"/>
  <c r="G2079" i="5"/>
  <c r="G2078" i="5"/>
  <c r="G2077" i="5"/>
  <c r="E2076" i="5"/>
  <c r="E2075" i="5"/>
  <c r="G2073" i="5"/>
  <c r="G2071" i="5"/>
  <c r="G2070" i="5"/>
  <c r="G2069" i="5"/>
  <c r="E2068" i="5"/>
  <c r="E2067" i="5"/>
  <c r="G2065" i="5"/>
  <c r="G2064" i="5"/>
  <c r="G2063" i="5"/>
  <c r="G2062" i="5"/>
  <c r="G2061" i="5"/>
  <c r="E2060" i="5"/>
  <c r="E2059" i="5"/>
  <c r="G2057" i="5"/>
  <c r="G2055" i="5"/>
  <c r="G2054" i="5"/>
  <c r="G2053" i="5"/>
  <c r="E2052" i="5"/>
  <c r="E2051" i="5"/>
  <c r="G2049" i="5"/>
  <c r="G2048" i="5"/>
  <c r="G2047" i="5"/>
  <c r="G2046" i="5"/>
  <c r="G2045" i="5"/>
  <c r="E2044" i="5"/>
  <c r="E2043" i="5"/>
  <c r="G2041" i="5"/>
  <c r="G2039" i="5"/>
  <c r="G2038" i="5"/>
  <c r="G2037" i="5"/>
  <c r="E2036" i="5"/>
  <c r="E2035" i="5"/>
  <c r="G2033" i="5"/>
  <c r="G2032" i="5"/>
  <c r="G2031" i="5"/>
  <c r="G2030" i="5"/>
  <c r="G2029" i="5"/>
  <c r="E2028" i="5"/>
  <c r="E2027" i="5"/>
  <c r="G2025" i="5"/>
  <c r="G2023" i="5"/>
  <c r="G2019" i="5"/>
  <c r="G2018" i="5"/>
  <c r="G2017" i="5"/>
  <c r="G2012" i="5"/>
  <c r="G2011" i="5"/>
  <c r="G2010" i="5"/>
  <c r="G2005" i="5"/>
  <c r="G2004" i="5"/>
  <c r="G2003" i="5"/>
  <c r="G1998" i="5"/>
  <c r="G1996" i="5"/>
  <c r="G1991" i="5"/>
  <c r="G1990" i="5"/>
  <c r="G1989" i="5"/>
  <c r="G1983" i="5"/>
  <c r="G1981" i="5"/>
  <c r="G1975" i="5"/>
  <c r="G1974" i="5"/>
  <c r="G1973" i="5"/>
  <c r="G1968" i="5"/>
  <c r="G1966" i="5"/>
  <c r="G1961" i="5"/>
  <c r="G1960" i="5"/>
  <c r="G1959" i="5"/>
  <c r="G1955" i="5"/>
  <c r="G1954" i="5"/>
  <c r="G1953" i="5"/>
  <c r="G1949" i="5"/>
  <c r="G1948" i="5"/>
  <c r="G1947" i="5"/>
  <c r="G1944" i="5"/>
  <c r="G1943" i="5"/>
  <c r="G1942" i="5"/>
  <c r="G1939" i="5"/>
  <c r="G1938" i="5"/>
  <c r="G1937" i="5"/>
  <c r="G1934" i="5"/>
  <c r="G1933" i="5"/>
  <c r="G1932" i="5"/>
  <c r="G1928" i="5"/>
  <c r="G1927" i="5"/>
  <c r="G1926" i="5"/>
  <c r="G1923" i="5"/>
  <c r="G1922" i="5"/>
  <c r="G1921" i="5"/>
  <c r="G1918" i="5"/>
  <c r="G1917" i="5"/>
  <c r="G1916" i="5"/>
  <c r="G1913" i="5"/>
  <c r="G1912" i="5"/>
  <c r="G1911" i="5"/>
  <c r="G1907" i="5"/>
  <c r="G1906" i="5"/>
  <c r="G1905" i="5"/>
  <c r="G1901" i="5"/>
  <c r="G1900" i="5"/>
  <c r="G1899" i="5"/>
  <c r="G1895" i="5"/>
  <c r="G1894" i="5"/>
  <c r="G1893" i="5"/>
  <c r="G1889" i="5"/>
  <c r="G1888" i="5"/>
  <c r="G1887" i="5"/>
  <c r="G1883" i="5"/>
  <c r="G1882" i="5"/>
  <c r="G1881" i="5"/>
  <c r="G1877" i="5"/>
  <c r="G1876" i="5"/>
  <c r="G1875" i="5"/>
  <c r="G1871" i="5"/>
  <c r="G1870" i="5"/>
  <c r="G1869" i="5"/>
  <c r="G1865" i="5"/>
  <c r="G1864" i="5"/>
  <c r="G1863" i="5"/>
  <c r="G1859" i="5"/>
  <c r="G1858" i="5"/>
  <c r="G1857" i="5"/>
  <c r="G1853" i="5"/>
  <c r="G1852" i="5"/>
  <c r="G1851" i="5"/>
  <c r="G1847" i="5"/>
  <c r="G1846" i="5"/>
  <c r="G1845" i="5"/>
  <c r="G1841" i="5"/>
  <c r="G1840" i="5"/>
  <c r="G1839" i="5"/>
  <c r="G1834" i="5"/>
  <c r="G1833" i="5"/>
  <c r="G1832" i="5"/>
  <c r="G1828" i="5"/>
  <c r="G1827" i="5"/>
  <c r="G1826" i="5"/>
  <c r="G1822" i="5"/>
  <c r="G1821" i="5"/>
  <c r="G1820" i="5"/>
  <c r="G1817" i="5"/>
  <c r="G1816" i="5"/>
  <c r="G1815" i="5"/>
  <c r="G1812" i="5"/>
  <c r="G1811" i="5"/>
  <c r="G1810" i="5"/>
  <c r="G1805" i="5"/>
  <c r="G1803" i="5"/>
  <c r="G1798" i="5"/>
  <c r="G1797" i="5"/>
  <c r="G1796" i="5"/>
  <c r="G1791" i="5"/>
  <c r="G1790" i="5"/>
  <c r="G1789" i="5"/>
  <c r="G1784" i="5"/>
  <c r="G1783" i="5"/>
  <c r="G1782" i="5"/>
  <c r="G1777" i="5"/>
  <c r="G1775" i="5"/>
  <c r="G1770" i="5"/>
  <c r="G1769" i="5"/>
  <c r="G1768" i="5"/>
  <c r="G1763" i="5"/>
  <c r="G1762" i="5"/>
  <c r="G1761" i="5"/>
  <c r="G1756" i="5"/>
  <c r="G1755" i="5"/>
  <c r="G1754" i="5"/>
  <c r="G1745" i="5"/>
  <c r="G1744" i="5"/>
  <c r="G1743" i="5"/>
  <c r="G1734" i="5"/>
  <c r="G1733" i="5"/>
  <c r="G1732" i="5"/>
  <c r="G1723" i="5"/>
  <c r="G1722" i="5"/>
  <c r="G1721" i="5"/>
  <c r="G1712" i="5"/>
  <c r="G1711" i="5"/>
  <c r="G1710" i="5"/>
  <c r="G1704" i="5"/>
  <c r="G1703" i="5"/>
  <c r="G1702" i="5"/>
  <c r="G1698" i="5"/>
  <c r="G1697" i="5"/>
  <c r="G1696" i="5"/>
  <c r="G1691" i="5"/>
  <c r="G1690" i="5"/>
  <c r="G1689" i="5"/>
  <c r="G1684" i="5"/>
  <c r="G1683" i="5"/>
  <c r="G1682" i="5"/>
  <c r="G1678" i="5"/>
  <c r="G1677" i="5"/>
  <c r="G1676" i="5"/>
  <c r="G1673" i="5"/>
  <c r="G1672" i="5"/>
  <c r="G1671" i="5"/>
  <c r="G1668" i="5"/>
  <c r="G1667" i="5"/>
  <c r="G1666" i="5"/>
  <c r="G1663" i="5"/>
  <c r="G1662" i="5"/>
  <c r="G1661" i="5"/>
  <c r="E1659" i="5"/>
  <c r="E1658" i="5"/>
  <c r="G1657" i="5"/>
  <c r="G1656" i="5"/>
  <c r="G1655" i="5"/>
  <c r="G1651" i="5"/>
  <c r="G1650" i="5"/>
  <c r="G1649" i="5"/>
  <c r="G1645" i="5"/>
  <c r="G1644" i="5"/>
  <c r="G1643" i="5"/>
  <c r="G1639" i="5"/>
  <c r="G1637" i="5"/>
  <c r="G1634" i="5"/>
  <c r="G1633" i="5"/>
  <c r="G1632" i="5"/>
  <c r="G1628" i="5"/>
  <c r="G1626" i="5"/>
  <c r="G1622" i="5"/>
  <c r="G1621" i="5"/>
  <c r="G1620" i="5"/>
  <c r="G1617" i="5"/>
  <c r="G1616" i="5"/>
  <c r="G1615" i="5"/>
  <c r="E1612" i="5"/>
  <c r="E1611" i="5"/>
  <c r="G1610" i="5"/>
  <c r="G1609" i="5"/>
  <c r="G1608" i="5"/>
  <c r="G1604" i="5"/>
  <c r="G1603" i="5"/>
  <c r="G1602" i="5"/>
  <c r="G1598" i="5"/>
  <c r="G1597" i="5"/>
  <c r="G1596" i="5"/>
  <c r="G1592" i="5"/>
  <c r="G1591" i="5"/>
  <c r="G1590" i="5"/>
  <c r="G1577" i="5"/>
  <c r="G1576" i="5"/>
  <c r="G1575" i="5"/>
  <c r="G1570" i="5"/>
  <c r="G1569" i="5"/>
  <c r="G1568" i="5"/>
  <c r="G1563" i="5"/>
  <c r="G1562" i="5"/>
  <c r="G1561" i="5"/>
  <c r="G1556" i="5"/>
  <c r="G1555" i="5"/>
  <c r="G1554" i="5"/>
  <c r="G1549" i="5"/>
  <c r="G1548" i="5"/>
  <c r="G1547" i="5"/>
  <c r="G1541" i="5"/>
  <c r="G1540" i="5"/>
  <c r="G1539" i="5"/>
  <c r="G1533" i="5"/>
  <c r="G1532" i="5"/>
  <c r="G1531" i="5"/>
  <c r="G1525" i="5"/>
  <c r="G1524" i="5"/>
  <c r="G1523" i="5"/>
  <c r="G1517" i="5"/>
  <c r="G1516" i="5"/>
  <c r="G1515" i="5"/>
  <c r="G1509" i="5"/>
  <c r="G1508" i="5"/>
  <c r="G1507" i="5"/>
  <c r="G1494" i="5"/>
  <c r="G1493" i="5"/>
  <c r="G1492" i="5"/>
  <c r="G1479" i="5"/>
  <c r="G1478" i="5"/>
  <c r="G1477" i="5"/>
  <c r="G1464" i="5"/>
  <c r="G1463" i="5"/>
  <c r="G1462" i="5"/>
  <c r="G1449" i="5"/>
  <c r="G1448" i="5"/>
  <c r="G1447" i="5"/>
  <c r="G1434" i="5"/>
  <c r="G1433" i="5"/>
  <c r="G1432" i="5"/>
  <c r="G1419" i="5"/>
  <c r="G1418" i="5"/>
  <c r="G1417" i="5"/>
  <c r="G1404" i="5"/>
  <c r="G1403" i="5"/>
  <c r="G1402" i="5"/>
  <c r="G1397" i="5"/>
  <c r="G1396" i="5"/>
  <c r="G1395" i="5"/>
  <c r="G1391" i="5"/>
  <c r="G1390" i="5"/>
  <c r="G1389" i="5"/>
  <c r="G1385" i="5"/>
  <c r="G1384" i="5"/>
  <c r="G1383" i="5"/>
  <c r="G1379" i="5"/>
  <c r="G1378" i="5"/>
  <c r="G1377" i="5"/>
  <c r="G1373" i="5"/>
  <c r="G1372" i="5"/>
  <c r="G1371" i="5"/>
  <c r="G1367" i="5"/>
  <c r="G1366" i="5"/>
  <c r="G1365" i="5"/>
  <c r="G1361" i="5"/>
  <c r="G1360" i="5"/>
  <c r="G1359" i="5"/>
  <c r="G1354" i="5"/>
  <c r="G1353" i="5"/>
  <c r="G1352" i="5"/>
  <c r="G1348" i="5"/>
  <c r="G1347" i="5"/>
  <c r="G1346" i="5"/>
  <c r="G1341" i="5"/>
  <c r="G1339" i="5"/>
  <c r="G1335" i="5"/>
  <c r="G1334" i="5"/>
  <c r="G1333" i="5"/>
  <c r="G1329" i="5"/>
  <c r="G1328" i="5"/>
  <c r="G1327" i="5"/>
  <c r="G1323" i="5"/>
  <c r="G1322" i="5"/>
  <c r="G1321" i="5"/>
  <c r="G1318" i="5"/>
  <c r="G1316" i="5"/>
  <c r="G1309" i="5"/>
  <c r="G1308" i="5"/>
  <c r="G1307" i="5"/>
  <c r="G1301" i="5"/>
  <c r="G1300" i="5"/>
  <c r="G1299" i="5"/>
  <c r="G1294" i="5"/>
  <c r="G1293" i="5"/>
  <c r="G1292" i="5"/>
  <c r="G1287" i="5"/>
  <c r="G1286" i="5"/>
  <c r="G1285" i="5"/>
  <c r="G1280" i="5"/>
  <c r="G1279" i="5"/>
  <c r="G1278" i="5"/>
  <c r="G1273" i="5"/>
  <c r="G1272" i="5"/>
  <c r="G1271" i="5"/>
  <c r="G1267" i="5"/>
  <c r="G1266" i="5"/>
  <c r="G1265" i="5"/>
  <c r="G1260" i="5"/>
  <c r="G1258" i="5"/>
  <c r="G1253" i="5"/>
  <c r="G1252" i="5"/>
  <c r="G1251" i="5"/>
  <c r="G1246" i="5"/>
  <c r="G1245" i="5"/>
  <c r="G1244" i="5"/>
  <c r="G1239" i="5"/>
  <c r="G1238" i="5"/>
  <c r="G1237" i="5"/>
  <c r="G1232" i="5"/>
  <c r="G1231" i="5"/>
  <c r="G1230" i="5"/>
  <c r="G1225" i="5"/>
  <c r="G1224" i="5"/>
  <c r="G1223" i="5"/>
  <c r="G1218" i="5"/>
  <c r="G1217" i="5"/>
  <c r="G1216" i="5"/>
  <c r="G1211" i="5"/>
  <c r="G1210" i="5"/>
  <c r="G1209" i="5"/>
  <c r="G1204" i="5"/>
  <c r="G1203" i="5"/>
  <c r="G1202" i="5"/>
  <c r="G1197" i="5"/>
  <c r="G1196" i="5"/>
  <c r="G1195" i="5"/>
  <c r="G1190" i="5"/>
  <c r="G1189" i="5"/>
  <c r="G1188" i="5"/>
  <c r="G1183" i="5"/>
  <c r="G1182" i="5"/>
  <c r="G1181" i="5"/>
  <c r="G1176" i="5"/>
  <c r="G1174" i="5"/>
  <c r="G1169" i="5"/>
  <c r="G1168" i="5"/>
  <c r="G1167" i="5"/>
  <c r="G1162" i="5"/>
  <c r="G1161" i="5"/>
  <c r="G1160" i="5"/>
  <c r="G1155" i="5"/>
  <c r="G1154" i="5"/>
  <c r="G1153" i="5"/>
  <c r="G1148" i="5"/>
  <c r="G1147" i="5"/>
  <c r="G1146" i="5"/>
  <c r="G1141" i="5"/>
  <c r="G1140" i="5"/>
  <c r="G1139" i="5"/>
  <c r="G1134" i="5"/>
  <c r="G1133" i="5"/>
  <c r="G1132" i="5"/>
  <c r="G1129" i="5"/>
  <c r="G1128" i="5"/>
  <c r="G1127" i="5"/>
  <c r="G1123" i="5"/>
  <c r="G1122" i="5"/>
  <c r="G1121" i="5"/>
  <c r="G1118" i="5"/>
  <c r="G1117" i="5"/>
  <c r="G1116" i="5"/>
  <c r="G1113" i="5"/>
  <c r="G1112" i="5"/>
  <c r="G1111" i="5"/>
  <c r="G1105" i="5"/>
  <c r="G1104" i="5"/>
  <c r="G1103" i="5"/>
  <c r="G1102" i="5"/>
  <c r="G1101" i="5"/>
  <c r="E1100" i="5"/>
  <c r="E1099" i="5"/>
  <c r="E1098" i="5"/>
  <c r="G1095" i="5"/>
  <c r="G1094" i="5"/>
  <c r="G1093" i="5"/>
  <c r="G1087" i="5"/>
  <c r="G1086" i="5"/>
  <c r="G1085" i="5"/>
  <c r="G1079" i="5"/>
  <c r="G1078" i="5"/>
  <c r="G1077" i="5"/>
  <c r="G1076" i="5"/>
  <c r="G1075" i="5"/>
  <c r="E1074" i="5"/>
  <c r="E1073" i="5"/>
  <c r="G1070" i="5"/>
  <c r="G1069" i="5"/>
  <c r="G1068" i="5"/>
  <c r="G1063" i="5"/>
  <c r="G1062" i="5"/>
  <c r="G1061" i="5"/>
  <c r="G1056" i="5"/>
  <c r="G1054" i="5"/>
  <c r="G1049" i="5"/>
  <c r="G1047" i="5"/>
  <c r="G1042" i="5"/>
  <c r="G1041" i="5"/>
  <c r="G1040" i="5"/>
  <c r="G1033" i="5"/>
  <c r="G1032" i="5"/>
  <c r="G1031" i="5"/>
  <c r="G1023" i="5"/>
  <c r="G1022" i="5"/>
  <c r="G1021" i="5"/>
  <c r="G1018" i="5"/>
  <c r="G1017" i="5"/>
  <c r="G1016" i="5"/>
  <c r="G1009" i="5"/>
  <c r="G1007" i="5"/>
  <c r="G1004" i="5"/>
  <c r="G1003" i="5"/>
  <c r="G1002" i="5"/>
  <c r="G999" i="5"/>
  <c r="G998" i="5"/>
  <c r="G997" i="5"/>
  <c r="G988" i="5"/>
  <c r="G987" i="5"/>
  <c r="G986" i="5"/>
  <c r="G977" i="5"/>
  <c r="G975" i="5"/>
  <c r="G970" i="5"/>
  <c r="G968" i="5"/>
  <c r="G963" i="5"/>
  <c r="G962" i="5"/>
  <c r="G961" i="5"/>
  <c r="G956" i="5"/>
  <c r="G955" i="5"/>
  <c r="G954" i="5"/>
  <c r="G950" i="5"/>
  <c r="G949" i="5"/>
  <c r="G948" i="5"/>
  <c r="G944" i="5"/>
  <c r="G942" i="5"/>
  <c r="G935" i="5"/>
  <c r="G934" i="5"/>
  <c r="G933" i="5"/>
  <c r="G926" i="5"/>
  <c r="G925" i="5"/>
  <c r="G924" i="5"/>
  <c r="G919" i="5"/>
  <c r="G917" i="5"/>
  <c r="G910" i="5"/>
  <c r="G908" i="5"/>
  <c r="G904" i="5"/>
  <c r="G903" i="5"/>
  <c r="G902" i="5"/>
  <c r="E901" i="5"/>
  <c r="G900" i="5"/>
  <c r="G899" i="5"/>
  <c r="G898" i="5"/>
  <c r="G893" i="5"/>
  <c r="G891" i="5"/>
  <c r="E890" i="5"/>
  <c r="E889" i="5"/>
  <c r="G888" i="5"/>
  <c r="G887" i="5"/>
  <c r="G886" i="5"/>
  <c r="G882" i="5"/>
  <c r="G880" i="5"/>
  <c r="G876" i="5"/>
  <c r="G875" i="5"/>
  <c r="G874" i="5"/>
  <c r="G873" i="5"/>
  <c r="G872" i="5"/>
  <c r="E871" i="5"/>
  <c r="E870" i="5"/>
  <c r="G868" i="5"/>
  <c r="G867" i="5"/>
  <c r="G866" i="5"/>
  <c r="G863" i="5"/>
  <c r="G862" i="5"/>
  <c r="G861" i="5"/>
  <c r="G857" i="5"/>
  <c r="G856" i="5"/>
  <c r="G855" i="5"/>
  <c r="E853" i="5"/>
  <c r="G851" i="5"/>
  <c r="G850" i="5"/>
  <c r="G849" i="5"/>
  <c r="G846" i="5"/>
  <c r="G845" i="5"/>
  <c r="G844" i="5"/>
  <c r="G840" i="5"/>
  <c r="G839" i="5"/>
  <c r="G838" i="5"/>
  <c r="G833" i="5"/>
  <c r="G831" i="5"/>
  <c r="G828" i="5"/>
  <c r="G827" i="5"/>
  <c r="G826" i="5"/>
  <c r="E825" i="5"/>
  <c r="G824" i="5"/>
  <c r="G822" i="5"/>
  <c r="E820" i="5"/>
  <c r="G819" i="5"/>
  <c r="G818" i="5"/>
  <c r="G817" i="5"/>
  <c r="G815" i="5"/>
  <c r="G814" i="5"/>
  <c r="G813" i="5"/>
  <c r="G805" i="5"/>
  <c r="G804" i="5"/>
  <c r="G803" i="5"/>
  <c r="G791" i="5"/>
  <c r="G789" i="5"/>
  <c r="G784" i="5"/>
  <c r="G783" i="5"/>
  <c r="G782" i="5"/>
  <c r="G773" i="5"/>
  <c r="G772" i="5"/>
  <c r="G771" i="5"/>
  <c r="E770" i="5"/>
  <c r="G767" i="5"/>
  <c r="G766" i="5"/>
  <c r="G765" i="5"/>
  <c r="G756" i="5"/>
  <c r="G755" i="5"/>
  <c r="G754" i="5"/>
  <c r="E751" i="5"/>
  <c r="E750" i="5"/>
  <c r="G749" i="5"/>
  <c r="G748" i="5"/>
  <c r="G747" i="5"/>
  <c r="G745" i="5"/>
  <c r="G744" i="5"/>
  <c r="G743" i="5"/>
  <c r="E738" i="5"/>
  <c r="G737" i="5"/>
  <c r="G735" i="5"/>
  <c r="G731" i="5"/>
  <c r="G729" i="5"/>
  <c r="E728" i="5"/>
  <c r="E727" i="5"/>
  <c r="E726" i="5"/>
  <c r="E725" i="5"/>
  <c r="G724" i="5"/>
  <c r="G722" i="5"/>
  <c r="G715" i="5"/>
  <c r="G713" i="5"/>
  <c r="G705" i="5"/>
  <c r="G704" i="5"/>
  <c r="G703" i="5"/>
  <c r="E702" i="5"/>
  <c r="E701" i="5"/>
  <c r="E700" i="5"/>
  <c r="E699" i="5"/>
  <c r="E698" i="5"/>
  <c r="G697" i="5"/>
  <c r="G696" i="5"/>
  <c r="G695" i="5"/>
  <c r="G687" i="5"/>
  <c r="G686" i="5"/>
  <c r="G685" i="5"/>
  <c r="G677" i="5"/>
  <c r="G675" i="5"/>
  <c r="E674" i="5"/>
  <c r="E673" i="5"/>
  <c r="E672" i="5"/>
  <c r="E671" i="5"/>
  <c r="E670" i="5"/>
  <c r="G669" i="5"/>
  <c r="G667" i="5"/>
  <c r="G665" i="5"/>
  <c r="G664" i="5"/>
  <c r="G663" i="5"/>
  <c r="G661" i="5"/>
  <c r="G660" i="5"/>
  <c r="G659" i="5"/>
  <c r="G657" i="5"/>
  <c r="G656" i="5"/>
  <c r="G655" i="5"/>
  <c r="G653" i="5"/>
  <c r="G652" i="5"/>
  <c r="G651" i="5"/>
  <c r="G649" i="5"/>
  <c r="G648" i="5"/>
  <c r="G647" i="5"/>
  <c r="G645" i="5"/>
  <c r="G644" i="5"/>
  <c r="G643" i="5"/>
  <c r="G638" i="5"/>
  <c r="G637" i="5"/>
  <c r="G636" i="5"/>
  <c r="G630" i="5"/>
  <c r="G628" i="5"/>
  <c r="G622" i="5"/>
  <c r="G621" i="5"/>
  <c r="G620" i="5"/>
  <c r="G616" i="5"/>
  <c r="G615" i="5"/>
  <c r="G614" i="5"/>
  <c r="G613" i="5"/>
  <c r="G612" i="5"/>
  <c r="E611" i="5"/>
  <c r="E610" i="5"/>
  <c r="E609" i="5"/>
  <c r="E608" i="5"/>
  <c r="G607" i="5"/>
  <c r="G605" i="5"/>
  <c r="G604" i="5"/>
  <c r="G603" i="5"/>
  <c r="E602" i="5"/>
  <c r="E601" i="5"/>
  <c r="E600" i="5"/>
  <c r="E599" i="5"/>
  <c r="E598" i="5"/>
  <c r="G597" i="5"/>
  <c r="G595" i="5"/>
  <c r="G589" i="5"/>
  <c r="G588" i="5"/>
  <c r="G587" i="5"/>
  <c r="G586" i="5"/>
  <c r="G585" i="5"/>
  <c r="E584" i="5"/>
  <c r="E583" i="5"/>
  <c r="E582" i="5"/>
  <c r="E581" i="5"/>
  <c r="G580" i="5"/>
  <c r="G579" i="5"/>
  <c r="G578" i="5"/>
  <c r="G577" i="5"/>
  <c r="G576" i="5"/>
  <c r="E575" i="5"/>
  <c r="E574" i="5"/>
  <c r="E573" i="5"/>
  <c r="E572" i="5"/>
  <c r="E571" i="5"/>
  <c r="G570" i="5"/>
  <c r="G568" i="5"/>
  <c r="G562" i="5"/>
  <c r="G561" i="5"/>
  <c r="G560" i="5"/>
  <c r="G554" i="5"/>
  <c r="G553" i="5"/>
  <c r="G552" i="5"/>
  <c r="G546" i="5"/>
  <c r="G544" i="5"/>
  <c r="G538" i="5"/>
  <c r="G537" i="5"/>
  <c r="G536" i="5"/>
  <c r="G532" i="5"/>
  <c r="G531" i="5"/>
  <c r="G530" i="5"/>
  <c r="G525" i="5"/>
  <c r="G523" i="5"/>
  <c r="G518" i="5"/>
  <c r="G517" i="5"/>
  <c r="G516" i="5"/>
  <c r="G512" i="5"/>
  <c r="G510" i="5"/>
  <c r="G505" i="5"/>
  <c r="G504" i="5"/>
  <c r="G503" i="5"/>
  <c r="G498" i="5"/>
  <c r="G497" i="5"/>
  <c r="G496" i="5"/>
  <c r="G495" i="5"/>
  <c r="G494" i="5"/>
  <c r="G493" i="5"/>
  <c r="E492" i="5"/>
  <c r="E491" i="5"/>
  <c r="G490" i="5"/>
  <c r="G488" i="5"/>
  <c r="G484" i="5"/>
  <c r="G483" i="5"/>
  <c r="G482" i="5"/>
  <c r="G481" i="5"/>
  <c r="G480" i="5"/>
  <c r="G479" i="5"/>
  <c r="G478" i="5"/>
  <c r="E477" i="5"/>
  <c r="E476" i="5"/>
  <c r="G472" i="5"/>
  <c r="G471" i="5"/>
  <c r="G470" i="5"/>
  <c r="E469" i="5"/>
  <c r="E468" i="5"/>
  <c r="E466" i="5"/>
  <c r="G465" i="5"/>
  <c r="G463" i="5"/>
  <c r="G462" i="5"/>
  <c r="G461" i="5"/>
  <c r="G460" i="5"/>
  <c r="E459" i="5"/>
  <c r="E456" i="5"/>
  <c r="G455" i="5"/>
  <c r="G454" i="5"/>
  <c r="G453" i="5"/>
  <c r="G452" i="5"/>
  <c r="G451" i="5"/>
  <c r="G447" i="5"/>
  <c r="G446" i="5"/>
  <c r="G445" i="5"/>
  <c r="G441" i="5"/>
  <c r="G439" i="5"/>
  <c r="G435" i="5"/>
  <c r="G433" i="5"/>
  <c r="G423" i="5"/>
  <c r="G422" i="5"/>
  <c r="G421" i="5"/>
  <c r="E420" i="5"/>
  <c r="E419" i="5"/>
  <c r="G416" i="5"/>
  <c r="G415" i="5"/>
  <c r="G414" i="5"/>
  <c r="G402" i="5"/>
  <c r="G401" i="5"/>
  <c r="G400" i="5"/>
  <c r="G395" i="5"/>
  <c r="G394" i="5"/>
  <c r="G393" i="5"/>
  <c r="G381" i="5"/>
  <c r="G380" i="5"/>
  <c r="G379" i="5"/>
  <c r="G372" i="5"/>
  <c r="G371" i="5"/>
  <c r="G370" i="5"/>
  <c r="G366" i="5"/>
  <c r="G365" i="5"/>
  <c r="G364" i="5"/>
  <c r="G363" i="5"/>
  <c r="G362" i="5"/>
  <c r="E361" i="5"/>
  <c r="E360" i="5"/>
  <c r="G352" i="5"/>
  <c r="G351" i="5"/>
  <c r="G350" i="5"/>
  <c r="G342" i="5"/>
  <c r="G341" i="5"/>
  <c r="G340" i="5"/>
  <c r="E334" i="5"/>
  <c r="G327" i="5"/>
  <c r="G326" i="5"/>
  <c r="G325" i="5"/>
  <c r="G321" i="5"/>
  <c r="G320" i="5"/>
  <c r="G319" i="5"/>
  <c r="G318" i="5"/>
  <c r="G317" i="5"/>
  <c r="E316" i="5"/>
  <c r="E315" i="5"/>
  <c r="E311" i="5"/>
  <c r="G306" i="5"/>
  <c r="G305" i="5"/>
  <c r="G304" i="5"/>
  <c r="G303" i="5"/>
  <c r="G302" i="5"/>
  <c r="E301" i="5"/>
  <c r="E300" i="5"/>
  <c r="G291" i="5"/>
  <c r="G290" i="5"/>
  <c r="G289" i="5"/>
  <c r="G284" i="5"/>
  <c r="G283" i="5"/>
  <c r="G282" i="5"/>
  <c r="G277" i="5"/>
  <c r="G275" i="5"/>
  <c r="G269" i="5"/>
  <c r="G268" i="5"/>
  <c r="G267" i="5"/>
  <c r="G264" i="5"/>
  <c r="G263" i="5"/>
  <c r="G262" i="5"/>
  <c r="G249" i="5"/>
  <c r="G248" i="5"/>
  <c r="G247" i="5"/>
  <c r="G241" i="5"/>
  <c r="G240" i="5"/>
  <c r="G239" i="5"/>
  <c r="G237" i="5"/>
  <c r="G236" i="5"/>
  <c r="G235" i="5"/>
  <c r="G233" i="5"/>
  <c r="G231" i="5"/>
  <c r="G229" i="5"/>
  <c r="G228" i="5"/>
  <c r="G227" i="5"/>
  <c r="G225" i="5"/>
  <c r="G224" i="5"/>
  <c r="G223" i="5"/>
  <c r="G220" i="5"/>
  <c r="G218" i="5"/>
  <c r="G215" i="5"/>
  <c r="G214" i="5"/>
  <c r="G213" i="5"/>
  <c r="G211" i="5"/>
  <c r="G210" i="5"/>
  <c r="G209" i="5"/>
  <c r="G206" i="5"/>
  <c r="G205" i="5"/>
  <c r="G204" i="5"/>
  <c r="E203" i="5"/>
  <c r="G202" i="5"/>
  <c r="G201" i="5"/>
  <c r="G200" i="5"/>
  <c r="G198" i="5"/>
  <c r="G197" i="5"/>
  <c r="G196" i="5"/>
  <c r="G191" i="5"/>
  <c r="G190" i="5"/>
  <c r="G189" i="5"/>
  <c r="G188" i="5"/>
  <c r="G187" i="5"/>
  <c r="E186" i="5"/>
  <c r="E185" i="5"/>
  <c r="G184" i="5"/>
  <c r="G182" i="5"/>
  <c r="G180" i="5"/>
  <c r="G179" i="5"/>
  <c r="G178" i="5"/>
  <c r="E177" i="5"/>
  <c r="G176" i="5"/>
  <c r="G175" i="5"/>
  <c r="G174" i="5"/>
  <c r="G172" i="5"/>
  <c r="G171" i="5"/>
  <c r="G170" i="5"/>
  <c r="G167" i="5"/>
  <c r="G166" i="5"/>
  <c r="G165" i="5"/>
  <c r="G162" i="5"/>
  <c r="G160" i="5"/>
  <c r="G159" i="5"/>
  <c r="G158" i="5"/>
  <c r="E157" i="5"/>
  <c r="E156" i="5"/>
  <c r="G155" i="5"/>
  <c r="G154" i="5"/>
  <c r="G153" i="5"/>
  <c r="G150" i="5"/>
  <c r="G148" i="5"/>
  <c r="G145" i="5"/>
  <c r="G144" i="5"/>
  <c r="G143" i="5"/>
  <c r="G140" i="5"/>
  <c r="G139" i="5"/>
  <c r="G138" i="5"/>
  <c r="E137" i="5"/>
  <c r="G136" i="5"/>
  <c r="G135" i="5"/>
  <c r="G134" i="5"/>
  <c r="G132" i="5"/>
  <c r="G131" i="5"/>
  <c r="G130" i="5"/>
  <c r="G127" i="5"/>
  <c r="G126" i="5"/>
  <c r="G125" i="5"/>
  <c r="G122" i="5"/>
  <c r="G121" i="5"/>
  <c r="G120" i="5"/>
  <c r="G117" i="5"/>
  <c r="G116" i="5"/>
  <c r="G115" i="5"/>
  <c r="G112" i="5"/>
  <c r="G111" i="5"/>
  <c r="G110" i="5"/>
  <c r="G107" i="5"/>
  <c r="G106" i="5"/>
  <c r="G105" i="5"/>
  <c r="E104" i="5"/>
  <c r="G103" i="5"/>
  <c r="G102" i="5"/>
  <c r="G101" i="5"/>
  <c r="G98" i="5"/>
  <c r="G97" i="5"/>
  <c r="G96" i="5"/>
  <c r="E95" i="5"/>
  <c r="E94" i="5"/>
  <c r="G93" i="5"/>
  <c r="G92" i="5"/>
  <c r="G91" i="5"/>
  <c r="E90" i="5"/>
  <c r="E89" i="5"/>
  <c r="G88" i="5"/>
  <c r="G87" i="5"/>
  <c r="G86" i="5"/>
  <c r="G83" i="5"/>
  <c r="G82" i="5"/>
  <c r="G81" i="5"/>
  <c r="G78" i="5"/>
  <c r="G77" i="5"/>
  <c r="G76" i="5"/>
  <c r="G70" i="5"/>
  <c r="G68" i="5"/>
  <c r="G65" i="5"/>
  <c r="G64" i="5"/>
  <c r="G63" i="5"/>
  <c r="G60" i="5"/>
  <c r="G59" i="5"/>
  <c r="G58" i="5"/>
  <c r="G53" i="5"/>
  <c r="G51" i="5"/>
  <c r="E50" i="5"/>
  <c r="E49" i="5"/>
  <c r="G48" i="5"/>
  <c r="G47" i="5"/>
  <c r="G46" i="5"/>
  <c r="G43" i="5"/>
  <c r="G41" i="5"/>
  <c r="G38" i="5"/>
  <c r="G36" i="5"/>
  <c r="G34" i="5"/>
  <c r="G33" i="5"/>
  <c r="G32" i="5"/>
  <c r="G29" i="5"/>
  <c r="G28" i="5"/>
  <c r="G27" i="5"/>
  <c r="G24" i="5"/>
  <c r="G23" i="5"/>
  <c r="G22" i="5"/>
  <c r="G19" i="5"/>
  <c r="G18" i="5"/>
  <c r="G17" i="5"/>
  <c r="G15" i="5"/>
  <c r="G14" i="5"/>
  <c r="G13" i="5"/>
  <c r="G11" i="5"/>
  <c r="G9" i="5"/>
  <c r="G7" i="5"/>
  <c r="G6" i="5"/>
  <c r="G1237" i="8" l="1"/>
  <c r="G998" i="8"/>
  <c r="H1383" i="8"/>
  <c r="F1379" i="8"/>
  <c r="H1377" i="8"/>
  <c r="F1370" i="8"/>
  <c r="F1373" i="8"/>
  <c r="F1362" i="8"/>
  <c r="H1372" i="8"/>
  <c r="F1376" i="8"/>
  <c r="F1371" i="8"/>
  <c r="H1369" i="8"/>
  <c r="H1386" i="8"/>
  <c r="I1387" i="8"/>
  <c r="I1384" i="8"/>
  <c r="F1345" i="8"/>
  <c r="F1346" i="8"/>
  <c r="E3608" i="5"/>
  <c r="B17" i="9"/>
  <c r="F250" i="6"/>
  <c r="F78" i="6"/>
  <c r="F12" i="7"/>
  <c r="F303" i="6"/>
  <c r="F77" i="6"/>
  <c r="F68" i="6"/>
  <c r="F153" i="6"/>
  <c r="F187" i="6"/>
  <c r="F202" i="6"/>
  <c r="F203" i="6"/>
  <c r="F267" i="6"/>
  <c r="F285" i="6"/>
  <c r="F6" i="7"/>
  <c r="F11" i="7"/>
  <c r="F17" i="7"/>
  <c r="F309" i="6"/>
  <c r="F37" i="6"/>
  <c r="F62" i="6"/>
  <c r="F181" i="6"/>
  <c r="F294" i="6"/>
  <c r="F338" i="6"/>
  <c r="F24" i="7"/>
  <c r="F305" i="6"/>
  <c r="F28" i="6"/>
  <c r="F76" i="6"/>
  <c r="F113" i="6"/>
  <c r="F185" i="6"/>
  <c r="F206" i="6"/>
  <c r="F214" i="6"/>
  <c r="F219" i="6"/>
  <c r="F240" i="6"/>
  <c r="F35" i="7"/>
  <c r="F237" i="6"/>
  <c r="F252" i="6"/>
  <c r="F254" i="6"/>
  <c r="F286" i="6"/>
  <c r="F238" i="6"/>
  <c r="F304" i="6"/>
  <c r="F311" i="6"/>
  <c r="F27" i="6"/>
  <c r="F47" i="6"/>
  <c r="F130" i="6"/>
  <c r="F154" i="6"/>
  <c r="F167" i="6"/>
  <c r="F198" i="6"/>
  <c r="F335" i="6"/>
  <c r="F111" i="6"/>
  <c r="F124" i="6"/>
  <c r="F349" i="6"/>
  <c r="F7" i="7"/>
  <c r="F25" i="7"/>
  <c r="F10" i="7"/>
  <c r="F16" i="7"/>
  <c r="F348" i="6"/>
  <c r="F33" i="7"/>
  <c r="F7" i="6"/>
  <c r="F70" i="6"/>
  <c r="F107" i="6"/>
  <c r="F117" i="6"/>
  <c r="F141" i="6"/>
  <c r="F168" i="6"/>
  <c r="F186" i="6"/>
  <c r="F192" i="6"/>
  <c r="F216" i="6"/>
  <c r="F220" i="6"/>
  <c r="F15" i="6"/>
  <c r="F17" i="6"/>
  <c r="F94" i="6"/>
  <c r="F48" i="6"/>
  <c r="F193" i="6"/>
  <c r="F61" i="6"/>
  <c r="F93" i="6"/>
  <c r="F197" i="6"/>
  <c r="F284" i="6"/>
  <c r="F324" i="6"/>
  <c r="F325" i="6"/>
  <c r="F336" i="6"/>
  <c r="F339" i="6"/>
  <c r="F266" i="6"/>
  <c r="F236" i="6"/>
  <c r="F268" i="6"/>
  <c r="F295" i="6"/>
  <c r="F321" i="6"/>
  <c r="F239" i="6"/>
  <c r="F337" i="6"/>
  <c r="F347" i="6"/>
  <c r="F103" i="6"/>
  <c r="F104" i="6"/>
  <c r="F105" i="6"/>
  <c r="F118" i="6"/>
  <c r="F119" i="6"/>
  <c r="F16" i="6"/>
  <c r="F21" i="6"/>
  <c r="F22" i="6"/>
  <c r="F97" i="6"/>
  <c r="F125" i="6"/>
  <c r="F142" i="6"/>
  <c r="F143" i="6"/>
  <c r="F135" i="6"/>
  <c r="F136" i="6"/>
  <c r="F137" i="6"/>
  <c r="F199" i="6"/>
  <c r="F207" i="6"/>
  <c r="F215" i="6"/>
  <c r="F253" i="6"/>
  <c r="F251" i="6"/>
  <c r="F224" i="6"/>
  <c r="F226" i="6"/>
  <c r="F264" i="6"/>
  <c r="F225" i="6"/>
  <c r="F274" i="6"/>
  <c r="F265" i="6"/>
  <c r="F276" i="6"/>
  <c r="F275" i="6"/>
  <c r="F277" i="6"/>
  <c r="F278" i="6"/>
  <c r="F350" i="6"/>
  <c r="F351" i="6"/>
  <c r="F363" i="6"/>
  <c r="G832" i="5"/>
  <c r="G434" i="5"/>
  <c r="G440" i="5"/>
  <c r="G3261" i="5"/>
  <c r="G943" i="5"/>
  <c r="G3254" i="5"/>
  <c r="G730" i="5"/>
  <c r="G1317" i="5"/>
  <c r="G2276" i="5"/>
  <c r="G10" i="5"/>
  <c r="G823" i="5"/>
  <c r="G149" i="5"/>
  <c r="G183" i="5"/>
  <c r="G569" i="5"/>
  <c r="G723" i="5"/>
  <c r="G881" i="5"/>
  <c r="G892" i="5"/>
  <c r="G909" i="5"/>
  <c r="G1008" i="5"/>
  <c r="G1048" i="5"/>
  <c r="G1055" i="5"/>
  <c r="G790" i="5"/>
  <c r="G2150" i="5"/>
  <c r="G3804" i="5"/>
  <c r="G3226" i="5"/>
  <c r="G3632" i="5"/>
  <c r="G3660" i="5"/>
  <c r="G3954" i="5"/>
  <c r="G4298" i="5"/>
  <c r="G3128" i="5"/>
  <c r="G3697" i="5"/>
  <c r="G3969" i="5"/>
  <c r="G4433" i="5"/>
  <c r="G668" i="5"/>
  <c r="G232" i="5"/>
  <c r="G676" i="5"/>
  <c r="G37" i="5"/>
  <c r="G714" i="5"/>
  <c r="G736" i="5"/>
  <c r="G2056" i="5"/>
  <c r="G2266" i="5"/>
  <c r="G1259" i="5"/>
  <c r="G1340" i="5"/>
  <c r="G464" i="5"/>
  <c r="G918" i="5"/>
  <c r="G969" i="5"/>
  <c r="G1175" i="5"/>
  <c r="G2182" i="5"/>
  <c r="G2407" i="5"/>
  <c r="G606" i="5"/>
  <c r="G976" i="5"/>
  <c r="G3656" i="5"/>
  <c r="G3918" i="5"/>
  <c r="G3364" i="5"/>
  <c r="G3546" i="5"/>
  <c r="G219" i="5"/>
  <c r="G489" i="5"/>
  <c r="G596" i="5"/>
  <c r="G69" i="5"/>
  <c r="G161" i="5"/>
  <c r="G276" i="5"/>
  <c r="G511" i="5"/>
  <c r="G524" i="5"/>
  <c r="G545" i="5"/>
  <c r="G629" i="5"/>
  <c r="G2024" i="5"/>
  <c r="G2174" i="5"/>
  <c r="G3155" i="5"/>
  <c r="G3597" i="5"/>
  <c r="G3727" i="5"/>
  <c r="G3999" i="5"/>
  <c r="G3350" i="5"/>
  <c r="G3117" i="5"/>
  <c r="G3282" i="5"/>
  <c r="G3329" i="5"/>
  <c r="G3788" i="5"/>
  <c r="G3233" i="5"/>
  <c r="G3746" i="5"/>
  <c r="G3781" i="5"/>
  <c r="G4519" i="5"/>
  <c r="G42" i="5"/>
  <c r="G52" i="5"/>
  <c r="G1776" i="5"/>
  <c r="G1804" i="5"/>
  <c r="G1627" i="5"/>
  <c r="G1638" i="5"/>
  <c r="G1967" i="5"/>
  <c r="G1982" i="5"/>
  <c r="G1997" i="5"/>
  <c r="G2040" i="5"/>
  <c r="G2072" i="5"/>
  <c r="G2104" i="5"/>
  <c r="G2118" i="5"/>
  <c r="G2136" i="5"/>
  <c r="G2647" i="5"/>
  <c r="E3607" i="5"/>
  <c r="G3845" i="5"/>
  <c r="G12" i="8" l="1"/>
  <c r="G9" i="8"/>
  <c r="G20" i="8"/>
  <c r="G1238" i="8"/>
  <c r="G8" i="8"/>
  <c r="G110" i="8"/>
  <c r="G51" i="8"/>
  <c r="G989" i="8"/>
  <c r="G6" i="8"/>
  <c r="G78" i="8"/>
  <c r="G2680" i="8"/>
  <c r="G2676" i="8"/>
  <c r="G2672" i="8"/>
  <c r="G2668" i="8"/>
  <c r="G2664" i="8"/>
  <c r="G2660" i="8"/>
  <c r="G2656" i="8"/>
  <c r="G2652" i="8"/>
  <c r="G2648" i="8"/>
  <c r="G2644" i="8"/>
  <c r="G2640" i="8"/>
  <c r="G2636" i="8"/>
  <c r="G2632" i="8"/>
  <c r="G2628" i="8"/>
  <c r="G2624" i="8"/>
  <c r="G2679" i="8"/>
  <c r="G2675" i="8"/>
  <c r="G2671" i="8"/>
  <c r="G2610" i="8"/>
  <c r="G2667" i="8"/>
  <c r="G2663" i="8"/>
  <c r="G2659" i="8"/>
  <c r="G2655" i="8"/>
  <c r="G2651" i="8"/>
  <c r="G2647" i="8"/>
  <c r="G2643" i="8"/>
  <c r="G2639" i="8"/>
  <c r="G2635" i="8"/>
  <c r="G2631" i="8"/>
  <c r="G2627" i="8"/>
  <c r="G2678" i="8"/>
  <c r="G2674" i="8"/>
  <c r="G2670" i="8"/>
  <c r="G2666" i="8"/>
  <c r="G2662" i="8"/>
  <c r="G2658" i="8"/>
  <c r="G2654" i="8"/>
  <c r="G2650" i="8"/>
  <c r="G2646" i="8"/>
  <c r="G2642" i="8"/>
  <c r="G2638" i="8"/>
  <c r="G2634" i="8"/>
  <c r="G2630" i="8"/>
  <c r="G2626" i="8"/>
  <c r="G2681" i="8"/>
  <c r="G2677" i="8"/>
  <c r="G2673" i="8"/>
  <c r="G2669" i="8"/>
  <c r="G2665" i="8"/>
  <c r="G2661" i="8"/>
  <c r="G2657" i="8"/>
  <c r="G2653" i="8"/>
  <c r="G2649" i="8"/>
  <c r="G2645" i="8"/>
  <c r="G2641" i="8"/>
  <c r="G2637" i="8"/>
  <c r="G2633" i="8"/>
  <c r="G2629" i="8"/>
  <c r="G2625" i="8"/>
  <c r="I1379" i="8"/>
  <c r="H1379" i="8"/>
  <c r="G1353" i="8"/>
  <c r="G1361" i="8"/>
  <c r="G1369" i="8"/>
  <c r="G1377" i="8"/>
  <c r="G1356" i="8"/>
  <c r="G1364" i="8"/>
  <c r="G1372" i="8"/>
  <c r="G1380" i="8"/>
  <c r="G2622" i="8"/>
  <c r="G2618" i="8"/>
  <c r="G2614" i="8"/>
  <c r="G2606" i="8"/>
  <c r="G2602" i="8"/>
  <c r="G2598" i="8"/>
  <c r="G2594" i="8"/>
  <c r="G2590" i="8"/>
  <c r="G2586" i="8"/>
  <c r="G2582" i="8"/>
  <c r="G2578" i="8"/>
  <c r="G2574" i="8"/>
  <c r="G2570" i="8"/>
  <c r="G2566" i="8"/>
  <c r="G2562" i="8"/>
  <c r="G2558" i="8"/>
  <c r="G2554" i="8"/>
  <c r="G2550" i="8"/>
  <c r="G2546" i="8"/>
  <c r="G2542" i="8"/>
  <c r="G2538" i="8"/>
  <c r="G2534" i="8"/>
  <c r="G2530" i="8"/>
  <c r="G2526" i="8"/>
  <c r="G2522" i="8"/>
  <c r="G2518" i="8"/>
  <c r="G2514" i="8"/>
  <c r="G2510" i="8"/>
  <c r="G2506" i="8"/>
  <c r="G2502" i="8"/>
  <c r="G2498" i="8"/>
  <c r="G2494" i="8"/>
  <c r="G2490" i="8"/>
  <c r="G2486" i="8"/>
  <c r="G2482" i="8"/>
  <c r="G2478" i="8"/>
  <c r="G2474" i="8"/>
  <c r="G2470" i="8"/>
  <c r="G2466" i="8"/>
  <c r="G2462" i="8"/>
  <c r="G2458" i="8"/>
  <c r="G2454" i="8"/>
  <c r="G2450" i="8"/>
  <c r="G2446" i="8"/>
  <c r="G2442" i="8"/>
  <c r="G2438" i="8"/>
  <c r="G2434" i="8"/>
  <c r="G2430" i="8"/>
  <c r="G2426" i="8"/>
  <c r="G2422" i="8"/>
  <c r="G2418" i="8"/>
  <c r="G2414" i="8"/>
  <c r="G2410" i="8"/>
  <c r="G2406" i="8"/>
  <c r="G2402" i="8"/>
  <c r="G2398" i="8"/>
  <c r="G2394" i="8"/>
  <c r="G2390" i="8"/>
  <c r="G2386" i="8"/>
  <c r="G2382" i="8"/>
  <c r="G2378" i="8"/>
  <c r="G2374" i="8"/>
  <c r="G1357" i="8"/>
  <c r="G1365" i="8"/>
  <c r="G1373" i="8"/>
  <c r="G1381" i="8"/>
  <c r="G1359" i="8"/>
  <c r="G1367" i="8"/>
  <c r="G1375" i="8"/>
  <c r="G1383" i="8"/>
  <c r="G1358" i="8"/>
  <c r="G1374" i="8"/>
  <c r="G2617" i="8"/>
  <c r="G2608" i="8"/>
  <c r="G2599" i="8"/>
  <c r="G2585" i="8"/>
  <c r="G2576" i="8"/>
  <c r="G2567" i="8"/>
  <c r="G2553" i="8"/>
  <c r="G2544" i="8"/>
  <c r="G2535" i="8"/>
  <c r="G2521" i="8"/>
  <c r="G2512" i="8"/>
  <c r="G2503" i="8"/>
  <c r="G2489" i="8"/>
  <c r="G2480" i="8"/>
  <c r="G2471" i="8"/>
  <c r="G2457" i="8"/>
  <c r="G2448" i="8"/>
  <c r="G2439" i="8"/>
  <c r="G2425" i="8"/>
  <c r="G2416" i="8"/>
  <c r="G2407" i="8"/>
  <c r="G2393" i="8"/>
  <c r="G2384" i="8"/>
  <c r="G2375" i="8"/>
  <c r="G1360" i="8"/>
  <c r="G1376" i="8"/>
  <c r="G2621" i="8"/>
  <c r="G2612" i="8"/>
  <c r="G2603" i="8"/>
  <c r="G2589" i="8"/>
  <c r="G2580" i="8"/>
  <c r="G2571" i="8"/>
  <c r="G2557" i="8"/>
  <c r="G2548" i="8"/>
  <c r="G2539" i="8"/>
  <c r="G2525" i="8"/>
  <c r="G2516" i="8"/>
  <c r="G2507" i="8"/>
  <c r="G2493" i="8"/>
  <c r="G2484" i="8"/>
  <c r="G2475" i="8"/>
  <c r="G2461" i="8"/>
  <c r="G2452" i="8"/>
  <c r="G2443" i="8"/>
  <c r="G2429" i="8"/>
  <c r="G2420" i="8"/>
  <c r="G2411" i="8"/>
  <c r="G2397" i="8"/>
  <c r="G2388" i="8"/>
  <c r="G2379" i="8"/>
  <c r="G2370" i="8"/>
  <c r="G2366" i="8"/>
  <c r="G2362" i="8"/>
  <c r="G2358" i="8"/>
  <c r="G2354" i="8"/>
  <c r="G2350" i="8"/>
  <c r="G2346" i="8"/>
  <c r="G2342" i="8"/>
  <c r="G2338" i="8"/>
  <c r="G2334" i="8"/>
  <c r="G2330" i="8"/>
  <c r="G2326" i="8"/>
  <c r="G2322" i="8"/>
  <c r="G2318" i="8"/>
  <c r="G2314" i="8"/>
  <c r="G2310" i="8"/>
  <c r="G2306" i="8"/>
  <c r="G2302" i="8"/>
  <c r="G2298" i="8"/>
  <c r="G2294" i="8"/>
  <c r="G2290" i="8"/>
  <c r="G2286" i="8"/>
  <c r="G2282" i="8"/>
  <c r="G2278" i="8"/>
  <c r="G2274" i="8"/>
  <c r="G2270" i="8"/>
  <c r="G2266" i="8"/>
  <c r="G2262" i="8"/>
  <c r="G2258" i="8"/>
  <c r="G2254" i="8"/>
  <c r="G2250" i="8"/>
  <c r="G2246" i="8"/>
  <c r="G2242" i="8"/>
  <c r="G2238" i="8"/>
  <c r="G2234" i="8"/>
  <c r="G2230" i="8"/>
  <c r="G2226" i="8"/>
  <c r="G2222" i="8"/>
  <c r="G2218" i="8"/>
  <c r="G2214" i="8"/>
  <c r="G2210" i="8"/>
  <c r="G2206" i="8"/>
  <c r="G2202" i="8"/>
  <c r="G2198" i="8"/>
  <c r="G2194" i="8"/>
  <c r="G2190" i="8"/>
  <c r="G2186" i="8"/>
  <c r="G2182" i="8"/>
  <c r="G2178" i="8"/>
  <c r="G2174" i="8"/>
  <c r="G2170" i="8"/>
  <c r="G2166" i="8"/>
  <c r="G2162" i="8"/>
  <c r="G2158" i="8"/>
  <c r="G2154" i="8"/>
  <c r="G2150" i="8"/>
  <c r="G2146" i="8"/>
  <c r="G2142" i="8"/>
  <c r="G2138" i="8"/>
  <c r="G1362" i="8"/>
  <c r="G1378" i="8"/>
  <c r="G2616" i="8"/>
  <c r="G2607" i="8"/>
  <c r="G2593" i="8"/>
  <c r="G2584" i="8"/>
  <c r="G2575" i="8"/>
  <c r="G2561" i="8"/>
  <c r="G2552" i="8"/>
  <c r="G2543" i="8"/>
  <c r="G2529" i="8"/>
  <c r="G2520" i="8"/>
  <c r="G2511" i="8"/>
  <c r="G2497" i="8"/>
  <c r="G2488" i="8"/>
  <c r="G2479" i="8"/>
  <c r="G2465" i="8"/>
  <c r="G2456" i="8"/>
  <c r="G2447" i="8"/>
  <c r="G2433" i="8"/>
  <c r="G2424" i="8"/>
  <c r="G2415" i="8"/>
  <c r="G2401" i="8"/>
  <c r="G2392" i="8"/>
  <c r="G2383" i="8"/>
  <c r="G1363" i="8"/>
  <c r="G1379" i="8"/>
  <c r="G2620" i="8"/>
  <c r="G2611" i="8"/>
  <c r="G2597" i="8"/>
  <c r="G2588" i="8"/>
  <c r="G2579" i="8"/>
  <c r="G2565" i="8"/>
  <c r="G2556" i="8"/>
  <c r="G2547" i="8"/>
  <c r="G2533" i="8"/>
  <c r="G2524" i="8"/>
  <c r="G2515" i="8"/>
  <c r="G2501" i="8"/>
  <c r="G2492" i="8"/>
  <c r="G2483" i="8"/>
  <c r="G2469" i="8"/>
  <c r="G2460" i="8"/>
  <c r="G2451" i="8"/>
  <c r="G2437" i="8"/>
  <c r="G2428" i="8"/>
  <c r="G1366" i="8"/>
  <c r="G1382" i="8"/>
  <c r="G2615" i="8"/>
  <c r="G2601" i="8"/>
  <c r="G2592" i="8"/>
  <c r="G2583" i="8"/>
  <c r="G2569" i="8"/>
  <c r="G2560" i="8"/>
  <c r="G2551" i="8"/>
  <c r="G2537" i="8"/>
  <c r="G2528" i="8"/>
  <c r="G2519" i="8"/>
  <c r="G2505" i="8"/>
  <c r="G2496" i="8"/>
  <c r="G2487" i="8"/>
  <c r="G2473" i="8"/>
  <c r="G2464" i="8"/>
  <c r="G2455" i="8"/>
  <c r="G2441" i="8"/>
  <c r="G2432" i="8"/>
  <c r="G2423" i="8"/>
  <c r="G2409" i="8"/>
  <c r="G2400" i="8"/>
  <c r="G2391" i="8"/>
  <c r="G2377" i="8"/>
  <c r="G1352" i="8"/>
  <c r="G1368" i="8"/>
  <c r="G2619" i="8"/>
  <c r="G2605" i="8"/>
  <c r="G2596" i="8"/>
  <c r="G2587" i="8"/>
  <c r="G2573" i="8"/>
  <c r="G2564" i="8"/>
  <c r="G2555" i="8"/>
  <c r="G2541" i="8"/>
  <c r="G2532" i="8"/>
  <c r="G2523" i="8"/>
  <c r="G2509" i="8"/>
  <c r="G2500" i="8"/>
  <c r="G2491" i="8"/>
  <c r="G2477" i="8"/>
  <c r="G2468" i="8"/>
  <c r="G2459" i="8"/>
  <c r="G2445" i="8"/>
  <c r="G2436" i="8"/>
  <c r="G2427" i="8"/>
  <c r="G2413" i="8"/>
  <c r="G2404" i="8"/>
  <c r="G2395" i="8"/>
  <c r="G1354" i="8"/>
  <c r="G1370" i="8"/>
  <c r="G2623" i="8"/>
  <c r="G2609" i="8"/>
  <c r="G2600" i="8"/>
  <c r="G2591" i="8"/>
  <c r="G2577" i="8"/>
  <c r="G2568" i="8"/>
  <c r="G2559" i="8"/>
  <c r="G2545" i="8"/>
  <c r="G2536" i="8"/>
  <c r="G2527" i="8"/>
  <c r="G2513" i="8"/>
  <c r="G2504" i="8"/>
  <c r="G2495" i="8"/>
  <c r="G2481" i="8"/>
  <c r="G2472" i="8"/>
  <c r="G2463" i="8"/>
  <c r="G2449" i="8"/>
  <c r="G2440" i="8"/>
  <c r="G2431" i="8"/>
  <c r="G2417" i="8"/>
  <c r="G2408" i="8"/>
  <c r="G2399" i="8"/>
  <c r="G1355" i="8"/>
  <c r="G1371" i="8"/>
  <c r="G2613" i="8"/>
  <c r="G2604" i="8"/>
  <c r="G2595" i="8"/>
  <c r="G2581" i="8"/>
  <c r="G2572" i="8"/>
  <c r="G2563" i="8"/>
  <c r="G2549" i="8"/>
  <c r="G2540" i="8"/>
  <c r="G2531" i="8"/>
  <c r="G2517" i="8"/>
  <c r="G2508" i="8"/>
  <c r="G2499" i="8"/>
  <c r="G2485" i="8"/>
  <c r="G2476" i="8"/>
  <c r="G2467" i="8"/>
  <c r="G2453" i="8"/>
  <c r="G2444" i="8"/>
  <c r="G2435" i="8"/>
  <c r="G2421" i="8"/>
  <c r="G2387" i="8"/>
  <c r="G2381" i="8"/>
  <c r="G2361" i="8"/>
  <c r="G2352" i="8"/>
  <c r="G2343" i="8"/>
  <c r="G2329" i="8"/>
  <c r="G2320" i="8"/>
  <c r="G2311" i="8"/>
  <c r="G2297" i="8"/>
  <c r="G2288" i="8"/>
  <c r="G2279" i="8"/>
  <c r="G2265" i="8"/>
  <c r="G2256" i="8"/>
  <c r="G2247" i="8"/>
  <c r="G2233" i="8"/>
  <c r="G2224" i="8"/>
  <c r="G2215" i="8"/>
  <c r="G2201" i="8"/>
  <c r="G2192" i="8"/>
  <c r="G2183" i="8"/>
  <c r="G2169" i="8"/>
  <c r="G2160" i="8"/>
  <c r="G2151" i="8"/>
  <c r="G2365" i="8"/>
  <c r="G2356" i="8"/>
  <c r="G2347" i="8"/>
  <c r="G2333" i="8"/>
  <c r="G2324" i="8"/>
  <c r="G2315" i="8"/>
  <c r="G2301" i="8"/>
  <c r="G2292" i="8"/>
  <c r="G2283" i="8"/>
  <c r="G2269" i="8"/>
  <c r="G2260" i="8"/>
  <c r="G2251" i="8"/>
  <c r="G2237" i="8"/>
  <c r="G2228" i="8"/>
  <c r="G2219" i="8"/>
  <c r="G2205" i="8"/>
  <c r="G2196" i="8"/>
  <c r="G2187" i="8"/>
  <c r="G2173" i="8"/>
  <c r="G2164" i="8"/>
  <c r="G2155" i="8"/>
  <c r="G2141" i="8"/>
  <c r="G2419" i="8"/>
  <c r="G2412" i="8"/>
  <c r="G2405" i="8"/>
  <c r="G2380" i="8"/>
  <c r="G2369" i="8"/>
  <c r="G2360" i="8"/>
  <c r="G2351" i="8"/>
  <c r="G2337" i="8"/>
  <c r="G2328" i="8"/>
  <c r="G2319" i="8"/>
  <c r="G2305" i="8"/>
  <c r="G2296" i="8"/>
  <c r="G2287" i="8"/>
  <c r="G2273" i="8"/>
  <c r="G2264" i="8"/>
  <c r="G2255" i="8"/>
  <c r="G2241" i="8"/>
  <c r="G2232" i="8"/>
  <c r="G2223" i="8"/>
  <c r="G2209" i="8"/>
  <c r="G2200" i="8"/>
  <c r="G2191" i="8"/>
  <c r="G2177" i="8"/>
  <c r="G2168" i="8"/>
  <c r="G2159" i="8"/>
  <c r="G2145" i="8"/>
  <c r="G2136" i="8"/>
  <c r="G2132" i="8"/>
  <c r="G2128" i="8"/>
  <c r="G2124" i="8"/>
  <c r="G2120" i="8"/>
  <c r="G2116" i="8"/>
  <c r="G2112" i="8"/>
  <c r="G2108" i="8"/>
  <c r="G2104" i="8"/>
  <c r="G2100" i="8"/>
  <c r="G2096" i="8"/>
  <c r="G2092" i="8"/>
  <c r="G2088" i="8"/>
  <c r="G2084" i="8"/>
  <c r="G2080" i="8"/>
  <c r="G2076" i="8"/>
  <c r="G2072" i="8"/>
  <c r="G2068" i="8"/>
  <c r="G2064" i="8"/>
  <c r="G2060" i="8"/>
  <c r="G2056" i="8"/>
  <c r="G2052" i="8"/>
  <c r="G2048" i="8"/>
  <c r="G2044" i="8"/>
  <c r="G2040" i="8"/>
  <c r="G2036" i="8"/>
  <c r="G2032" i="8"/>
  <c r="G2028" i="8"/>
  <c r="G2024" i="8"/>
  <c r="G2020" i="8"/>
  <c r="G2016" i="8"/>
  <c r="G2012" i="8"/>
  <c r="G2008" i="8"/>
  <c r="G2004" i="8"/>
  <c r="G2000" i="8"/>
  <c r="G1996" i="8"/>
  <c r="G1992" i="8"/>
  <c r="G1988" i="8"/>
  <c r="G1984" i="8"/>
  <c r="G1980" i="8"/>
  <c r="G1976" i="8"/>
  <c r="G1972" i="8"/>
  <c r="G1968" i="8"/>
  <c r="G1964" i="8"/>
  <c r="G1960" i="8"/>
  <c r="G1956" i="8"/>
  <c r="G1952" i="8"/>
  <c r="G1948" i="8"/>
  <c r="G2385" i="8"/>
  <c r="G2373" i="8"/>
  <c r="G2364" i="8"/>
  <c r="G2355" i="8"/>
  <c r="G2341" i="8"/>
  <c r="G2332" i="8"/>
  <c r="G2323" i="8"/>
  <c r="G2309" i="8"/>
  <c r="G2300" i="8"/>
  <c r="G2291" i="8"/>
  <c r="G2277" i="8"/>
  <c r="G2268" i="8"/>
  <c r="G2259" i="8"/>
  <c r="G2245" i="8"/>
  <c r="G2236" i="8"/>
  <c r="G2227" i="8"/>
  <c r="G2213" i="8"/>
  <c r="G2204" i="8"/>
  <c r="G2195" i="8"/>
  <c r="G2181" i="8"/>
  <c r="G2172" i="8"/>
  <c r="G2163" i="8"/>
  <c r="G2149" i="8"/>
  <c r="G2140" i="8"/>
  <c r="G2368" i="8"/>
  <c r="G2359" i="8"/>
  <c r="G2345" i="8"/>
  <c r="G2336" i="8"/>
  <c r="G2327" i="8"/>
  <c r="G2313" i="8"/>
  <c r="G2304" i="8"/>
  <c r="G2295" i="8"/>
  <c r="G2281" i="8"/>
  <c r="G2272" i="8"/>
  <c r="G2263" i="8"/>
  <c r="G2249" i="8"/>
  <c r="G2240" i="8"/>
  <c r="G2231" i="8"/>
  <c r="G2217" i="8"/>
  <c r="G2208" i="8"/>
  <c r="G2199" i="8"/>
  <c r="G2185" i="8"/>
  <c r="G2176" i="8"/>
  <c r="G2167" i="8"/>
  <c r="G2153" i="8"/>
  <c r="G2144" i="8"/>
  <c r="G2135" i="8"/>
  <c r="G2131" i="8"/>
  <c r="G2127" i="8"/>
  <c r="G2123" i="8"/>
  <c r="G2119" i="8"/>
  <c r="G2115" i="8"/>
  <c r="G2111" i="8"/>
  <c r="G2107" i="8"/>
  <c r="G2103" i="8"/>
  <c r="G2099" i="8"/>
  <c r="G2095" i="8"/>
  <c r="G2091" i="8"/>
  <c r="G2087" i="8"/>
  <c r="G2083" i="8"/>
  <c r="G2079" i="8"/>
  <c r="G2075" i="8"/>
  <c r="G2071" i="8"/>
  <c r="G2067" i="8"/>
  <c r="G2063" i="8"/>
  <c r="G2059" i="8"/>
  <c r="G2055" i="8"/>
  <c r="G2051" i="8"/>
  <c r="G2047" i="8"/>
  <c r="G2043" i="8"/>
  <c r="G2039" i="8"/>
  <c r="G2035" i="8"/>
  <c r="G2031" i="8"/>
  <c r="G2027" i="8"/>
  <c r="G2023" i="8"/>
  <c r="G2019" i="8"/>
  <c r="G2015" i="8"/>
  <c r="G2011" i="8"/>
  <c r="G2007" i="8"/>
  <c r="G2003" i="8"/>
  <c r="G1999" i="8"/>
  <c r="G1995" i="8"/>
  <c r="G1991" i="8"/>
  <c r="G1987" i="8"/>
  <c r="G1983" i="8"/>
  <c r="G1979" i="8"/>
  <c r="G1975" i="8"/>
  <c r="G1971" i="8"/>
  <c r="G1967" i="8"/>
  <c r="G1963" i="8"/>
  <c r="G1959" i="8"/>
  <c r="G1955" i="8"/>
  <c r="G1951" i="8"/>
  <c r="G1947" i="8"/>
  <c r="G1943" i="8"/>
  <c r="G1939" i="8"/>
  <c r="G1935" i="8"/>
  <c r="G1931" i="8"/>
  <c r="G1927" i="8"/>
  <c r="G1923" i="8"/>
  <c r="G1919" i="8"/>
  <c r="G1915" i="8"/>
  <c r="G1911" i="8"/>
  <c r="G1907" i="8"/>
  <c r="G1903" i="8"/>
  <c r="G1899" i="8"/>
  <c r="G1895" i="8"/>
  <c r="G1891" i="8"/>
  <c r="G1887" i="8"/>
  <c r="G2403" i="8"/>
  <c r="G2396" i="8"/>
  <c r="G2389" i="8"/>
  <c r="G2372" i="8"/>
  <c r="G2363" i="8"/>
  <c r="G2349" i="8"/>
  <c r="G2340" i="8"/>
  <c r="G2331" i="8"/>
  <c r="G2317" i="8"/>
  <c r="G2308" i="8"/>
  <c r="G2299" i="8"/>
  <c r="G2285" i="8"/>
  <c r="G2276" i="8"/>
  <c r="G2267" i="8"/>
  <c r="G2253" i="8"/>
  <c r="G2244" i="8"/>
  <c r="G2235" i="8"/>
  <c r="G2221" i="8"/>
  <c r="G2212" i="8"/>
  <c r="G2203" i="8"/>
  <c r="G2189" i="8"/>
  <c r="G2180" i="8"/>
  <c r="G2171" i="8"/>
  <c r="G2157" i="8"/>
  <c r="G2367" i="8"/>
  <c r="G2353" i="8"/>
  <c r="G2344" i="8"/>
  <c r="G2335" i="8"/>
  <c r="G2321" i="8"/>
  <c r="G2312" i="8"/>
  <c r="G2303" i="8"/>
  <c r="G2289" i="8"/>
  <c r="G2280" i="8"/>
  <c r="G2271" i="8"/>
  <c r="G2257" i="8"/>
  <c r="G2248" i="8"/>
  <c r="G2239" i="8"/>
  <c r="G2225" i="8"/>
  <c r="G2216" i="8"/>
  <c r="G2207" i="8"/>
  <c r="G2193" i="8"/>
  <c r="G2184" i="8"/>
  <c r="G2175" i="8"/>
  <c r="G2161" i="8"/>
  <c r="G2152" i="8"/>
  <c r="G2143" i="8"/>
  <c r="G2376" i="8"/>
  <c r="G2371" i="8"/>
  <c r="G2357" i="8"/>
  <c r="G2348" i="8"/>
  <c r="G2339" i="8"/>
  <c r="G2325" i="8"/>
  <c r="G2316" i="8"/>
  <c r="G2307" i="8"/>
  <c r="G2293" i="8"/>
  <c r="G2284" i="8"/>
  <c r="G2275" i="8"/>
  <c r="G2261" i="8"/>
  <c r="G2252" i="8"/>
  <c r="G2243" i="8"/>
  <c r="G2229" i="8"/>
  <c r="G2220" i="8"/>
  <c r="G2211" i="8"/>
  <c r="G2197" i="8"/>
  <c r="G2188" i="8"/>
  <c r="G2179" i="8"/>
  <c r="G2165" i="8"/>
  <c r="G2156" i="8"/>
  <c r="G2147" i="8"/>
  <c r="G2130" i="8"/>
  <c r="G2125" i="8"/>
  <c r="G2114" i="8"/>
  <c r="G2109" i="8"/>
  <c r="G2098" i="8"/>
  <c r="G2093" i="8"/>
  <c r="G2082" i="8"/>
  <c r="G2077" i="8"/>
  <c r="G2066" i="8"/>
  <c r="G2061" i="8"/>
  <c r="G2050" i="8"/>
  <c r="G2045" i="8"/>
  <c r="G2034" i="8"/>
  <c r="G2029" i="8"/>
  <c r="G2018" i="8"/>
  <c r="G2013" i="8"/>
  <c r="G2002" i="8"/>
  <c r="G1997" i="8"/>
  <c r="G1986" i="8"/>
  <c r="G1981" i="8"/>
  <c r="G1970" i="8"/>
  <c r="G1965" i="8"/>
  <c r="G1954" i="8"/>
  <c r="G1949" i="8"/>
  <c r="G1944" i="8"/>
  <c r="G1930" i="8"/>
  <c r="G1921" i="8"/>
  <c r="G1912" i="8"/>
  <c r="G1898" i="8"/>
  <c r="G1889" i="8"/>
  <c r="G2148" i="8"/>
  <c r="G1934" i="8"/>
  <c r="G1925" i="8"/>
  <c r="G1916" i="8"/>
  <c r="G1902" i="8"/>
  <c r="G2134" i="8"/>
  <c r="G2129" i="8"/>
  <c r="G2118" i="8"/>
  <c r="G2113" i="8"/>
  <c r="G2102" i="8"/>
  <c r="G2097" i="8"/>
  <c r="G2086" i="8"/>
  <c r="G2081" i="8"/>
  <c r="G2070" i="8"/>
  <c r="G2065" i="8"/>
  <c r="G2054" i="8"/>
  <c r="G2049" i="8"/>
  <c r="G2038" i="8"/>
  <c r="G2033" i="8"/>
  <c r="G2022" i="8"/>
  <c r="G2017" i="8"/>
  <c r="G2006" i="8"/>
  <c r="G2001" i="8"/>
  <c r="G1990" i="8"/>
  <c r="G1985" i="8"/>
  <c r="G1974" i="8"/>
  <c r="G1969" i="8"/>
  <c r="G1958" i="8"/>
  <c r="G1953" i="8"/>
  <c r="G1938" i="8"/>
  <c r="G1929" i="8"/>
  <c r="G1920" i="8"/>
  <c r="G1906" i="8"/>
  <c r="G1897" i="8"/>
  <c r="G1888" i="8"/>
  <c r="G2139" i="8"/>
  <c r="G1942" i="8"/>
  <c r="G1933" i="8"/>
  <c r="G1924" i="8"/>
  <c r="G1910" i="8"/>
  <c r="G1901" i="8"/>
  <c r="G1892" i="8"/>
  <c r="G1883" i="8"/>
  <c r="G1879" i="8"/>
  <c r="G1875" i="8"/>
  <c r="G1871" i="8"/>
  <c r="G1867" i="8"/>
  <c r="G1863" i="8"/>
  <c r="G1859" i="8"/>
  <c r="G1855" i="8"/>
  <c r="G1851" i="8"/>
  <c r="G1847" i="8"/>
  <c r="G1843" i="8"/>
  <c r="G1839" i="8"/>
  <c r="G1835" i="8"/>
  <c r="G1831" i="8"/>
  <c r="G1827" i="8"/>
  <c r="G1823" i="8"/>
  <c r="G1819" i="8"/>
  <c r="G1815" i="8"/>
  <c r="G1811" i="8"/>
  <c r="G1807" i="8"/>
  <c r="G1803" i="8"/>
  <c r="G1799" i="8"/>
  <c r="G1795" i="8"/>
  <c r="G1791" i="8"/>
  <c r="G1787" i="8"/>
  <c r="G1783" i="8"/>
  <c r="G1779" i="8"/>
  <c r="G1775" i="8"/>
  <c r="G1771" i="8"/>
  <c r="G1767" i="8"/>
  <c r="G1763" i="8"/>
  <c r="G1759" i="8"/>
  <c r="G1755" i="8"/>
  <c r="G1751" i="8"/>
  <c r="G1747" i="8"/>
  <c r="G1743" i="8"/>
  <c r="G1739" i="8"/>
  <c r="G1735" i="8"/>
  <c r="G1731" i="8"/>
  <c r="G1727" i="8"/>
  <c r="G1723" i="8"/>
  <c r="G1719" i="8"/>
  <c r="G1715" i="8"/>
  <c r="G1711" i="8"/>
  <c r="G1707" i="8"/>
  <c r="G1703" i="8"/>
  <c r="G1699" i="8"/>
  <c r="G1695" i="8"/>
  <c r="G1691" i="8"/>
  <c r="G1687" i="8"/>
  <c r="G1683" i="8"/>
  <c r="G1679" i="8"/>
  <c r="G1675" i="8"/>
  <c r="G1671" i="8"/>
  <c r="G1667" i="8"/>
  <c r="G1663" i="8"/>
  <c r="G1659" i="8"/>
  <c r="G1655" i="8"/>
  <c r="G1651" i="8"/>
  <c r="G1647" i="8"/>
  <c r="G1643" i="8"/>
  <c r="G1639" i="8"/>
  <c r="G1635" i="8"/>
  <c r="G1631" i="8"/>
  <c r="G1627" i="8"/>
  <c r="G1623" i="8"/>
  <c r="G1619" i="8"/>
  <c r="G1615" i="8"/>
  <c r="G1611" i="8"/>
  <c r="G1607" i="8"/>
  <c r="G1603" i="8"/>
  <c r="G1599" i="8"/>
  <c r="G1595" i="8"/>
  <c r="G1591" i="8"/>
  <c r="G1587" i="8"/>
  <c r="G1583" i="8"/>
  <c r="G1579" i="8"/>
  <c r="G1575" i="8"/>
  <c r="G1571" i="8"/>
  <c r="G1567" i="8"/>
  <c r="G1563" i="8"/>
  <c r="G1559" i="8"/>
  <c r="G1555" i="8"/>
  <c r="G1551" i="8"/>
  <c r="G1547" i="8"/>
  <c r="G1543" i="8"/>
  <c r="G1539" i="8"/>
  <c r="G1535" i="8"/>
  <c r="G1531" i="8"/>
  <c r="G1527" i="8"/>
  <c r="G1523" i="8"/>
  <c r="G1519" i="8"/>
  <c r="G1515" i="8"/>
  <c r="G1511" i="8"/>
  <c r="G1507" i="8"/>
  <c r="G1503" i="8"/>
  <c r="G1499" i="8"/>
  <c r="G1495" i="8"/>
  <c r="G1491" i="8"/>
  <c r="G1487" i="8"/>
  <c r="G1483" i="8"/>
  <c r="G1479" i="8"/>
  <c r="G1475" i="8"/>
  <c r="G1471" i="8"/>
  <c r="G1467" i="8"/>
  <c r="G1463" i="8"/>
  <c r="G1459" i="8"/>
  <c r="G1455" i="8"/>
  <c r="G1451" i="8"/>
  <c r="G1447" i="8"/>
  <c r="G1443" i="8"/>
  <c r="G1439" i="8"/>
  <c r="G1435" i="8"/>
  <c r="G1431" i="8"/>
  <c r="G1427" i="8"/>
  <c r="G1423" i="8"/>
  <c r="G1419" i="8"/>
  <c r="G1415" i="8"/>
  <c r="G1411" i="8"/>
  <c r="G1407" i="8"/>
  <c r="G1403" i="8"/>
  <c r="G1399" i="8"/>
  <c r="G1395" i="8"/>
  <c r="G1391" i="8"/>
  <c r="G2133" i="8"/>
  <c r="G2122" i="8"/>
  <c r="G2117" i="8"/>
  <c r="G2106" i="8"/>
  <c r="G2101" i="8"/>
  <c r="G2090" i="8"/>
  <c r="G2085" i="8"/>
  <c r="G2074" i="8"/>
  <c r="G2069" i="8"/>
  <c r="G2058" i="8"/>
  <c r="G2053" i="8"/>
  <c r="G2042" i="8"/>
  <c r="G2037" i="8"/>
  <c r="G2026" i="8"/>
  <c r="G2021" i="8"/>
  <c r="G2010" i="8"/>
  <c r="G2005" i="8"/>
  <c r="G1994" i="8"/>
  <c r="G1989" i="8"/>
  <c r="G1978" i="8"/>
  <c r="G1973" i="8"/>
  <c r="G1962" i="8"/>
  <c r="G1957" i="8"/>
  <c r="G1946" i="8"/>
  <c r="G1937" i="8"/>
  <c r="G1928" i="8"/>
  <c r="G1914" i="8"/>
  <c r="G1905" i="8"/>
  <c r="G1896" i="8"/>
  <c r="G1941" i="8"/>
  <c r="G1932" i="8"/>
  <c r="G1918" i="8"/>
  <c r="G1909" i="8"/>
  <c r="G1900" i="8"/>
  <c r="G1886" i="8"/>
  <c r="G1882" i="8"/>
  <c r="G1878" i="8"/>
  <c r="G1874" i="8"/>
  <c r="G1870" i="8"/>
  <c r="G1866" i="8"/>
  <c r="G1862" i="8"/>
  <c r="G1858" i="8"/>
  <c r="G1854" i="8"/>
  <c r="G1850" i="8"/>
  <c r="G1846" i="8"/>
  <c r="G1842" i="8"/>
  <c r="G1838" i="8"/>
  <c r="G1834" i="8"/>
  <c r="G1830" i="8"/>
  <c r="G1826" i="8"/>
  <c r="G1822" i="8"/>
  <c r="G1818" i="8"/>
  <c r="G1814" i="8"/>
  <c r="G1810" i="8"/>
  <c r="G1806" i="8"/>
  <c r="G1802" i="8"/>
  <c r="G1798" i="8"/>
  <c r="G1794" i="8"/>
  <c r="G1790" i="8"/>
  <c r="G1786" i="8"/>
  <c r="G1782" i="8"/>
  <c r="G1778" i="8"/>
  <c r="G1774" i="8"/>
  <c r="G1770" i="8"/>
  <c r="G1766" i="8"/>
  <c r="G1762" i="8"/>
  <c r="G1758" i="8"/>
  <c r="G1754" i="8"/>
  <c r="G1750" i="8"/>
  <c r="G1746" i="8"/>
  <c r="G1742" i="8"/>
  <c r="G1738" i="8"/>
  <c r="G1734" i="8"/>
  <c r="G1730" i="8"/>
  <c r="G1726" i="8"/>
  <c r="G1722" i="8"/>
  <c r="G1718" i="8"/>
  <c r="G1714" i="8"/>
  <c r="G1710" i="8"/>
  <c r="G1706" i="8"/>
  <c r="G1702" i="8"/>
  <c r="G1698" i="8"/>
  <c r="G1694" i="8"/>
  <c r="G1690" i="8"/>
  <c r="G1686" i="8"/>
  <c r="G1682" i="8"/>
  <c r="G1678" i="8"/>
  <c r="G1674" i="8"/>
  <c r="G1670" i="8"/>
  <c r="G1666" i="8"/>
  <c r="G1662" i="8"/>
  <c r="G1658" i="8"/>
  <c r="G1654" i="8"/>
  <c r="G1650" i="8"/>
  <c r="G1646" i="8"/>
  <c r="G1642" i="8"/>
  <c r="G1638" i="8"/>
  <c r="G1634" i="8"/>
  <c r="G1630" i="8"/>
  <c r="G1626" i="8"/>
  <c r="G1622" i="8"/>
  <c r="G1618" i="8"/>
  <c r="G1614" i="8"/>
  <c r="G1610" i="8"/>
  <c r="G1606" i="8"/>
  <c r="G1602" i="8"/>
  <c r="G1598" i="8"/>
  <c r="G1594" i="8"/>
  <c r="G1590" i="8"/>
  <c r="G1586" i="8"/>
  <c r="G1582" i="8"/>
  <c r="G1578" i="8"/>
  <c r="G1574" i="8"/>
  <c r="G1570" i="8"/>
  <c r="G2137" i="8"/>
  <c r="G2126" i="8"/>
  <c r="G2121" i="8"/>
  <c r="G2110" i="8"/>
  <c r="G2105" i="8"/>
  <c r="G2094" i="8"/>
  <c r="G2089" i="8"/>
  <c r="G2078" i="8"/>
  <c r="G2073" i="8"/>
  <c r="G2062" i="8"/>
  <c r="G2057" i="8"/>
  <c r="G2046" i="8"/>
  <c r="G2041" i="8"/>
  <c r="G2030" i="8"/>
  <c r="G2025" i="8"/>
  <c r="G2014" i="8"/>
  <c r="G2009" i="8"/>
  <c r="G1998" i="8"/>
  <c r="G1993" i="8"/>
  <c r="G1982" i="8"/>
  <c r="G1977" i="8"/>
  <c r="G1966" i="8"/>
  <c r="G1961" i="8"/>
  <c r="G1950" i="8"/>
  <c r="G1945" i="8"/>
  <c r="G1936" i="8"/>
  <c r="G1922" i="8"/>
  <c r="G1913" i="8"/>
  <c r="G1904" i="8"/>
  <c r="G1890" i="8"/>
  <c r="G1926" i="8"/>
  <c r="G1884" i="8"/>
  <c r="G1873" i="8"/>
  <c r="G1868" i="8"/>
  <c r="G1857" i="8"/>
  <c r="G1852" i="8"/>
  <c r="G1841" i="8"/>
  <c r="G1836" i="8"/>
  <c r="G1825" i="8"/>
  <c r="G1820" i="8"/>
  <c r="G1809" i="8"/>
  <c r="G1804" i="8"/>
  <c r="G1793" i="8"/>
  <c r="G1788" i="8"/>
  <c r="G1777" i="8"/>
  <c r="G1772" i="8"/>
  <c r="G1761" i="8"/>
  <c r="G1756" i="8"/>
  <c r="G1745" i="8"/>
  <c r="G1740" i="8"/>
  <c r="G1729" i="8"/>
  <c r="G1724" i="8"/>
  <c r="G1713" i="8"/>
  <c r="G1708" i="8"/>
  <c r="G1697" i="8"/>
  <c r="G1692" i="8"/>
  <c r="G1681" i="8"/>
  <c r="G1676" i="8"/>
  <c r="G1665" i="8"/>
  <c r="G1660" i="8"/>
  <c r="G1649" i="8"/>
  <c r="G1644" i="8"/>
  <c r="G1633" i="8"/>
  <c r="G1628" i="8"/>
  <c r="G1617" i="8"/>
  <c r="G1612" i="8"/>
  <c r="G1601" i="8"/>
  <c r="G1596" i="8"/>
  <c r="G1585" i="8"/>
  <c r="G1580" i="8"/>
  <c r="G1569" i="8"/>
  <c r="G1560" i="8"/>
  <c r="G1546" i="8"/>
  <c r="G1537" i="8"/>
  <c r="G1528" i="8"/>
  <c r="G1514" i="8"/>
  <c r="G1505" i="8"/>
  <c r="G1496" i="8"/>
  <c r="G1482" i="8"/>
  <c r="G1473" i="8"/>
  <c r="G1464" i="8"/>
  <c r="G1450" i="8"/>
  <c r="G1441" i="8"/>
  <c r="G1432" i="8"/>
  <c r="G1418" i="8"/>
  <c r="G1409" i="8"/>
  <c r="G1400" i="8"/>
  <c r="G1564" i="8"/>
  <c r="G1532" i="8"/>
  <c r="G1518" i="8"/>
  <c r="G1500" i="8"/>
  <c r="G1477" i="8"/>
  <c r="G1454" i="8"/>
  <c r="G1436" i="8"/>
  <c r="G1422" i="8"/>
  <c r="G1404" i="8"/>
  <c r="G1390" i="8"/>
  <c r="G1453" i="8"/>
  <c r="G1430" i="8"/>
  <c r="G1405" i="8"/>
  <c r="G1940" i="8"/>
  <c r="G1550" i="8"/>
  <c r="G1541" i="8"/>
  <c r="G1509" i="8"/>
  <c r="G1486" i="8"/>
  <c r="G1468" i="8"/>
  <c r="G1445" i="8"/>
  <c r="G1413" i="8"/>
  <c r="G1444" i="8"/>
  <c r="G1421" i="8"/>
  <c r="G1917" i="8"/>
  <c r="G1877" i="8"/>
  <c r="G1872" i="8"/>
  <c r="G1861" i="8"/>
  <c r="G1856" i="8"/>
  <c r="G1845" i="8"/>
  <c r="G1840" i="8"/>
  <c r="G1829" i="8"/>
  <c r="G1824" i="8"/>
  <c r="G1813" i="8"/>
  <c r="G1808" i="8"/>
  <c r="G1797" i="8"/>
  <c r="G1792" i="8"/>
  <c r="G1781" i="8"/>
  <c r="G1776" i="8"/>
  <c r="G1765" i="8"/>
  <c r="G1760" i="8"/>
  <c r="G1749" i="8"/>
  <c r="G1744" i="8"/>
  <c r="G1733" i="8"/>
  <c r="G1728" i="8"/>
  <c r="G1717" i="8"/>
  <c r="G1712" i="8"/>
  <c r="G1701" i="8"/>
  <c r="G1696" i="8"/>
  <c r="G1685" i="8"/>
  <c r="G1680" i="8"/>
  <c r="G1669" i="8"/>
  <c r="G1664" i="8"/>
  <c r="G1653" i="8"/>
  <c r="G1648" i="8"/>
  <c r="G1637" i="8"/>
  <c r="G1632" i="8"/>
  <c r="G1621" i="8"/>
  <c r="G1616" i="8"/>
  <c r="G1605" i="8"/>
  <c r="G1600" i="8"/>
  <c r="G1589" i="8"/>
  <c r="G1584" i="8"/>
  <c r="G1573" i="8"/>
  <c r="G1568" i="8"/>
  <c r="G1554" i="8"/>
  <c r="G1545" i="8"/>
  <c r="G1536" i="8"/>
  <c r="G1522" i="8"/>
  <c r="G1513" i="8"/>
  <c r="G1504" i="8"/>
  <c r="G1490" i="8"/>
  <c r="G1481" i="8"/>
  <c r="G1472" i="8"/>
  <c r="G1458" i="8"/>
  <c r="G1449" i="8"/>
  <c r="G1440" i="8"/>
  <c r="G1426" i="8"/>
  <c r="G1417" i="8"/>
  <c r="G1408" i="8"/>
  <c r="G1394" i="8"/>
  <c r="G1540" i="8"/>
  <c r="G1526" i="8"/>
  <c r="G1517" i="8"/>
  <c r="G1508" i="8"/>
  <c r="G1476" i="8"/>
  <c r="G1462" i="8"/>
  <c r="G1412" i="8"/>
  <c r="G1398" i="8"/>
  <c r="G1389" i="8"/>
  <c r="G1428" i="8"/>
  <c r="G1894" i="8"/>
  <c r="G1558" i="8"/>
  <c r="G1549" i="8"/>
  <c r="G1494" i="8"/>
  <c r="G1485" i="8"/>
  <c r="G1908" i="8"/>
  <c r="G1881" i="8"/>
  <c r="G1876" i="8"/>
  <c r="G1865" i="8"/>
  <c r="G1860" i="8"/>
  <c r="G1849" i="8"/>
  <c r="G1844" i="8"/>
  <c r="G1833" i="8"/>
  <c r="G1828" i="8"/>
  <c r="G1817" i="8"/>
  <c r="G1812" i="8"/>
  <c r="G1801" i="8"/>
  <c r="G1796" i="8"/>
  <c r="G1785" i="8"/>
  <c r="G1780" i="8"/>
  <c r="G1769" i="8"/>
  <c r="G1764" i="8"/>
  <c r="G1753" i="8"/>
  <c r="G1748" i="8"/>
  <c r="G1737" i="8"/>
  <c r="G1732" i="8"/>
  <c r="G1721" i="8"/>
  <c r="G1716" i="8"/>
  <c r="G1705" i="8"/>
  <c r="G1700" i="8"/>
  <c r="G1689" i="8"/>
  <c r="G1684" i="8"/>
  <c r="G1673" i="8"/>
  <c r="G1668" i="8"/>
  <c r="G1657" i="8"/>
  <c r="G1652" i="8"/>
  <c r="G1641" i="8"/>
  <c r="G1636" i="8"/>
  <c r="G1625" i="8"/>
  <c r="G1620" i="8"/>
  <c r="G1609" i="8"/>
  <c r="G1604" i="8"/>
  <c r="G1593" i="8"/>
  <c r="G1588" i="8"/>
  <c r="G1577" i="8"/>
  <c r="G1572" i="8"/>
  <c r="G1562" i="8"/>
  <c r="G1553" i="8"/>
  <c r="G1544" i="8"/>
  <c r="G1530" i="8"/>
  <c r="G1521" i="8"/>
  <c r="G1512" i="8"/>
  <c r="G1498" i="8"/>
  <c r="G1489" i="8"/>
  <c r="G1480" i="8"/>
  <c r="G1466" i="8"/>
  <c r="G1457" i="8"/>
  <c r="G1448" i="8"/>
  <c r="G1434" i="8"/>
  <c r="G1425" i="8"/>
  <c r="G1416" i="8"/>
  <c r="G1402" i="8"/>
  <c r="G1393" i="8"/>
  <c r="G1516" i="8"/>
  <c r="G1502" i="8"/>
  <c r="G1484" i="8"/>
  <c r="G1470" i="8"/>
  <c r="G1452" i="8"/>
  <c r="G1438" i="8"/>
  <c r="G1429" i="8"/>
  <c r="G1406" i="8"/>
  <c r="G1446" i="8"/>
  <c r="G1414" i="8"/>
  <c r="G1893" i="8"/>
  <c r="G1566" i="8"/>
  <c r="G1557" i="8"/>
  <c r="G1548" i="8"/>
  <c r="G1534" i="8"/>
  <c r="G1525" i="8"/>
  <c r="G1493" i="8"/>
  <c r="G1461" i="8"/>
  <c r="G1420" i="8"/>
  <c r="G1397" i="8"/>
  <c r="G1437" i="8"/>
  <c r="G1396" i="8"/>
  <c r="G1885" i="8"/>
  <c r="G1880" i="8"/>
  <c r="G1869" i="8"/>
  <c r="G1864" i="8"/>
  <c r="G1853" i="8"/>
  <c r="G1848" i="8"/>
  <c r="G1837" i="8"/>
  <c r="G1832" i="8"/>
  <c r="G1821" i="8"/>
  <c r="G1816" i="8"/>
  <c r="G1805" i="8"/>
  <c r="G1800" i="8"/>
  <c r="G1789" i="8"/>
  <c r="G1784" i="8"/>
  <c r="G1773" i="8"/>
  <c r="G1768" i="8"/>
  <c r="G1757" i="8"/>
  <c r="G1752" i="8"/>
  <c r="G1741" i="8"/>
  <c r="G1736" i="8"/>
  <c r="G1725" i="8"/>
  <c r="G1720" i="8"/>
  <c r="G1709" i="8"/>
  <c r="G1704" i="8"/>
  <c r="G1693" i="8"/>
  <c r="G1688" i="8"/>
  <c r="G1677" i="8"/>
  <c r="G1672" i="8"/>
  <c r="G1661" i="8"/>
  <c r="G1656" i="8"/>
  <c r="G1645" i="8"/>
  <c r="G1640" i="8"/>
  <c r="G1629" i="8"/>
  <c r="G1624" i="8"/>
  <c r="G1613" i="8"/>
  <c r="G1608" i="8"/>
  <c r="G1597" i="8"/>
  <c r="G1592" i="8"/>
  <c r="G1581" i="8"/>
  <c r="G1576" i="8"/>
  <c r="G1561" i="8"/>
  <c r="G1552" i="8"/>
  <c r="G1538" i="8"/>
  <c r="G1529" i="8"/>
  <c r="G1520" i="8"/>
  <c r="G1506" i="8"/>
  <c r="G1497" i="8"/>
  <c r="G1488" i="8"/>
  <c r="G1474" i="8"/>
  <c r="G1465" i="8"/>
  <c r="G1456" i="8"/>
  <c r="G1442" i="8"/>
  <c r="G1433" i="8"/>
  <c r="G1424" i="8"/>
  <c r="G1410" i="8"/>
  <c r="G1401" i="8"/>
  <c r="G1392" i="8"/>
  <c r="G1565" i="8"/>
  <c r="G1542" i="8"/>
  <c r="G1524" i="8"/>
  <c r="G1510" i="8"/>
  <c r="G1492" i="8"/>
  <c r="G1478" i="8"/>
  <c r="G1556" i="8"/>
  <c r="G1533" i="8"/>
  <c r="G1501" i="8"/>
  <c r="G1469" i="8"/>
  <c r="G1460" i="8"/>
  <c r="F1383" i="8"/>
  <c r="H1371" i="8"/>
  <c r="I1371" i="8"/>
  <c r="I1383" i="8"/>
  <c r="I1373" i="8"/>
  <c r="H1373" i="8"/>
  <c r="I1372" i="8"/>
  <c r="H1362" i="8"/>
  <c r="I1376" i="8"/>
  <c r="F1369" i="8"/>
  <c r="I1377" i="8"/>
  <c r="I1369" i="8"/>
  <c r="F1377" i="8"/>
  <c r="F1372" i="8"/>
  <c r="H1376" i="8"/>
  <c r="I1370" i="8"/>
  <c r="I1362" i="8"/>
  <c r="H1370" i="8"/>
  <c r="I1388" i="8"/>
  <c r="F1385" i="8"/>
  <c r="G1387" i="8"/>
  <c r="G1386" i="8"/>
  <c r="G1388" i="8"/>
  <c r="I1386" i="8"/>
  <c r="H1387" i="8"/>
  <c r="F1386" i="8"/>
  <c r="F1387" i="8"/>
  <c r="H1384" i="8"/>
  <c r="F1384" i="8"/>
  <c r="G1384" i="8"/>
  <c r="G1385" i="8"/>
  <c r="G1351" i="8"/>
  <c r="G1350" i="8"/>
  <c r="F1349" i="8"/>
  <c r="G1345" i="8"/>
  <c r="G1346" i="8"/>
  <c r="H1346" i="8" s="1"/>
  <c r="I1346" i="8" s="1"/>
  <c r="G1347" i="8"/>
  <c r="G1348" i="8"/>
  <c r="G1349" i="8"/>
  <c r="H1345" i="8"/>
  <c r="I1345" i="8" s="1"/>
  <c r="G1344" i="8"/>
  <c r="G1336" i="8"/>
  <c r="G1328" i="8"/>
  <c r="G1320" i="8"/>
  <c r="G1312" i="8"/>
  <c r="G1304" i="8"/>
  <c r="G1315" i="8"/>
  <c r="G1306" i="8"/>
  <c r="G1329" i="8"/>
  <c r="G1343" i="8"/>
  <c r="G1335" i="8"/>
  <c r="G1327" i="8"/>
  <c r="G1319" i="8"/>
  <c r="G1311" i="8"/>
  <c r="G1303" i="8"/>
  <c r="G1307" i="8"/>
  <c r="G1330" i="8"/>
  <c r="G1313" i="8"/>
  <c r="G1342" i="8"/>
  <c r="G1334" i="8"/>
  <c r="G1326" i="8"/>
  <c r="G1318" i="8"/>
  <c r="G1310" i="8"/>
  <c r="G1302" i="8"/>
  <c r="G1331" i="8"/>
  <c r="G1314" i="8"/>
  <c r="G1321" i="8"/>
  <c r="G1341" i="8"/>
  <c r="G1333" i="8"/>
  <c r="G1325" i="8"/>
  <c r="G1317" i="8"/>
  <c r="G1309" i="8"/>
  <c r="G1301" i="8"/>
  <c r="G1339" i="8"/>
  <c r="G1322" i="8"/>
  <c r="G1305" i="8"/>
  <c r="G1340" i="8"/>
  <c r="G1332" i="8"/>
  <c r="G1324" i="8"/>
  <c r="G1316" i="8"/>
  <c r="G1308" i="8"/>
  <c r="G1300" i="8"/>
  <c r="G1323" i="8"/>
  <c r="G1338" i="8"/>
  <c r="G1337" i="8"/>
  <c r="G1296" i="8"/>
  <c r="G1292" i="8"/>
  <c r="G1288" i="8"/>
  <c r="G1284" i="8"/>
  <c r="G1280" i="8"/>
  <c r="G1276" i="8"/>
  <c r="G1272" i="8"/>
  <c r="G1268" i="8"/>
  <c r="G1264" i="8"/>
  <c r="G1260" i="8"/>
  <c r="G1256" i="8"/>
  <c r="G1252" i="8"/>
  <c r="G1248" i="8"/>
  <c r="G1244" i="8"/>
  <c r="G1240" i="8"/>
  <c r="G1299" i="8"/>
  <c r="G1287" i="8"/>
  <c r="G1283" i="8"/>
  <c r="G1275" i="8"/>
  <c r="G1263" i="8"/>
  <c r="G1247" i="8"/>
  <c r="G1267" i="8"/>
  <c r="G1298" i="8"/>
  <c r="G1294" i="8"/>
  <c r="G1290" i="8"/>
  <c r="G1286" i="8"/>
  <c r="G1282" i="8"/>
  <c r="G1278" i="8"/>
  <c r="G1274" i="8"/>
  <c r="G1270" i="8"/>
  <c r="G1266" i="8"/>
  <c r="G1262" i="8"/>
  <c r="G1258" i="8"/>
  <c r="G1254" i="8"/>
  <c r="G1250" i="8"/>
  <c r="G1246" i="8"/>
  <c r="G1242" i="8"/>
  <c r="G1295" i="8"/>
  <c r="G1291" i="8"/>
  <c r="G1279" i="8"/>
  <c r="G1271" i="8"/>
  <c r="G1259" i="8"/>
  <c r="G1251" i="8"/>
  <c r="G1243" i="8"/>
  <c r="G1297" i="8"/>
  <c r="G1293" i="8"/>
  <c r="G1289" i="8"/>
  <c r="G1285" i="8"/>
  <c r="G1281" i="8"/>
  <c r="G1277" i="8"/>
  <c r="G1273" i="8"/>
  <c r="G1269" i="8"/>
  <c r="G1265" i="8"/>
  <c r="G1261" i="8"/>
  <c r="G1257" i="8"/>
  <c r="G1253" i="8"/>
  <c r="G1249" i="8"/>
  <c r="G1245" i="8"/>
  <c r="G1241" i="8"/>
  <c r="G1255" i="8"/>
  <c r="G7" i="8"/>
  <c r="G11" i="8"/>
  <c r="G13" i="8"/>
  <c r="G15" i="8"/>
  <c r="G17" i="8"/>
  <c r="G19" i="8"/>
  <c r="G21" i="8"/>
  <c r="G23" i="8"/>
  <c r="G25" i="8"/>
  <c r="G27" i="8"/>
  <c r="G29" i="8"/>
  <c r="G31" i="8"/>
  <c r="G33" i="8"/>
  <c r="G35" i="8"/>
  <c r="G37" i="8"/>
  <c r="G39" i="8"/>
  <c r="G41" i="8"/>
  <c r="G43" i="8"/>
  <c r="G45" i="8"/>
  <c r="G47" i="8"/>
  <c r="G49" i="8"/>
  <c r="G53" i="8"/>
  <c r="G55" i="8"/>
  <c r="G57" i="8"/>
  <c r="G59" i="8"/>
  <c r="G61" i="8"/>
  <c r="G63" i="8"/>
  <c r="G65" i="8"/>
  <c r="G67" i="8"/>
  <c r="G69" i="8"/>
  <c r="G71" i="8"/>
  <c r="G73" i="8"/>
  <c r="G75" i="8"/>
  <c r="G77" i="8"/>
  <c r="G79" i="8"/>
  <c r="G81" i="8"/>
  <c r="G83" i="8"/>
  <c r="G85" i="8"/>
  <c r="G87" i="8"/>
  <c r="G89" i="8"/>
  <c r="G91" i="8"/>
  <c r="G93" i="8"/>
  <c r="G95" i="8"/>
  <c r="G97" i="8"/>
  <c r="G99" i="8"/>
  <c r="G101" i="8"/>
  <c r="G103" i="8"/>
  <c r="G105" i="8"/>
  <c r="G107" i="8"/>
  <c r="G109" i="8"/>
  <c r="G111" i="8"/>
  <c r="G113" i="8"/>
  <c r="G115" i="8"/>
  <c r="G117" i="8"/>
  <c r="G119" i="8"/>
  <c r="G121" i="8"/>
  <c r="G123" i="8"/>
  <c r="G125" i="8"/>
  <c r="G127" i="8"/>
  <c r="G129" i="8"/>
  <c r="G131" i="8"/>
  <c r="G133" i="8"/>
  <c r="G135" i="8"/>
  <c r="G137" i="8"/>
  <c r="G139" i="8"/>
  <c r="G141" i="8"/>
  <c r="G143" i="8"/>
  <c r="G145" i="8"/>
  <c r="G147" i="8"/>
  <c r="G149" i="8"/>
  <c r="G151" i="8"/>
  <c r="G153" i="8"/>
  <c r="G155" i="8"/>
  <c r="G157" i="8"/>
  <c r="G159" i="8"/>
  <c r="G161" i="8"/>
  <c r="G163" i="8"/>
  <c r="G165" i="8"/>
  <c r="G167" i="8"/>
  <c r="G169" i="8"/>
  <c r="G171" i="8"/>
  <c r="G173" i="8"/>
  <c r="G175" i="8"/>
  <c r="G177" i="8"/>
  <c r="G179" i="8"/>
  <c r="G181" i="8"/>
  <c r="G183" i="8"/>
  <c r="G185" i="8"/>
  <c r="G187" i="8"/>
  <c r="G189" i="8"/>
  <c r="G191" i="8"/>
  <c r="G193" i="8"/>
  <c r="G195" i="8"/>
  <c r="G197" i="8"/>
  <c r="G199" i="8"/>
  <c r="G201" i="8"/>
  <c r="G203" i="8"/>
  <c r="G205" i="8"/>
  <c r="G10" i="8"/>
  <c r="G14" i="8"/>
  <c r="G16" i="8"/>
  <c r="G18" i="8"/>
  <c r="G22" i="8"/>
  <c r="G24" i="8"/>
  <c r="G26" i="8"/>
  <c r="G28" i="8"/>
  <c r="G30" i="8"/>
  <c r="G32" i="8"/>
  <c r="G34" i="8"/>
  <c r="G36" i="8"/>
  <c r="G38" i="8"/>
  <c r="G40" i="8"/>
  <c r="G42" i="8"/>
  <c r="G44" i="8"/>
  <c r="G46" i="8"/>
  <c r="G48" i="8"/>
  <c r="G50" i="8"/>
  <c r="G52" i="8"/>
  <c r="G54" i="8"/>
  <c r="G56" i="8"/>
  <c r="G58" i="8"/>
  <c r="G60" i="8"/>
  <c r="G62" i="8"/>
  <c r="G64" i="8"/>
  <c r="G66" i="8"/>
  <c r="G68" i="8"/>
  <c r="G70" i="8"/>
  <c r="G72" i="8"/>
  <c r="G74" i="8"/>
  <c r="G76" i="8"/>
  <c r="G80" i="8"/>
  <c r="G82" i="8"/>
  <c r="G84" i="8"/>
  <c r="G86" i="8"/>
  <c r="G88" i="8"/>
  <c r="G90" i="8"/>
  <c r="G92" i="8"/>
  <c r="G94" i="8"/>
  <c r="G96" i="8"/>
  <c r="G98" i="8"/>
  <c r="G100" i="8"/>
  <c r="G102" i="8"/>
  <c r="G104" i="8"/>
  <c r="G106" i="8"/>
  <c r="G108" i="8"/>
  <c r="G112" i="8"/>
  <c r="G114" i="8"/>
  <c r="G116" i="8"/>
  <c r="G118" i="8"/>
  <c r="G120" i="8"/>
  <c r="G122" i="8"/>
  <c r="G124" i="8"/>
  <c r="G126" i="8"/>
  <c r="G128" i="8"/>
  <c r="G130" i="8"/>
  <c r="G132" i="8"/>
  <c r="G134" i="8"/>
  <c r="G136" i="8"/>
  <c r="G138" i="8"/>
  <c r="G140" i="8"/>
  <c r="G142" i="8"/>
  <c r="G144" i="8"/>
  <c r="G146" i="8"/>
  <c r="G148" i="8"/>
  <c r="G150" i="8"/>
  <c r="G152" i="8"/>
  <c r="G154" i="8"/>
  <c r="G156" i="8"/>
  <c r="G158" i="8"/>
  <c r="G160" i="8"/>
  <c r="G162" i="8"/>
  <c r="G164" i="8"/>
  <c r="G166" i="8"/>
  <c r="G168" i="8"/>
  <c r="G170" i="8"/>
  <c r="G172" i="8"/>
  <c r="G174" i="8"/>
  <c r="G176" i="8"/>
  <c r="G178" i="8"/>
  <c r="G180" i="8"/>
  <c r="G182" i="8"/>
  <c r="G184" i="8"/>
  <c r="G186" i="8"/>
  <c r="G188" i="8"/>
  <c r="G190" i="8"/>
  <c r="G192" i="8"/>
  <c r="G194" i="8"/>
  <c r="G196" i="8"/>
  <c r="G198" i="8"/>
  <c r="G200" i="8"/>
  <c r="G202" i="8"/>
  <c r="G204" i="8"/>
  <c r="G206" i="8"/>
  <c r="G208" i="8"/>
  <c r="G210" i="8"/>
  <c r="G212" i="8"/>
  <c r="G214" i="8"/>
  <c r="G216" i="8"/>
  <c r="G218" i="8"/>
  <c r="G220" i="8"/>
  <c r="G222" i="8"/>
  <c r="G207" i="8"/>
  <c r="G215" i="8"/>
  <c r="G223" i="8"/>
  <c r="G227" i="8"/>
  <c r="G231" i="8"/>
  <c r="G235" i="8"/>
  <c r="G239" i="8"/>
  <c r="G243" i="8"/>
  <c r="G247" i="8"/>
  <c r="G251" i="8"/>
  <c r="G255" i="8"/>
  <c r="G259" i="8"/>
  <c r="G263" i="8"/>
  <c r="G267" i="8"/>
  <c r="G271" i="8"/>
  <c r="G275" i="8"/>
  <c r="G279" i="8"/>
  <c r="G283" i="8"/>
  <c r="G287" i="8"/>
  <c r="G291" i="8"/>
  <c r="G295" i="8"/>
  <c r="G299" i="8"/>
  <c r="G303" i="8"/>
  <c r="G307" i="8"/>
  <c r="G311" i="8"/>
  <c r="G315" i="8"/>
  <c r="G319" i="8"/>
  <c r="G323" i="8"/>
  <c r="G327" i="8"/>
  <c r="G331" i="8"/>
  <c r="G335" i="8"/>
  <c r="G339" i="8"/>
  <c r="G343" i="8"/>
  <c r="G347" i="8"/>
  <c r="G350" i="8"/>
  <c r="G355" i="8"/>
  <c r="G358" i="8"/>
  <c r="G363" i="8"/>
  <c r="G366" i="8"/>
  <c r="G371" i="8"/>
  <c r="G374" i="8"/>
  <c r="G379" i="8"/>
  <c r="G382" i="8"/>
  <c r="G387" i="8"/>
  <c r="G390" i="8"/>
  <c r="G395" i="8"/>
  <c r="G398" i="8"/>
  <c r="G403" i="8"/>
  <c r="G406" i="8"/>
  <c r="G411" i="8"/>
  <c r="G414" i="8"/>
  <c r="G419" i="8"/>
  <c r="G422" i="8"/>
  <c r="G427" i="8"/>
  <c r="G430" i="8"/>
  <c r="G209" i="8"/>
  <c r="G217" i="8"/>
  <c r="G224" i="8"/>
  <c r="G228" i="8"/>
  <c r="G232" i="8"/>
  <c r="G236" i="8"/>
  <c r="G240" i="8"/>
  <c r="G244" i="8"/>
  <c r="G248" i="8"/>
  <c r="G252" i="8"/>
  <c r="G256" i="8"/>
  <c r="G260" i="8"/>
  <c r="G264" i="8"/>
  <c r="G268" i="8"/>
  <c r="G272" i="8"/>
  <c r="G276" i="8"/>
  <c r="G280" i="8"/>
  <c r="G284" i="8"/>
  <c r="G288" i="8"/>
  <c r="G292" i="8"/>
  <c r="G296" i="8"/>
  <c r="G300" i="8"/>
  <c r="G304" i="8"/>
  <c r="G308" i="8"/>
  <c r="G312" i="8"/>
  <c r="G316" i="8"/>
  <c r="G320" i="8"/>
  <c r="G324" i="8"/>
  <c r="G328" i="8"/>
  <c r="G332" i="8"/>
  <c r="G336" i="8"/>
  <c r="G340" i="8"/>
  <c r="G344" i="8"/>
  <c r="G348" i="8"/>
  <c r="G353" i="8"/>
  <c r="G356" i="8"/>
  <c r="G361" i="8"/>
  <c r="G364" i="8"/>
  <c r="G369" i="8"/>
  <c r="G372" i="8"/>
  <c r="G377" i="8"/>
  <c r="G380" i="8"/>
  <c r="G385" i="8"/>
  <c r="G388" i="8"/>
  <c r="G393" i="8"/>
  <c r="G396" i="8"/>
  <c r="G401" i="8"/>
  <c r="G404" i="8"/>
  <c r="G409" i="8"/>
  <c r="G412" i="8"/>
  <c r="G417" i="8"/>
  <c r="G420" i="8"/>
  <c r="G425" i="8"/>
  <c r="G428" i="8"/>
  <c r="G433" i="8"/>
  <c r="G435" i="8"/>
  <c r="G437" i="8"/>
  <c r="G439" i="8"/>
  <c r="G441" i="8"/>
  <c r="G443" i="8"/>
  <c r="G445" i="8"/>
  <c r="G447" i="8"/>
  <c r="G449" i="8"/>
  <c r="G451" i="8"/>
  <c r="G453" i="8"/>
  <c r="G455" i="8"/>
  <c r="G457" i="8"/>
  <c r="G459" i="8"/>
  <c r="G461" i="8"/>
  <c r="G463" i="8"/>
  <c r="G465" i="8"/>
  <c r="G467" i="8"/>
  <c r="G469" i="8"/>
  <c r="G471" i="8"/>
  <c r="G473" i="8"/>
  <c r="G475" i="8"/>
  <c r="G477" i="8"/>
  <c r="G479" i="8"/>
  <c r="G481" i="8"/>
  <c r="G483" i="8"/>
  <c r="G485" i="8"/>
  <c r="G487" i="8"/>
  <c r="G489" i="8"/>
  <c r="G491" i="8"/>
  <c r="G493" i="8"/>
  <c r="G495" i="8"/>
  <c r="G497" i="8"/>
  <c r="G499" i="8"/>
  <c r="G501" i="8"/>
  <c r="G503" i="8"/>
  <c r="G505" i="8"/>
  <c r="G507" i="8"/>
  <c r="G509" i="8"/>
  <c r="G511" i="8"/>
  <c r="G513" i="8"/>
  <c r="G515" i="8"/>
  <c r="G517" i="8"/>
  <c r="G519" i="8"/>
  <c r="G521" i="8"/>
  <c r="G523" i="8"/>
  <c r="G525" i="8"/>
  <c r="G527" i="8"/>
  <c r="G529" i="8"/>
  <c r="G531" i="8"/>
  <c r="G533" i="8"/>
  <c r="G535" i="8"/>
  <c r="G537" i="8"/>
  <c r="G539" i="8"/>
  <c r="G541" i="8"/>
  <c r="G543" i="8"/>
  <c r="G545" i="8"/>
  <c r="G547" i="8"/>
  <c r="G549" i="8"/>
  <c r="G551" i="8"/>
  <c r="G553" i="8"/>
  <c r="G555" i="8"/>
  <c r="G557" i="8"/>
  <c r="G559" i="8"/>
  <c r="G561" i="8"/>
  <c r="G563" i="8"/>
  <c r="G565" i="8"/>
  <c r="G567" i="8"/>
  <c r="G569" i="8"/>
  <c r="G211" i="8"/>
  <c r="G219" i="8"/>
  <c r="G225" i="8"/>
  <c r="G229" i="8"/>
  <c r="G233" i="8"/>
  <c r="G237" i="8"/>
  <c r="G241" i="8"/>
  <c r="G245" i="8"/>
  <c r="G249" i="8"/>
  <c r="G253" i="8"/>
  <c r="G257" i="8"/>
  <c r="G261" i="8"/>
  <c r="G265" i="8"/>
  <c r="G269" i="8"/>
  <c r="G273" i="8"/>
  <c r="G277" i="8"/>
  <c r="G281" i="8"/>
  <c r="G285" i="8"/>
  <c r="G289" i="8"/>
  <c r="G293" i="8"/>
  <c r="G297" i="8"/>
  <c r="G301" i="8"/>
  <c r="G305" i="8"/>
  <c r="G309" i="8"/>
  <c r="G313" i="8"/>
  <c r="G317" i="8"/>
  <c r="G321" i="8"/>
  <c r="G325" i="8"/>
  <c r="G329" i="8"/>
  <c r="G333" i="8"/>
  <c r="G337" i="8"/>
  <c r="G341" i="8"/>
  <c r="G345" i="8"/>
  <c r="G351" i="8"/>
  <c r="G354" i="8"/>
  <c r="G359" i="8"/>
  <c r="G362" i="8"/>
  <c r="G367" i="8"/>
  <c r="G370" i="8"/>
  <c r="G375" i="8"/>
  <c r="G378" i="8"/>
  <c r="G383" i="8"/>
  <c r="G386" i="8"/>
  <c r="G391" i="8"/>
  <c r="G394" i="8"/>
  <c r="G399" i="8"/>
  <c r="G402" i="8"/>
  <c r="G407" i="8"/>
  <c r="G410" i="8"/>
  <c r="G415" i="8"/>
  <c r="G418" i="8"/>
  <c r="G423" i="8"/>
  <c r="G426" i="8"/>
  <c r="G431" i="8"/>
  <c r="G213" i="8"/>
  <c r="G221" i="8"/>
  <c r="G226" i="8"/>
  <c r="G230" i="8"/>
  <c r="G234" i="8"/>
  <c r="G238" i="8"/>
  <c r="G242" i="8"/>
  <c r="G246" i="8"/>
  <c r="G250" i="8"/>
  <c r="G254" i="8"/>
  <c r="G258" i="8"/>
  <c r="G262" i="8"/>
  <c r="G266" i="8"/>
  <c r="G270" i="8"/>
  <c r="G274" i="8"/>
  <c r="G278" i="8"/>
  <c r="G282" i="8"/>
  <c r="G286" i="8"/>
  <c r="G290" i="8"/>
  <c r="G294" i="8"/>
  <c r="G298" i="8"/>
  <c r="G302" i="8"/>
  <c r="G306" i="8"/>
  <c r="G310" i="8"/>
  <c r="G314" i="8"/>
  <c r="G318" i="8"/>
  <c r="G322" i="8"/>
  <c r="G326" i="8"/>
  <c r="G330" i="8"/>
  <c r="G334" i="8"/>
  <c r="G338" i="8"/>
  <c r="G342" i="8"/>
  <c r="G346" i="8"/>
  <c r="G349" i="8"/>
  <c r="G352" i="8"/>
  <c r="G357" i="8"/>
  <c r="G360" i="8"/>
  <c r="G365" i="8"/>
  <c r="G368" i="8"/>
  <c r="G373" i="8"/>
  <c r="G376" i="8"/>
  <c r="G381" i="8"/>
  <c r="G384" i="8"/>
  <c r="G389" i="8"/>
  <c r="G392" i="8"/>
  <c r="G397" i="8"/>
  <c r="G400" i="8"/>
  <c r="G405" i="8"/>
  <c r="G408" i="8"/>
  <c r="G413" i="8"/>
  <c r="G416" i="8"/>
  <c r="G421" i="8"/>
  <c r="G424" i="8"/>
  <c r="G429" i="8"/>
  <c r="G432" i="8"/>
  <c r="G434" i="8"/>
  <c r="G436" i="8"/>
  <c r="G438" i="8"/>
  <c r="G440" i="8"/>
  <c r="G442" i="8"/>
  <c r="G444" i="8"/>
  <c r="G446" i="8"/>
  <c r="G448" i="8"/>
  <c r="G450" i="8"/>
  <c r="G452" i="8"/>
  <c r="G454" i="8"/>
  <c r="G456" i="8"/>
  <c r="G458" i="8"/>
  <c r="G460" i="8"/>
  <c r="G462" i="8"/>
  <c r="G464" i="8"/>
  <c r="G466" i="8"/>
  <c r="G468" i="8"/>
  <c r="G470" i="8"/>
  <c r="G472" i="8"/>
  <c r="G474" i="8"/>
  <c r="G476" i="8"/>
  <c r="G478" i="8"/>
  <c r="G480" i="8"/>
  <c r="G482" i="8"/>
  <c r="G484" i="8"/>
  <c r="G486" i="8"/>
  <c r="G488" i="8"/>
  <c r="G490" i="8"/>
  <c r="G492" i="8"/>
  <c r="G494" i="8"/>
  <c r="G496" i="8"/>
  <c r="G498" i="8"/>
  <c r="G500" i="8"/>
  <c r="G502" i="8"/>
  <c r="G504" i="8"/>
  <c r="G506" i="8"/>
  <c r="G508" i="8"/>
  <c r="G510" i="8"/>
  <c r="G512" i="8"/>
  <c r="G514" i="8"/>
  <c r="G516" i="8"/>
  <c r="G518" i="8"/>
  <c r="G520" i="8"/>
  <c r="G522" i="8"/>
  <c r="G524" i="8"/>
  <c r="G526" i="8"/>
  <c r="G528" i="8"/>
  <c r="G530" i="8"/>
  <c r="G532" i="8"/>
  <c r="G534" i="8"/>
  <c r="G536" i="8"/>
  <c r="G538" i="8"/>
  <c r="G540" i="8"/>
  <c r="G542" i="8"/>
  <c r="G544" i="8"/>
  <c r="G546" i="8"/>
  <c r="G548" i="8"/>
  <c r="G550" i="8"/>
  <c r="G552" i="8"/>
  <c r="G554" i="8"/>
  <c r="G556" i="8"/>
  <c r="G558" i="8"/>
  <c r="G560" i="8"/>
  <c r="G562" i="8"/>
  <c r="G570" i="8"/>
  <c r="G574" i="8"/>
  <c r="G578" i="8"/>
  <c r="G582" i="8"/>
  <c r="G586" i="8"/>
  <c r="G590" i="8"/>
  <c r="G594" i="8"/>
  <c r="G598" i="8"/>
  <c r="G602" i="8"/>
  <c r="G606" i="8"/>
  <c r="G610" i="8"/>
  <c r="G614" i="8"/>
  <c r="G618" i="8"/>
  <c r="G622" i="8"/>
  <c r="G626" i="8"/>
  <c r="G630" i="8"/>
  <c r="G634" i="8"/>
  <c r="G638" i="8"/>
  <c r="G642" i="8"/>
  <c r="G645" i="8"/>
  <c r="G650" i="8"/>
  <c r="G653" i="8"/>
  <c r="G564" i="8"/>
  <c r="G571" i="8"/>
  <c r="G575" i="8"/>
  <c r="G579" i="8"/>
  <c r="G583" i="8"/>
  <c r="G587" i="8"/>
  <c r="G591" i="8"/>
  <c r="G595" i="8"/>
  <c r="G599" i="8"/>
  <c r="G603" i="8"/>
  <c r="G607" i="8"/>
  <c r="G611" i="8"/>
  <c r="G615" i="8"/>
  <c r="G619" i="8"/>
  <c r="G623" i="8"/>
  <c r="G627" i="8"/>
  <c r="G631" i="8"/>
  <c r="G635" i="8"/>
  <c r="G639" i="8"/>
  <c r="G643" i="8"/>
  <c r="G648" i="8"/>
  <c r="G651" i="8"/>
  <c r="G656" i="8"/>
  <c r="G658" i="8"/>
  <c r="G660" i="8"/>
  <c r="G662" i="8"/>
  <c r="G664" i="8"/>
  <c r="G666" i="8"/>
  <c r="G668" i="8"/>
  <c r="G670" i="8"/>
  <c r="G672" i="8"/>
  <c r="G674" i="8"/>
  <c r="G676" i="8"/>
  <c r="G678" i="8"/>
  <c r="G680" i="8"/>
  <c r="G682" i="8"/>
  <c r="G684" i="8"/>
  <c r="G686" i="8"/>
  <c r="G688" i="8"/>
  <c r="G690" i="8"/>
  <c r="G692" i="8"/>
  <c r="G694" i="8"/>
  <c r="G696" i="8"/>
  <c r="G698" i="8"/>
  <c r="G700" i="8"/>
  <c r="G702" i="8"/>
  <c r="G704" i="8"/>
  <c r="G706" i="8"/>
  <c r="G708" i="8"/>
  <c r="G710" i="8"/>
  <c r="G712" i="8"/>
  <c r="G714" i="8"/>
  <c r="G716" i="8"/>
  <c r="G718" i="8"/>
  <c r="G720" i="8"/>
  <c r="G722" i="8"/>
  <c r="G724" i="8"/>
  <c r="G726" i="8"/>
  <c r="G728" i="8"/>
  <c r="G730" i="8"/>
  <c r="G732" i="8"/>
  <c r="G734" i="8"/>
  <c r="G736" i="8"/>
  <c r="G738" i="8"/>
  <c r="G740" i="8"/>
  <c r="G742" i="8"/>
  <c r="G744" i="8"/>
  <c r="G746" i="8"/>
  <c r="G748" i="8"/>
  <c r="G750" i="8"/>
  <c r="G752" i="8"/>
  <c r="G754" i="8"/>
  <c r="G756" i="8"/>
  <c r="G758" i="8"/>
  <c r="G760" i="8"/>
  <c r="G762" i="8"/>
  <c r="G764" i="8"/>
  <c r="G766" i="8"/>
  <c r="G768" i="8"/>
  <c r="G770" i="8"/>
  <c r="G772" i="8"/>
  <c r="G774" i="8"/>
  <c r="G776" i="8"/>
  <c r="G778" i="8"/>
  <c r="G780" i="8"/>
  <c r="G782" i="8"/>
  <c r="G784" i="8"/>
  <c r="G786" i="8"/>
  <c r="G788" i="8"/>
  <c r="G790" i="8"/>
  <c r="G792" i="8"/>
  <c r="G794" i="8"/>
  <c r="G796" i="8"/>
  <c r="G798" i="8"/>
  <c r="G800" i="8"/>
  <c r="G802" i="8"/>
  <c r="G804" i="8"/>
  <c r="G806" i="8"/>
  <c r="G808" i="8"/>
  <c r="G810" i="8"/>
  <c r="G812" i="8"/>
  <c r="G814" i="8"/>
  <c r="G816" i="8"/>
  <c r="G818" i="8"/>
  <c r="G820" i="8"/>
  <c r="G822" i="8"/>
  <c r="G824" i="8"/>
  <c r="G826" i="8"/>
  <c r="G828" i="8"/>
  <c r="G830" i="8"/>
  <c r="G832" i="8"/>
  <c r="G834" i="8"/>
  <c r="G836" i="8"/>
  <c r="G838" i="8"/>
  <c r="G840" i="8"/>
  <c r="G842" i="8"/>
  <c r="G844" i="8"/>
  <c r="G846" i="8"/>
  <c r="G848" i="8"/>
  <c r="G850" i="8"/>
  <c r="G852" i="8"/>
  <c r="G854" i="8"/>
  <c r="G856" i="8"/>
  <c r="G858" i="8"/>
  <c r="G860" i="8"/>
  <c r="G862" i="8"/>
  <c r="G864" i="8"/>
  <c r="G866" i="8"/>
  <c r="G868" i="8"/>
  <c r="G870" i="8"/>
  <c r="G872" i="8"/>
  <c r="G874" i="8"/>
  <c r="G876" i="8"/>
  <c r="G878" i="8"/>
  <c r="G880" i="8"/>
  <c r="G882" i="8"/>
  <c r="G884" i="8"/>
  <c r="G886" i="8"/>
  <c r="G888" i="8"/>
  <c r="G890" i="8"/>
  <c r="G892" i="8"/>
  <c r="G894" i="8"/>
  <c r="G896" i="8"/>
  <c r="G898" i="8"/>
  <c r="G900" i="8"/>
  <c r="G902" i="8"/>
  <c r="G904" i="8"/>
  <c r="G906" i="8"/>
  <c r="G908" i="8"/>
  <c r="G910" i="8"/>
  <c r="G912" i="8"/>
  <c r="G914" i="8"/>
  <c r="G916" i="8"/>
  <c r="G918" i="8"/>
  <c r="G920" i="8"/>
  <c r="G922" i="8"/>
  <c r="G924" i="8"/>
  <c r="G926" i="8"/>
  <c r="G928" i="8"/>
  <c r="G930" i="8"/>
  <c r="G932" i="8"/>
  <c r="G934" i="8"/>
  <c r="G936" i="8"/>
  <c r="G938" i="8"/>
  <c r="G940" i="8"/>
  <c r="G942" i="8"/>
  <c r="G944" i="8"/>
  <c r="G946" i="8"/>
  <c r="G948" i="8"/>
  <c r="G950" i="8"/>
  <c r="G952" i="8"/>
  <c r="G954" i="8"/>
  <c r="G956" i="8"/>
  <c r="G958" i="8"/>
  <c r="G960" i="8"/>
  <c r="G962" i="8"/>
  <c r="G964" i="8"/>
  <c r="G966" i="8"/>
  <c r="G968" i="8"/>
  <c r="G970" i="8"/>
  <c r="G972" i="8"/>
  <c r="G974" i="8"/>
  <c r="G976" i="8"/>
  <c r="G978" i="8"/>
  <c r="G980" i="8"/>
  <c r="G982" i="8"/>
  <c r="G984" i="8"/>
  <c r="G986" i="8"/>
  <c r="G988" i="8"/>
  <c r="G990" i="8"/>
  <c r="G992" i="8"/>
  <c r="G994" i="8"/>
  <c r="G996" i="8"/>
  <c r="G1000" i="8"/>
  <c r="G1002" i="8"/>
  <c r="G1004" i="8"/>
  <c r="G1006" i="8"/>
  <c r="G1008" i="8"/>
  <c r="G1010" i="8"/>
  <c r="G566" i="8"/>
  <c r="G572" i="8"/>
  <c r="G576" i="8"/>
  <c r="G580" i="8"/>
  <c r="G584" i="8"/>
  <c r="G588" i="8"/>
  <c r="G592" i="8"/>
  <c r="G596" i="8"/>
  <c r="G600" i="8"/>
  <c r="G604" i="8"/>
  <c r="G608" i="8"/>
  <c r="G612" i="8"/>
  <c r="G616" i="8"/>
  <c r="G620" i="8"/>
  <c r="G624" i="8"/>
  <c r="G628" i="8"/>
  <c r="G632" i="8"/>
  <c r="G636" i="8"/>
  <c r="G640" i="8"/>
  <c r="G646" i="8"/>
  <c r="G649" i="8"/>
  <c r="G654" i="8"/>
  <c r="G568" i="8"/>
  <c r="G573" i="8"/>
  <c r="G577" i="8"/>
  <c r="G581" i="8"/>
  <c r="G585" i="8"/>
  <c r="G589" i="8"/>
  <c r="G593" i="8"/>
  <c r="G597" i="8"/>
  <c r="G601" i="8"/>
  <c r="G605" i="8"/>
  <c r="G609" i="8"/>
  <c r="G613" i="8"/>
  <c r="G617" i="8"/>
  <c r="G621" i="8"/>
  <c r="G625" i="8"/>
  <c r="G629" i="8"/>
  <c r="G633" i="8"/>
  <c r="G637" i="8"/>
  <c r="G641" i="8"/>
  <c r="G644" i="8"/>
  <c r="G647" i="8"/>
  <c r="G652" i="8"/>
  <c r="G655" i="8"/>
  <c r="G657" i="8"/>
  <c r="G659" i="8"/>
  <c r="G661" i="8"/>
  <c r="G663" i="8"/>
  <c r="G665" i="8"/>
  <c r="G667" i="8"/>
  <c r="G669" i="8"/>
  <c r="G671" i="8"/>
  <c r="G673" i="8"/>
  <c r="G675" i="8"/>
  <c r="G677" i="8"/>
  <c r="G679" i="8"/>
  <c r="G681" i="8"/>
  <c r="G683" i="8"/>
  <c r="G685" i="8"/>
  <c r="G687" i="8"/>
  <c r="G689" i="8"/>
  <c r="G691" i="8"/>
  <c r="G693" i="8"/>
  <c r="G695" i="8"/>
  <c r="G697" i="8"/>
  <c r="G699" i="8"/>
  <c r="G701" i="8"/>
  <c r="G703" i="8"/>
  <c r="G705" i="8"/>
  <c r="G707" i="8"/>
  <c r="G709" i="8"/>
  <c r="G711" i="8"/>
  <c r="G713" i="8"/>
  <c r="G715" i="8"/>
  <c r="G717" i="8"/>
  <c r="G719" i="8"/>
  <c r="G721" i="8"/>
  <c r="G723" i="8"/>
  <c r="G725" i="8"/>
  <c r="G727" i="8"/>
  <c r="G729" i="8"/>
  <c r="G731" i="8"/>
  <c r="G733" i="8"/>
  <c r="G735" i="8"/>
  <c r="G737" i="8"/>
  <c r="G739" i="8"/>
  <c r="G741" i="8"/>
  <c r="G743" i="8"/>
  <c r="G745" i="8"/>
  <c r="G747" i="8"/>
  <c r="G749" i="8"/>
  <c r="G751" i="8"/>
  <c r="G753" i="8"/>
  <c r="G755" i="8"/>
  <c r="G757" i="8"/>
  <c r="G759" i="8"/>
  <c r="G761" i="8"/>
  <c r="G763" i="8"/>
  <c r="G765" i="8"/>
  <c r="G767" i="8"/>
  <c r="G769" i="8"/>
  <c r="G771" i="8"/>
  <c r="G773" i="8"/>
  <c r="G775" i="8"/>
  <c r="G777" i="8"/>
  <c r="G779" i="8"/>
  <c r="G781" i="8"/>
  <c r="G783" i="8"/>
  <c r="G785" i="8"/>
  <c r="G787" i="8"/>
  <c r="G789" i="8"/>
  <c r="G791" i="8"/>
  <c r="G793" i="8"/>
  <c r="G795" i="8"/>
  <c r="G797" i="8"/>
  <c r="G799" i="8"/>
  <c r="G801" i="8"/>
  <c r="G803" i="8"/>
  <c r="G805" i="8"/>
  <c r="G807" i="8"/>
  <c r="G809" i="8"/>
  <c r="G811" i="8"/>
  <c r="G813" i="8"/>
  <c r="G815" i="8"/>
  <c r="G817" i="8"/>
  <c r="G819" i="8"/>
  <c r="G821" i="8"/>
  <c r="G823" i="8"/>
  <c r="G825" i="8"/>
  <c r="G827" i="8"/>
  <c r="G829" i="8"/>
  <c r="G831" i="8"/>
  <c r="G833" i="8"/>
  <c r="G835" i="8"/>
  <c r="G837" i="8"/>
  <c r="G839" i="8"/>
  <c r="G841" i="8"/>
  <c r="G843" i="8"/>
  <c r="G845" i="8"/>
  <c r="G847" i="8"/>
  <c r="G849" i="8"/>
  <c r="G851" i="8"/>
  <c r="G853" i="8"/>
  <c r="G855" i="8"/>
  <c r="G857" i="8"/>
  <c r="G859" i="8"/>
  <c r="G861" i="8"/>
  <c r="G863" i="8"/>
  <c r="G865" i="8"/>
  <c r="G867" i="8"/>
  <c r="G869" i="8"/>
  <c r="G871" i="8"/>
  <c r="G873" i="8"/>
  <c r="G875" i="8"/>
  <c r="G877" i="8"/>
  <c r="G879" i="8"/>
  <c r="G881" i="8"/>
  <c r="G883" i="8"/>
  <c r="G885" i="8"/>
  <c r="G887" i="8"/>
  <c r="G889" i="8"/>
  <c r="G891" i="8"/>
  <c r="G893" i="8"/>
  <c r="G895" i="8"/>
  <c r="G897" i="8"/>
  <c r="G899" i="8"/>
  <c r="G901" i="8"/>
  <c r="G903" i="8"/>
  <c r="G905" i="8"/>
  <c r="G907" i="8"/>
  <c r="G909" i="8"/>
  <c r="G911" i="8"/>
  <c r="G913" i="8"/>
  <c r="G915" i="8"/>
  <c r="G917" i="8"/>
  <c r="G919" i="8"/>
  <c r="G921" i="8"/>
  <c r="G923" i="8"/>
  <c r="G925" i="8"/>
  <c r="G927" i="8"/>
  <c r="G929" i="8"/>
  <c r="G931" i="8"/>
  <c r="G933" i="8"/>
  <c r="G935" i="8"/>
  <c r="G937" i="8"/>
  <c r="G939" i="8"/>
  <c r="G941" i="8"/>
  <c r="G943" i="8"/>
  <c r="G945" i="8"/>
  <c r="G947" i="8"/>
  <c r="G949" i="8"/>
  <c r="G951" i="8"/>
  <c r="G953" i="8"/>
  <c r="G955" i="8"/>
  <c r="G957" i="8"/>
  <c r="G959" i="8"/>
  <c r="G961" i="8"/>
  <c r="G963" i="8"/>
  <c r="G965" i="8"/>
  <c r="G967" i="8"/>
  <c r="G969" i="8"/>
  <c r="G971" i="8"/>
  <c r="G973" i="8"/>
  <c r="G975" i="8"/>
  <c r="G977" i="8"/>
  <c r="G979" i="8"/>
  <c r="G981" i="8"/>
  <c r="G983" i="8"/>
  <c r="G985" i="8"/>
  <c r="G987" i="8"/>
  <c r="G991" i="8"/>
  <c r="G993" i="8"/>
  <c r="G995" i="8"/>
  <c r="G997" i="8"/>
  <c r="G999" i="8"/>
  <c r="G1007" i="8"/>
  <c r="G1013" i="8"/>
  <c r="G1017" i="8"/>
  <c r="G1021" i="8"/>
  <c r="G1025" i="8"/>
  <c r="G1029" i="8"/>
  <c r="G1033" i="8"/>
  <c r="G1037" i="8"/>
  <c r="G1041" i="8"/>
  <c r="G1045" i="8"/>
  <c r="G1049" i="8"/>
  <c r="G1053" i="8"/>
  <c r="G1057" i="8"/>
  <c r="G1061" i="8"/>
  <c r="G1065" i="8"/>
  <c r="G1069" i="8"/>
  <c r="G1073" i="8"/>
  <c r="G1077" i="8"/>
  <c r="G1081" i="8"/>
  <c r="G1085" i="8"/>
  <c r="G1089" i="8"/>
  <c r="G1093" i="8"/>
  <c r="G1097" i="8"/>
  <c r="G1101" i="8"/>
  <c r="G1105" i="8"/>
  <c r="G1109" i="8"/>
  <c r="G1113" i="8"/>
  <c r="G1117" i="8"/>
  <c r="G1121" i="8"/>
  <c r="G1125" i="8"/>
  <c r="G1129" i="8"/>
  <c r="G1133" i="8"/>
  <c r="G1137" i="8"/>
  <c r="G1141" i="8"/>
  <c r="G1145" i="8"/>
  <c r="G1149" i="8"/>
  <c r="G1153" i="8"/>
  <c r="G1157" i="8"/>
  <c r="G1161" i="8"/>
  <c r="G1165" i="8"/>
  <c r="G1169" i="8"/>
  <c r="G1173" i="8"/>
  <c r="G1177" i="8"/>
  <c r="G1181" i="8"/>
  <c r="G1185" i="8"/>
  <c r="G1189" i="8"/>
  <c r="G1193" i="8"/>
  <c r="G1197" i="8"/>
  <c r="G1201" i="8"/>
  <c r="G1205" i="8"/>
  <c r="G1209" i="8"/>
  <c r="G1213" i="8"/>
  <c r="G1217" i="8"/>
  <c r="G1221" i="8"/>
  <c r="G1225" i="8"/>
  <c r="G1229" i="8"/>
  <c r="G1233" i="8"/>
  <c r="G1001" i="8"/>
  <c r="G1009" i="8"/>
  <c r="G1014" i="8"/>
  <c r="G1018" i="8"/>
  <c r="G1022" i="8"/>
  <c r="G1026" i="8"/>
  <c r="G1030" i="8"/>
  <c r="G1034" i="8"/>
  <c r="G1038" i="8"/>
  <c r="G1042" i="8"/>
  <c r="G1046" i="8"/>
  <c r="G1050" i="8"/>
  <c r="G1054" i="8"/>
  <c r="G1058" i="8"/>
  <c r="G1062" i="8"/>
  <c r="G1066" i="8"/>
  <c r="G1070" i="8"/>
  <c r="G1074" i="8"/>
  <c r="G1078" i="8"/>
  <c r="G1082" i="8"/>
  <c r="G1086" i="8"/>
  <c r="G1090" i="8"/>
  <c r="G1094" i="8"/>
  <c r="G1098" i="8"/>
  <c r="G1102" i="8"/>
  <c r="G1106" i="8"/>
  <c r="G1110" i="8"/>
  <c r="G1114" i="8"/>
  <c r="G1118" i="8"/>
  <c r="G1122" i="8"/>
  <c r="G1126" i="8"/>
  <c r="G1130" i="8"/>
  <c r="G1134" i="8"/>
  <c r="G1138" i="8"/>
  <c r="G1142" i="8"/>
  <c r="G1146" i="8"/>
  <c r="G1150" i="8"/>
  <c r="G1154" i="8"/>
  <c r="G1158" i="8"/>
  <c r="G1162" i="8"/>
  <c r="G1166" i="8"/>
  <c r="G1170" i="8"/>
  <c r="G1174" i="8"/>
  <c r="G1178" i="8"/>
  <c r="G1182" i="8"/>
  <c r="G1186" i="8"/>
  <c r="G1190" i="8"/>
  <c r="G1194" i="8"/>
  <c r="G1198" i="8"/>
  <c r="G1202" i="8"/>
  <c r="G1206" i="8"/>
  <c r="G1210" i="8"/>
  <c r="G1214" i="8"/>
  <c r="G1218" i="8"/>
  <c r="G1222" i="8"/>
  <c r="G1226" i="8"/>
  <c r="G1230" i="8"/>
  <c r="G1234" i="8"/>
  <c r="G1003" i="8"/>
  <c r="G1011" i="8"/>
  <c r="G1015" i="8"/>
  <c r="G1019" i="8"/>
  <c r="G1023" i="8"/>
  <c r="G1027" i="8"/>
  <c r="G1031" i="8"/>
  <c r="G1035" i="8"/>
  <c r="G1039" i="8"/>
  <c r="G1043" i="8"/>
  <c r="G1047" i="8"/>
  <c r="G1051" i="8"/>
  <c r="G1055" i="8"/>
  <c r="G1059" i="8"/>
  <c r="G1063" i="8"/>
  <c r="G1067" i="8"/>
  <c r="G1071" i="8"/>
  <c r="G1075" i="8"/>
  <c r="G1079" i="8"/>
  <c r="G1083" i="8"/>
  <c r="G1087" i="8"/>
  <c r="G1091" i="8"/>
  <c r="G1095" i="8"/>
  <c r="G1099" i="8"/>
  <c r="G1103" i="8"/>
  <c r="G1107" i="8"/>
  <c r="G1111" i="8"/>
  <c r="G1115" i="8"/>
  <c r="G1119" i="8"/>
  <c r="G1123" i="8"/>
  <c r="G1127" i="8"/>
  <c r="G1131" i="8"/>
  <c r="G1135" i="8"/>
  <c r="G1139" i="8"/>
  <c r="G1143" i="8"/>
  <c r="G1147" i="8"/>
  <c r="G1151" i="8"/>
  <c r="G1155" i="8"/>
  <c r="G1159" i="8"/>
  <c r="G1163" i="8"/>
  <c r="G1167" i="8"/>
  <c r="G1171" i="8"/>
  <c r="G1175" i="8"/>
  <c r="G1179" i="8"/>
  <c r="G1183" i="8"/>
  <c r="G1187" i="8"/>
  <c r="G1191" i="8"/>
  <c r="G1195" i="8"/>
  <c r="G1199" i="8"/>
  <c r="G1203" i="8"/>
  <c r="G1207" i="8"/>
  <c r="G1211" i="8"/>
  <c r="G1215" i="8"/>
  <c r="G1219" i="8"/>
  <c r="G1223" i="8"/>
  <c r="G1227" i="8"/>
  <c r="G1231" i="8"/>
  <c r="G1235" i="8"/>
  <c r="G1239" i="8"/>
  <c r="G1005" i="8"/>
  <c r="G1012" i="8"/>
  <c r="G1016" i="8"/>
  <c r="G1020" i="8"/>
  <c r="G1024" i="8"/>
  <c r="G1028" i="8"/>
  <c r="G1032" i="8"/>
  <c r="G1036" i="8"/>
  <c r="G1040" i="8"/>
  <c r="G1044" i="8"/>
  <c r="G1048" i="8"/>
  <c r="G1052" i="8"/>
  <c r="G1056" i="8"/>
  <c r="G1060" i="8"/>
  <c r="G1064" i="8"/>
  <c r="G1068" i="8"/>
  <c r="G1072" i="8"/>
  <c r="G1076" i="8"/>
  <c r="G1080" i="8"/>
  <c r="G1084" i="8"/>
  <c r="G1088" i="8"/>
  <c r="G1092" i="8"/>
  <c r="G1096" i="8"/>
  <c r="G1100" i="8"/>
  <c r="G1104" i="8"/>
  <c r="G1108" i="8"/>
  <c r="G1112" i="8"/>
  <c r="G1116" i="8"/>
  <c r="G1120" i="8"/>
  <c r="G1124" i="8"/>
  <c r="G1128" i="8"/>
  <c r="G1132" i="8"/>
  <c r="G1136" i="8"/>
  <c r="G1140" i="8"/>
  <c r="G1144" i="8"/>
  <c r="G1148" i="8"/>
  <c r="G1152" i="8"/>
  <c r="G1156" i="8"/>
  <c r="G1160" i="8"/>
  <c r="G1164" i="8"/>
  <c r="G1168" i="8"/>
  <c r="G1172" i="8"/>
  <c r="G1176" i="8"/>
  <c r="G1180" i="8"/>
  <c r="G1184" i="8"/>
  <c r="G1188" i="8"/>
  <c r="G1192" i="8"/>
  <c r="G1196" i="8"/>
  <c r="G1200" i="8"/>
  <c r="G1204" i="8"/>
  <c r="G1208" i="8"/>
  <c r="G1212" i="8"/>
  <c r="G1216" i="8"/>
  <c r="G1220" i="8"/>
  <c r="G1224" i="8"/>
  <c r="G1228" i="8"/>
  <c r="G1232" i="8"/>
  <c r="G1236" i="8"/>
  <c r="G3637" i="5"/>
  <c r="G4293" i="5"/>
  <c r="G5986" i="5" l="1"/>
  <c r="G5975" i="5"/>
  <c r="G5978" i="5"/>
  <c r="G6036" i="5"/>
  <c r="G6027" i="5"/>
  <c r="G5997" i="5"/>
  <c r="G5985" i="5"/>
  <c r="G5987" i="5"/>
  <c r="G5993" i="5"/>
  <c r="G6035" i="5"/>
  <c r="G6013" i="5"/>
  <c r="G6022" i="5"/>
  <c r="G6040" i="5"/>
  <c r="G6002" i="5"/>
  <c r="G5998" i="5"/>
  <c r="G5988" i="5"/>
  <c r="G5979" i="5"/>
  <c r="G6011" i="5"/>
  <c r="G6023" i="5"/>
  <c r="G6010" i="5"/>
  <c r="G6028" i="5"/>
  <c r="G5974" i="5"/>
  <c r="G5967" i="5"/>
  <c r="G6034" i="5"/>
  <c r="G6003" i="5"/>
  <c r="G6029" i="5"/>
  <c r="G6021" i="5"/>
  <c r="G6185" i="5"/>
  <c r="G6049" i="5"/>
  <c r="G6041" i="5"/>
  <c r="G6030" i="5"/>
  <c r="G5992" i="5"/>
  <c r="G6012" i="5"/>
  <c r="G6048" i="5"/>
  <c r="G5963" i="5"/>
  <c r="G5964" i="5"/>
  <c r="G5968" i="5"/>
  <c r="G6047" i="5"/>
  <c r="G6020" i="5"/>
  <c r="G6019" i="5"/>
  <c r="F1388" i="8"/>
  <c r="H1388" i="8"/>
  <c r="G6080" i="5"/>
  <c r="G6166" i="5"/>
  <c r="G6170" i="5"/>
  <c r="G6071" i="5"/>
  <c r="G6171" i="5"/>
  <c r="G6079" i="5"/>
  <c r="G6091" i="5"/>
  <c r="G6059" i="5"/>
  <c r="G6063" i="5"/>
  <c r="G6108" i="5"/>
  <c r="G6118" i="5"/>
  <c r="G6122" i="5"/>
  <c r="G6145" i="5"/>
  <c r="G6151" i="5"/>
  <c r="G6184" i="5"/>
  <c r="G6064" i="5"/>
  <c r="G6123" i="5"/>
  <c r="G6183" i="5"/>
  <c r="G6109" i="5"/>
  <c r="G6115" i="5"/>
  <c r="G6124" i="5"/>
  <c r="G6163" i="5"/>
  <c r="G6105" i="5"/>
  <c r="G6120" i="5"/>
  <c r="G6098" i="5"/>
  <c r="G6116" i="5"/>
  <c r="G6164" i="5"/>
  <c r="G6181" i="5"/>
  <c r="G6121" i="5"/>
  <c r="G6152" i="5"/>
  <c r="G6088" i="5"/>
  <c r="G6095" i="5"/>
  <c r="G6182" i="5"/>
  <c r="G6193" i="5"/>
  <c r="G6107" i="5"/>
  <c r="G6142" i="5"/>
  <c r="G6119" i="5"/>
  <c r="G6070" i="5"/>
  <c r="G6167" i="5"/>
  <c r="G5316" i="5"/>
  <c r="G6201" i="5"/>
  <c r="G6100" i="5"/>
  <c r="G6158" i="5"/>
  <c r="G6154" i="5"/>
  <c r="G6180" i="5"/>
  <c r="G6149" i="5"/>
  <c r="G6127" i="5"/>
  <c r="G6060" i="5"/>
  <c r="G6168" i="5"/>
  <c r="G6099" i="5"/>
  <c r="G6069" i="5"/>
  <c r="G6150" i="5"/>
  <c r="G6072" i="5"/>
  <c r="G6195" i="5"/>
  <c r="G6159" i="5"/>
  <c r="G6169" i="5"/>
  <c r="G6090" i="5"/>
  <c r="G5319" i="5"/>
  <c r="G6061" i="5"/>
  <c r="G6055" i="5"/>
  <c r="G6062" i="5"/>
  <c r="G5318" i="5"/>
  <c r="G6143" i="5"/>
  <c r="G6178" i="5"/>
  <c r="G6144" i="5"/>
  <c r="G6110" i="5"/>
  <c r="G6081" i="5"/>
  <c r="G6194" i="5"/>
  <c r="G6089" i="5"/>
  <c r="G6082" i="5"/>
  <c r="G6153" i="5"/>
  <c r="G6054" i="5"/>
  <c r="G6179" i="5"/>
  <c r="G6200" i="5"/>
  <c r="G6126" i="5"/>
  <c r="G6087" i="5"/>
  <c r="G6096" i="5"/>
  <c r="G6068" i="5"/>
  <c r="G6104" i="5"/>
  <c r="G6141" i="5"/>
  <c r="G6097" i="5"/>
  <c r="G6139" i="5"/>
  <c r="G6140" i="5"/>
  <c r="G6106" i="5"/>
  <c r="G6117" i="5"/>
  <c r="G6165" i="5"/>
  <c r="G5234" i="5"/>
  <c r="G5185" i="5"/>
  <c r="G5192" i="5"/>
  <c r="G5199" i="5"/>
  <c r="G5193" i="5"/>
  <c r="G5211" i="5"/>
  <c r="G5160" i="5"/>
  <c r="G5154" i="5"/>
  <c r="G5216" i="5"/>
  <c r="G5288" i="5"/>
  <c r="G5178" i="5"/>
  <c r="G5203" i="5"/>
  <c r="G5170" i="5"/>
  <c r="G5153" i="5"/>
  <c r="G5296" i="5"/>
  <c r="G5256" i="5"/>
  <c r="G5210" i="5"/>
  <c r="G5184" i="5"/>
  <c r="G5249" i="5"/>
  <c r="G5295" i="5"/>
  <c r="G5302" i="5"/>
  <c r="G5226" i="5"/>
  <c r="G5268" i="5"/>
  <c r="G5142" i="5"/>
  <c r="G5204" i="5"/>
  <c r="G5282" i="5"/>
  <c r="G5217" i="5"/>
  <c r="G5276" i="5"/>
  <c r="G5171" i="5"/>
  <c r="G5255" i="5"/>
  <c r="G5306" i="5"/>
  <c r="G5166" i="5"/>
  <c r="G5301" i="5"/>
  <c r="G5177" i="5"/>
  <c r="G5241" i="5"/>
  <c r="G5312" i="5"/>
  <c r="G5283" i="5"/>
  <c r="G5307" i="5"/>
  <c r="G5141" i="5"/>
  <c r="G5267" i="5"/>
  <c r="G5165" i="5"/>
  <c r="G5277" i="5"/>
  <c r="G5198" i="5"/>
  <c r="G5147" i="5"/>
  <c r="G5287" i="5"/>
  <c r="G5248" i="5"/>
  <c r="G5159" i="5"/>
  <c r="G5233" i="5"/>
  <c r="G5242" i="5"/>
  <c r="G5148" i="5"/>
  <c r="G5225" i="5"/>
  <c r="G5089" i="5"/>
  <c r="G692" i="5"/>
  <c r="G2738" i="5"/>
  <c r="G2764" i="5"/>
  <c r="G2737" i="5"/>
  <c r="G2763" i="5"/>
  <c r="G4344" i="5"/>
  <c r="G693" i="5"/>
  <c r="G3849" i="5"/>
  <c r="G877" i="5"/>
  <c r="G118" i="5"/>
  <c r="G2948" i="5"/>
  <c r="G2947" i="5"/>
  <c r="G860" i="5"/>
  <c r="G4140" i="5"/>
  <c r="G2739" i="5"/>
  <c r="G3026" i="5"/>
  <c r="G3638" i="5"/>
  <c r="G2949" i="5"/>
  <c r="G864" i="5"/>
  <c r="G3121" i="5"/>
  <c r="G3850" i="5"/>
  <c r="G4139" i="5"/>
  <c r="G119" i="5"/>
  <c r="G4343" i="5"/>
  <c r="G2740" i="5"/>
  <c r="G883" i="5"/>
  <c r="G2736" i="5"/>
  <c r="G2762" i="5"/>
  <c r="G3120" i="5"/>
  <c r="G3639" i="5"/>
  <c r="I1385" i="8"/>
  <c r="F1351" i="8"/>
  <c r="H1385" i="8"/>
  <c r="G5495" i="5"/>
  <c r="G5463" i="5"/>
  <c r="G5475" i="5"/>
  <c r="G5523" i="5"/>
  <c r="G5519" i="5"/>
  <c r="G5487" i="5"/>
  <c r="G5531" i="5"/>
  <c r="G5499" i="5"/>
  <c r="G5511" i="5"/>
  <c r="G5447" i="5"/>
  <c r="G5483" i="5"/>
  <c r="G5543" i="5"/>
  <c r="G5459" i="5"/>
  <c r="G5535" i="5"/>
  <c r="G5471" i="5"/>
  <c r="G5507" i="5"/>
  <c r="G5944" i="5"/>
  <c r="G858" i="5"/>
  <c r="G519" i="5"/>
  <c r="G5707" i="5"/>
  <c r="G5779" i="5"/>
  <c r="G5583" i="5"/>
  <c r="G5895" i="5"/>
  <c r="G5671" i="5"/>
  <c r="G5595" i="5"/>
  <c r="G5831" i="5"/>
  <c r="G5887" i="5"/>
  <c r="G5651" i="5"/>
  <c r="G5579" i="5"/>
  <c r="G5775" i="5"/>
  <c r="G5363" i="5"/>
  <c r="G5381" i="5"/>
  <c r="G5803" i="5"/>
  <c r="G5907" i="5"/>
  <c r="G5743" i="5"/>
  <c r="G5667" i="5"/>
  <c r="G5711" i="5"/>
  <c r="G2721" i="5"/>
  <c r="G5723" i="5"/>
  <c r="G5799" i="5"/>
  <c r="G5679" i="5"/>
  <c r="G5599" i="5"/>
  <c r="G5879" i="5"/>
  <c r="G5639" i="5"/>
  <c r="G5931" i="5"/>
  <c r="G5393" i="5"/>
  <c r="G5339" i="5"/>
  <c r="G5643" i="5"/>
  <c r="G5751" i="5"/>
  <c r="G5747" i="5"/>
  <c r="G5623" i="5"/>
  <c r="G5703" i="5"/>
  <c r="G5539" i="5"/>
  <c r="G5827" i="5"/>
  <c r="G5911" i="5"/>
  <c r="G5687" i="5"/>
  <c r="G5647" i="5"/>
  <c r="G5369" i="5"/>
  <c r="G5351" i="5"/>
  <c r="G5405" i="5"/>
  <c r="G5771" i="5"/>
  <c r="G5875" i="5"/>
  <c r="G5591" i="5"/>
  <c r="G5659" i="5"/>
  <c r="G5903" i="5"/>
  <c r="G5927" i="5"/>
  <c r="G2717" i="5"/>
  <c r="G5491" i="5"/>
  <c r="G5935" i="5"/>
  <c r="G5735" i="5"/>
  <c r="G5819" i="5"/>
  <c r="G5767" i="5"/>
  <c r="G5915" i="5"/>
  <c r="G5763" i="5"/>
  <c r="G5515" i="5"/>
  <c r="G5429" i="5"/>
  <c r="G5943" i="5"/>
  <c r="G5399" i="5"/>
  <c r="G5423" i="5"/>
  <c r="G5699" i="5"/>
  <c r="G5635" i="5"/>
  <c r="G5619" i="5"/>
  <c r="G5795" i="5"/>
  <c r="G5675" i="5"/>
  <c r="G5883" i="5"/>
  <c r="G5345" i="5"/>
  <c r="G5611" i="5"/>
  <c r="G5739" i="5"/>
  <c r="G5815" i="5"/>
  <c r="G5527" i="5"/>
  <c r="G5959" i="5"/>
  <c r="G5823" i="5"/>
  <c r="G5871" i="5"/>
  <c r="G5691" i="5"/>
  <c r="G5791" i="5"/>
  <c r="G5787" i="5"/>
  <c r="G5451" i="5"/>
  <c r="G5655" i="5"/>
  <c r="G5759" i="5"/>
  <c r="G5731" i="5"/>
  <c r="G5503" i="5"/>
  <c r="G5923" i="5"/>
  <c r="G5603" i="5"/>
  <c r="G5417" i="5"/>
  <c r="G5327" i="5"/>
  <c r="G5411" i="5"/>
  <c r="G5919" i="5"/>
  <c r="G5719" i="5"/>
  <c r="G5587" i="5"/>
  <c r="G5715" i="5"/>
  <c r="G5615" i="5"/>
  <c r="G5455" i="5"/>
  <c r="G5627" i="5"/>
  <c r="G5479" i="5"/>
  <c r="G5683" i="5"/>
  <c r="G5955" i="5"/>
  <c r="G5727" i="5"/>
  <c r="G5357" i="5"/>
  <c r="G5435" i="5"/>
  <c r="G5375" i="5"/>
  <c r="G5441" i="5"/>
  <c r="G5867" i="5"/>
  <c r="G5467" i="5"/>
  <c r="G5783" i="5"/>
  <c r="G5695" i="5"/>
  <c r="G5811" i="5"/>
  <c r="G5939" i="5"/>
  <c r="G5663" i="5"/>
  <c r="G5755" i="5"/>
  <c r="G5607" i="5"/>
  <c r="G5807" i="5"/>
  <c r="G5631" i="5"/>
  <c r="G5951" i="5"/>
  <c r="G2725" i="5"/>
  <c r="G5333" i="5"/>
  <c r="G5387" i="5"/>
  <c r="I1495" i="8"/>
  <c r="H1495" i="8"/>
  <c r="F1495" i="8"/>
  <c r="I1431" i="8"/>
  <c r="H1431" i="8"/>
  <c r="F1431" i="8"/>
  <c r="I1442" i="8"/>
  <c r="H1442" i="8"/>
  <c r="F1442" i="8"/>
  <c r="I1456" i="8"/>
  <c r="H1456" i="8"/>
  <c r="F1456" i="8"/>
  <c r="I1400" i="8"/>
  <c r="H1400" i="8"/>
  <c r="F1400" i="8"/>
  <c r="I1510" i="8"/>
  <c r="H1510" i="8"/>
  <c r="F1510" i="8"/>
  <c r="I1465" i="8"/>
  <c r="H1465" i="8"/>
  <c r="F1465" i="8"/>
  <c r="I1466" i="8"/>
  <c r="H1466" i="8"/>
  <c r="F1466" i="8"/>
  <c r="I1507" i="8"/>
  <c r="H1507" i="8"/>
  <c r="F1507" i="8"/>
  <c r="F1718" i="8"/>
  <c r="I1718" i="8"/>
  <c r="H1718" i="8"/>
  <c r="F1791" i="8"/>
  <c r="H1791" i="8"/>
  <c r="I1791" i="8"/>
  <c r="I2014" i="8"/>
  <c r="H2014" i="8"/>
  <c r="F2014" i="8"/>
  <c r="I1942" i="8"/>
  <c r="H1942" i="8"/>
  <c r="F1942" i="8"/>
  <c r="I2027" i="8"/>
  <c r="H2027" i="8"/>
  <c r="F2027" i="8"/>
  <c r="I2095" i="8"/>
  <c r="H2095" i="8"/>
  <c r="F2095" i="8"/>
  <c r="F2152" i="8"/>
  <c r="I2152" i="8"/>
  <c r="H2152" i="8"/>
  <c r="F2246" i="8"/>
  <c r="I2246" i="8"/>
  <c r="H2246" i="8"/>
  <c r="I2330" i="8"/>
  <c r="H2330" i="8"/>
  <c r="F2330" i="8"/>
  <c r="F2391" i="8"/>
  <c r="I2391" i="8"/>
  <c r="H2391" i="8"/>
  <c r="I2512" i="8"/>
  <c r="H2512" i="8"/>
  <c r="F2512" i="8"/>
  <c r="F2500" i="8"/>
  <c r="I2500" i="8"/>
  <c r="H2500" i="8"/>
  <c r="I1511" i="8"/>
  <c r="H1511" i="8"/>
  <c r="F1511" i="8"/>
  <c r="F1726" i="8"/>
  <c r="I1726" i="8"/>
  <c r="H1726" i="8"/>
  <c r="F1800" i="8"/>
  <c r="H1800" i="8"/>
  <c r="I1800" i="8"/>
  <c r="I2022" i="8"/>
  <c r="H2022" i="8"/>
  <c r="F2022" i="8"/>
  <c r="I1943" i="8"/>
  <c r="H1943" i="8"/>
  <c r="F1943" i="8"/>
  <c r="I2035" i="8"/>
  <c r="H2035" i="8"/>
  <c r="F2035" i="8"/>
  <c r="F2160" i="8"/>
  <c r="I2160" i="8"/>
  <c r="H2160" i="8"/>
  <c r="I2298" i="8"/>
  <c r="H2298" i="8"/>
  <c r="F2298" i="8"/>
  <c r="F2254" i="8"/>
  <c r="I2254" i="8"/>
  <c r="H2254" i="8"/>
  <c r="I2338" i="8"/>
  <c r="H2338" i="8"/>
  <c r="F2338" i="8"/>
  <c r="I2439" i="8"/>
  <c r="F2439" i="8"/>
  <c r="H2439" i="8"/>
  <c r="I2520" i="8"/>
  <c r="H2520" i="8"/>
  <c r="F2520" i="8"/>
  <c r="F2508" i="8"/>
  <c r="I2508" i="8"/>
  <c r="H2508" i="8"/>
  <c r="H2594" i="8"/>
  <c r="I2594" i="8"/>
  <c r="F2594" i="8"/>
  <c r="I1524" i="8"/>
  <c r="H1524" i="8"/>
  <c r="F1524" i="8"/>
  <c r="F1662" i="8"/>
  <c r="I1662" i="8"/>
  <c r="H1662" i="8"/>
  <c r="F1673" i="8"/>
  <c r="I1673" i="8"/>
  <c r="H1673" i="8"/>
  <c r="F1765" i="8"/>
  <c r="I1765" i="8"/>
  <c r="H1765" i="8"/>
  <c r="F1728" i="8"/>
  <c r="I1728" i="8"/>
  <c r="H1728" i="8"/>
  <c r="I1912" i="8"/>
  <c r="H1912" i="8"/>
  <c r="F1912" i="8"/>
  <c r="I1976" i="8"/>
  <c r="H1976" i="8"/>
  <c r="F1976" i="8"/>
  <c r="I2156" i="8"/>
  <c r="H2156" i="8"/>
  <c r="F2156" i="8"/>
  <c r="I2187" i="8"/>
  <c r="H2187" i="8"/>
  <c r="F2187" i="8"/>
  <c r="H2288" i="8"/>
  <c r="F2288" i="8"/>
  <c r="I2288" i="8"/>
  <c r="I2372" i="8"/>
  <c r="H2372" i="8"/>
  <c r="F2372" i="8"/>
  <c r="H2328" i="8"/>
  <c r="F2328" i="8"/>
  <c r="I2328" i="8"/>
  <c r="I2389" i="8"/>
  <c r="H2389" i="8"/>
  <c r="F2389" i="8"/>
  <c r="I2518" i="8"/>
  <c r="H2518" i="8"/>
  <c r="F2518" i="8"/>
  <c r="I2490" i="8"/>
  <c r="H2490" i="8"/>
  <c r="F2490" i="8"/>
  <c r="I1429" i="8"/>
  <c r="F1429" i="8"/>
  <c r="H1429" i="8"/>
  <c r="I1540" i="8"/>
  <c r="H1540" i="8"/>
  <c r="F1540" i="8"/>
  <c r="F1647" i="8"/>
  <c r="I1647" i="8"/>
  <c r="H1647" i="8"/>
  <c r="F1642" i="8"/>
  <c r="I1642" i="8"/>
  <c r="H1642" i="8"/>
  <c r="F1731" i="8"/>
  <c r="I1731" i="8"/>
  <c r="H1731" i="8"/>
  <c r="F1823" i="8"/>
  <c r="H1823" i="8"/>
  <c r="I1823" i="8"/>
  <c r="I2077" i="8"/>
  <c r="H2077" i="8"/>
  <c r="F2077" i="8"/>
  <c r="I1961" i="8"/>
  <c r="H1961" i="8"/>
  <c r="F1961" i="8"/>
  <c r="I2066" i="8"/>
  <c r="H2066" i="8"/>
  <c r="F2066" i="8"/>
  <c r="I2114" i="8"/>
  <c r="F2114" i="8"/>
  <c r="H2114" i="8"/>
  <c r="I2196" i="8"/>
  <c r="H2196" i="8"/>
  <c r="F2196" i="8"/>
  <c r="I2305" i="8"/>
  <c r="H2305" i="8"/>
  <c r="F2305" i="8"/>
  <c r="I2253" i="8"/>
  <c r="H2253" i="8"/>
  <c r="F2253" i="8"/>
  <c r="I2448" i="8"/>
  <c r="F2448" i="8"/>
  <c r="H2448" i="8"/>
  <c r="F2421" i="8"/>
  <c r="I2421" i="8"/>
  <c r="H2421" i="8"/>
  <c r="I2535" i="8"/>
  <c r="H2535" i="8"/>
  <c r="F2535" i="8"/>
  <c r="F2515" i="8"/>
  <c r="I2515" i="8"/>
  <c r="H2515" i="8"/>
  <c r="I2591" i="8"/>
  <c r="H2591" i="8"/>
  <c r="F2591" i="8"/>
  <c r="I1437" i="8"/>
  <c r="F1437" i="8"/>
  <c r="H1437" i="8"/>
  <c r="I1541" i="8"/>
  <c r="H1541" i="8"/>
  <c r="F1541" i="8"/>
  <c r="F1655" i="8"/>
  <c r="I1655" i="8"/>
  <c r="H1655" i="8"/>
  <c r="F1650" i="8"/>
  <c r="I1650" i="8"/>
  <c r="H1650" i="8"/>
  <c r="F1870" i="8"/>
  <c r="H1870" i="8"/>
  <c r="I1870" i="8"/>
  <c r="I2085" i="8"/>
  <c r="H2085" i="8"/>
  <c r="F2085" i="8"/>
  <c r="F1962" i="8"/>
  <c r="I1962" i="8"/>
  <c r="H1962" i="8"/>
  <c r="I2074" i="8"/>
  <c r="H2074" i="8"/>
  <c r="F2074" i="8"/>
  <c r="I2115" i="8"/>
  <c r="H2115" i="8"/>
  <c r="F2115" i="8"/>
  <c r="I2204" i="8"/>
  <c r="H2204" i="8"/>
  <c r="F2204" i="8"/>
  <c r="I2313" i="8"/>
  <c r="H2313" i="8"/>
  <c r="F2313" i="8"/>
  <c r="I2261" i="8"/>
  <c r="H2261" i="8"/>
  <c r="F2261" i="8"/>
  <c r="F2456" i="8"/>
  <c r="H2456" i="8"/>
  <c r="I2456" i="8"/>
  <c r="F2425" i="8"/>
  <c r="I2425" i="8"/>
  <c r="H2425" i="8"/>
  <c r="I2543" i="8"/>
  <c r="H2543" i="8"/>
  <c r="F2543" i="8"/>
  <c r="F2523" i="8"/>
  <c r="I2523" i="8"/>
  <c r="H2523" i="8"/>
  <c r="I1390" i="8"/>
  <c r="H1390" i="8"/>
  <c r="F1390" i="8"/>
  <c r="I1534" i="8"/>
  <c r="H1534" i="8"/>
  <c r="F1534" i="8"/>
  <c r="F1769" i="8"/>
  <c r="I1769" i="8"/>
  <c r="H1769" i="8"/>
  <c r="I2029" i="8"/>
  <c r="H2029" i="8"/>
  <c r="F2029" i="8"/>
  <c r="F1955" i="8"/>
  <c r="I1955" i="8"/>
  <c r="H1955" i="8"/>
  <c r="I2018" i="8"/>
  <c r="H2018" i="8"/>
  <c r="F2018" i="8"/>
  <c r="I2108" i="8"/>
  <c r="H2108" i="8"/>
  <c r="F2108" i="8"/>
  <c r="I2142" i="8"/>
  <c r="H2142" i="8"/>
  <c r="F2142" i="8"/>
  <c r="I2257" i="8"/>
  <c r="H2257" i="8"/>
  <c r="F2257" i="8"/>
  <c r="I2205" i="8"/>
  <c r="H2205" i="8"/>
  <c r="F2205" i="8"/>
  <c r="F2415" i="8"/>
  <c r="I2415" i="8"/>
  <c r="H2415" i="8"/>
  <c r="F2397" i="8"/>
  <c r="I2397" i="8"/>
  <c r="H2397" i="8"/>
  <c r="I2487" i="8"/>
  <c r="H2487" i="8"/>
  <c r="F2487" i="8"/>
  <c r="F2467" i="8"/>
  <c r="I2467" i="8"/>
  <c r="H2467" i="8"/>
  <c r="I1484" i="8"/>
  <c r="F1484" i="8"/>
  <c r="H1484" i="8"/>
  <c r="I1567" i="8"/>
  <c r="H1567" i="8"/>
  <c r="F1567" i="8"/>
  <c r="F1661" i="8"/>
  <c r="I1661" i="8"/>
  <c r="H1661" i="8"/>
  <c r="F1759" i="8"/>
  <c r="I1759" i="8"/>
  <c r="H1759" i="8"/>
  <c r="F1746" i="8"/>
  <c r="H1746" i="8"/>
  <c r="I1746" i="8"/>
  <c r="I1988" i="8"/>
  <c r="H1988" i="8"/>
  <c r="F1988" i="8"/>
  <c r="I2072" i="8"/>
  <c r="F2072" i="8"/>
  <c r="H2072" i="8"/>
  <c r="I2130" i="8"/>
  <c r="H2130" i="8"/>
  <c r="F2130" i="8"/>
  <c r="I2283" i="8"/>
  <c r="H2283" i="8"/>
  <c r="F2283" i="8"/>
  <c r="F2247" i="8"/>
  <c r="I2247" i="8"/>
  <c r="H2247" i="8"/>
  <c r="F2432" i="8"/>
  <c r="I2432" i="8"/>
  <c r="H2432" i="8"/>
  <c r="F2410" i="8"/>
  <c r="I2410" i="8"/>
  <c r="H2410" i="8"/>
  <c r="I2505" i="8"/>
  <c r="H2505" i="8"/>
  <c r="F2505" i="8"/>
  <c r="H2485" i="8"/>
  <c r="F2485" i="8"/>
  <c r="I2485" i="8"/>
  <c r="I2586" i="8"/>
  <c r="H2586" i="8"/>
  <c r="F2586" i="8"/>
  <c r="I1512" i="8"/>
  <c r="H1512" i="8"/>
  <c r="F1512" i="8"/>
  <c r="F1638" i="8"/>
  <c r="I1638" i="8"/>
  <c r="H1638" i="8"/>
  <c r="F1649" i="8"/>
  <c r="I1649" i="8"/>
  <c r="H1649" i="8"/>
  <c r="F1704" i="8"/>
  <c r="I1704" i="8"/>
  <c r="H1704" i="8"/>
  <c r="I1909" i="8"/>
  <c r="H1909" i="8"/>
  <c r="F1909" i="8"/>
  <c r="I1973" i="8"/>
  <c r="H1973" i="8"/>
  <c r="F1973" i="8"/>
  <c r="I2065" i="8"/>
  <c r="F2065" i="8"/>
  <c r="H2065" i="8"/>
  <c r="I2132" i="8"/>
  <c r="H2132" i="8"/>
  <c r="F2132" i="8"/>
  <c r="I2292" i="8"/>
  <c r="H2292" i="8"/>
  <c r="F2292" i="8"/>
  <c r="H2264" i="8"/>
  <c r="F2264" i="8"/>
  <c r="I2264" i="8"/>
  <c r="I2348" i="8"/>
  <c r="H2348" i="8"/>
  <c r="F2348" i="8"/>
  <c r="I2437" i="8"/>
  <c r="F2437" i="8"/>
  <c r="H2437" i="8"/>
  <c r="I2365" i="8"/>
  <c r="H2365" i="8"/>
  <c r="F2365" i="8"/>
  <c r="I2494" i="8"/>
  <c r="H2494" i="8"/>
  <c r="F2494" i="8"/>
  <c r="I2466" i="8"/>
  <c r="H2466" i="8"/>
  <c r="F2466" i="8"/>
  <c r="I1398" i="8"/>
  <c r="H1398" i="8"/>
  <c r="F1398" i="8"/>
  <c r="I1501" i="8"/>
  <c r="H1501" i="8"/>
  <c r="F1501" i="8"/>
  <c r="I1439" i="8"/>
  <c r="H1439" i="8"/>
  <c r="F1439" i="8"/>
  <c r="I1474" i="8"/>
  <c r="H1474" i="8"/>
  <c r="F1474" i="8"/>
  <c r="I1464" i="8"/>
  <c r="H1464" i="8"/>
  <c r="F1464" i="8"/>
  <c r="I1514" i="8"/>
  <c r="H1514" i="8"/>
  <c r="F1514" i="8"/>
  <c r="I1473" i="8"/>
  <c r="H1473" i="8"/>
  <c r="F1473" i="8"/>
  <c r="I1486" i="8"/>
  <c r="H1486" i="8"/>
  <c r="F1486" i="8"/>
  <c r="I1529" i="8"/>
  <c r="H1529" i="8"/>
  <c r="F1529" i="8"/>
  <c r="F1656" i="8"/>
  <c r="I1656" i="8"/>
  <c r="H1656" i="8"/>
  <c r="F1659" i="8"/>
  <c r="H1659" i="8"/>
  <c r="I1659" i="8"/>
  <c r="F1782" i="8"/>
  <c r="I1782" i="8"/>
  <c r="H1782" i="8"/>
  <c r="F1729" i="8"/>
  <c r="I1729" i="8"/>
  <c r="H1729" i="8"/>
  <c r="I2078" i="8"/>
  <c r="H2078" i="8"/>
  <c r="F2078" i="8"/>
  <c r="F2159" i="8"/>
  <c r="I2159" i="8"/>
  <c r="H2159" i="8"/>
  <c r="F2310" i="8"/>
  <c r="I2310" i="8"/>
  <c r="H2310" i="8"/>
  <c r="F2358" i="8"/>
  <c r="I2358" i="8"/>
  <c r="H2358" i="8"/>
  <c r="I2576" i="8"/>
  <c r="H2576" i="8"/>
  <c r="F2576" i="8"/>
  <c r="F2564" i="8"/>
  <c r="I2564" i="8"/>
  <c r="H2564" i="8"/>
  <c r="I1530" i="8"/>
  <c r="H1530" i="8"/>
  <c r="F1530" i="8"/>
  <c r="F1664" i="8"/>
  <c r="I1664" i="8"/>
  <c r="H1664" i="8"/>
  <c r="F1667" i="8"/>
  <c r="H1667" i="8"/>
  <c r="I1667" i="8"/>
  <c r="F1788" i="8"/>
  <c r="H1788" i="8"/>
  <c r="I1788" i="8"/>
  <c r="F1737" i="8"/>
  <c r="I1737" i="8"/>
  <c r="H1737" i="8"/>
  <c r="I2086" i="8"/>
  <c r="H2086" i="8"/>
  <c r="F2086" i="8"/>
  <c r="F2122" i="8"/>
  <c r="I2122" i="8"/>
  <c r="H2122" i="8"/>
  <c r="F2167" i="8"/>
  <c r="I2167" i="8"/>
  <c r="H2167" i="8"/>
  <c r="I2225" i="8"/>
  <c r="H2225" i="8"/>
  <c r="F2225" i="8"/>
  <c r="F2317" i="8"/>
  <c r="I2317" i="8"/>
  <c r="H2317" i="8"/>
  <c r="F2399" i="8"/>
  <c r="I2399" i="8"/>
  <c r="H2399" i="8"/>
  <c r="F2366" i="8"/>
  <c r="I2366" i="8"/>
  <c r="H2366" i="8"/>
  <c r="I2584" i="8"/>
  <c r="H2584" i="8"/>
  <c r="F2584" i="8"/>
  <c r="F2572" i="8"/>
  <c r="I2572" i="8"/>
  <c r="H2572" i="8"/>
  <c r="I1452" i="8"/>
  <c r="F1452" i="8"/>
  <c r="H1452" i="8"/>
  <c r="I1563" i="8"/>
  <c r="H1563" i="8"/>
  <c r="F1563" i="8"/>
  <c r="F1629" i="8"/>
  <c r="I1629" i="8"/>
  <c r="H1629" i="8"/>
  <c r="F1727" i="8"/>
  <c r="I1727" i="8"/>
  <c r="H1727" i="8"/>
  <c r="F1835" i="8"/>
  <c r="H1835" i="8"/>
  <c r="I1835" i="8"/>
  <c r="F1714" i="8"/>
  <c r="H1714" i="8"/>
  <c r="I1714" i="8"/>
  <c r="F1789" i="8"/>
  <c r="H1789" i="8"/>
  <c r="I1789" i="8"/>
  <c r="I1984" i="8"/>
  <c r="H1984" i="8"/>
  <c r="F1984" i="8"/>
  <c r="I2040" i="8"/>
  <c r="F2040" i="8"/>
  <c r="H2040" i="8"/>
  <c r="I2155" i="8"/>
  <c r="H2155" i="8"/>
  <c r="F2155" i="8"/>
  <c r="I2251" i="8"/>
  <c r="H2251" i="8"/>
  <c r="F2251" i="8"/>
  <c r="F2215" i="8"/>
  <c r="I2215" i="8"/>
  <c r="H2215" i="8"/>
  <c r="F2416" i="8"/>
  <c r="I2416" i="8"/>
  <c r="H2416" i="8"/>
  <c r="H2392" i="8"/>
  <c r="F2392" i="8"/>
  <c r="I2392" i="8"/>
  <c r="I2473" i="8"/>
  <c r="H2473" i="8"/>
  <c r="F2473" i="8"/>
  <c r="I2582" i="8"/>
  <c r="H2582" i="8"/>
  <c r="F2582" i="8"/>
  <c r="I2554" i="8"/>
  <c r="H2554" i="8"/>
  <c r="F2554" i="8"/>
  <c r="F1617" i="8"/>
  <c r="I1617" i="8"/>
  <c r="H1617" i="8"/>
  <c r="F1709" i="8"/>
  <c r="I1709" i="8"/>
  <c r="H1709" i="8"/>
  <c r="F1805" i="8"/>
  <c r="H1805" i="8"/>
  <c r="I1805" i="8"/>
  <c r="I1969" i="8"/>
  <c r="H1969" i="8"/>
  <c r="F1969" i="8"/>
  <c r="I2033" i="8"/>
  <c r="F2033" i="8"/>
  <c r="H2033" i="8"/>
  <c r="I2157" i="8"/>
  <c r="H2157" i="8"/>
  <c r="F2157" i="8"/>
  <c r="I2260" i="8"/>
  <c r="H2260" i="8"/>
  <c r="F2260" i="8"/>
  <c r="H2232" i="8"/>
  <c r="F2232" i="8"/>
  <c r="I2232" i="8"/>
  <c r="I2316" i="8"/>
  <c r="H2316" i="8"/>
  <c r="F2316" i="8"/>
  <c r="I2369" i="8"/>
  <c r="H2369" i="8"/>
  <c r="F2369" i="8"/>
  <c r="I2462" i="8"/>
  <c r="H2462" i="8"/>
  <c r="F2462" i="8"/>
  <c r="F2579" i="8"/>
  <c r="I2579" i="8"/>
  <c r="H2579" i="8"/>
  <c r="I1500" i="8"/>
  <c r="H1500" i="8"/>
  <c r="F1500" i="8"/>
  <c r="F1614" i="8"/>
  <c r="I1614" i="8"/>
  <c r="H1614" i="8"/>
  <c r="F1625" i="8"/>
  <c r="I1625" i="8"/>
  <c r="H1625" i="8"/>
  <c r="F1717" i="8"/>
  <c r="I1717" i="8"/>
  <c r="H1717" i="8"/>
  <c r="F1970" i="8"/>
  <c r="I1970" i="8"/>
  <c r="H1970" i="8"/>
  <c r="I2041" i="8"/>
  <c r="F2041" i="8"/>
  <c r="H2041" i="8"/>
  <c r="I2165" i="8"/>
  <c r="H2165" i="8"/>
  <c r="F2165" i="8"/>
  <c r="I2268" i="8"/>
  <c r="H2268" i="8"/>
  <c r="F2268" i="8"/>
  <c r="H2240" i="8"/>
  <c r="F2240" i="8"/>
  <c r="I2240" i="8"/>
  <c r="I2324" i="8"/>
  <c r="H2324" i="8"/>
  <c r="F2324" i="8"/>
  <c r="I2377" i="8"/>
  <c r="H2377" i="8"/>
  <c r="F2377" i="8"/>
  <c r="I2341" i="8"/>
  <c r="H2341" i="8"/>
  <c r="F2341" i="8"/>
  <c r="I2470" i="8"/>
  <c r="H2470" i="8"/>
  <c r="F2470" i="8"/>
  <c r="F2587" i="8"/>
  <c r="I2587" i="8"/>
  <c r="H2587" i="8"/>
  <c r="I1445" i="8"/>
  <c r="F1445" i="8"/>
  <c r="H1445" i="8"/>
  <c r="F1663" i="8"/>
  <c r="I1663" i="8"/>
  <c r="H1663" i="8"/>
  <c r="F1658" i="8"/>
  <c r="I1658" i="8"/>
  <c r="H1658" i="8"/>
  <c r="F1747" i="8"/>
  <c r="I1747" i="8"/>
  <c r="H1747" i="8"/>
  <c r="F1963" i="8"/>
  <c r="I1963" i="8"/>
  <c r="H1963" i="8"/>
  <c r="I2082" i="8"/>
  <c r="H2082" i="8"/>
  <c r="F2082" i="8"/>
  <c r="I2116" i="8"/>
  <c r="H2116" i="8"/>
  <c r="F2116" i="8"/>
  <c r="I2212" i="8"/>
  <c r="H2212" i="8"/>
  <c r="F2212" i="8"/>
  <c r="H2184" i="8"/>
  <c r="F2184" i="8"/>
  <c r="I2184" i="8"/>
  <c r="I2269" i="8"/>
  <c r="H2269" i="8"/>
  <c r="F2269" i="8"/>
  <c r="H2321" i="8"/>
  <c r="F2321" i="8"/>
  <c r="I2321" i="8"/>
  <c r="F2429" i="8"/>
  <c r="I2429" i="8"/>
  <c r="H2429" i="8"/>
  <c r="I2551" i="8"/>
  <c r="H2551" i="8"/>
  <c r="F2551" i="8"/>
  <c r="F2531" i="8"/>
  <c r="I2531" i="8"/>
  <c r="H2531" i="8"/>
  <c r="I1509" i="8"/>
  <c r="H1509" i="8"/>
  <c r="F1509" i="8"/>
  <c r="I1435" i="8"/>
  <c r="F1435" i="8"/>
  <c r="H1435" i="8"/>
  <c r="F1628" i="8"/>
  <c r="I1628" i="8"/>
  <c r="H1628" i="8"/>
  <c r="F1716" i="8"/>
  <c r="I1716" i="8"/>
  <c r="H1716" i="8"/>
  <c r="F1802" i="8"/>
  <c r="H1802" i="8"/>
  <c r="I1802" i="8"/>
  <c r="H1932" i="8"/>
  <c r="F1932" i="8"/>
  <c r="I1932" i="8"/>
  <c r="I2052" i="8"/>
  <c r="H2052" i="8"/>
  <c r="F2052" i="8"/>
  <c r="I2039" i="8"/>
  <c r="H2039" i="8"/>
  <c r="F2039" i="8"/>
  <c r="H2129" i="8"/>
  <c r="F2129" i="8"/>
  <c r="I2129" i="8"/>
  <c r="I2210" i="8"/>
  <c r="H2210" i="8"/>
  <c r="F2210" i="8"/>
  <c r="F2311" i="8"/>
  <c r="I2311" i="8"/>
  <c r="H2311" i="8"/>
  <c r="I2355" i="8"/>
  <c r="H2355" i="8"/>
  <c r="F2355" i="8"/>
  <c r="I2450" i="8"/>
  <c r="F2450" i="8"/>
  <c r="H2450" i="8"/>
  <c r="I2569" i="8"/>
  <c r="H2569" i="8"/>
  <c r="F2569" i="8"/>
  <c r="H2549" i="8"/>
  <c r="F2549" i="8"/>
  <c r="I2549" i="8"/>
  <c r="I1428" i="8"/>
  <c r="F1428" i="8"/>
  <c r="H1428" i="8"/>
  <c r="I1560" i="8"/>
  <c r="H1560" i="8"/>
  <c r="F1560" i="8"/>
  <c r="F1703" i="8"/>
  <c r="I1703" i="8"/>
  <c r="H1703" i="8"/>
  <c r="F1811" i="8"/>
  <c r="H1811" i="8"/>
  <c r="I1811" i="8"/>
  <c r="F1690" i="8"/>
  <c r="H1690" i="8"/>
  <c r="I1690" i="8"/>
  <c r="F1768" i="8"/>
  <c r="I1768" i="8"/>
  <c r="H1768" i="8"/>
  <c r="I1917" i="8"/>
  <c r="H1917" i="8"/>
  <c r="F1917" i="8"/>
  <c r="I1981" i="8"/>
  <c r="H1981" i="8"/>
  <c r="F1981" i="8"/>
  <c r="I2016" i="8"/>
  <c r="F2016" i="8"/>
  <c r="H2016" i="8"/>
  <c r="I2131" i="8"/>
  <c r="H2131" i="8"/>
  <c r="F2131" i="8"/>
  <c r="I2227" i="8"/>
  <c r="H2227" i="8"/>
  <c r="F2227" i="8"/>
  <c r="F2191" i="8"/>
  <c r="I2191" i="8"/>
  <c r="H2191" i="8"/>
  <c r="F2404" i="8"/>
  <c r="I2404" i="8"/>
  <c r="H2404" i="8"/>
  <c r="H2368" i="8"/>
  <c r="F2368" i="8"/>
  <c r="I2368" i="8"/>
  <c r="H2455" i="8"/>
  <c r="F2455" i="8"/>
  <c r="I2455" i="8"/>
  <c r="I2558" i="8"/>
  <c r="H2558" i="8"/>
  <c r="F2558" i="8"/>
  <c r="I2530" i="8"/>
  <c r="H2530" i="8"/>
  <c r="F2530" i="8"/>
  <c r="I1450" i="8"/>
  <c r="H1450" i="8"/>
  <c r="F1450" i="8"/>
  <c r="I1505" i="8"/>
  <c r="H1505" i="8"/>
  <c r="F1505" i="8"/>
  <c r="I1447" i="8"/>
  <c r="H1447" i="8"/>
  <c r="F1447" i="8"/>
  <c r="I1472" i="8"/>
  <c r="H1472" i="8"/>
  <c r="F1472" i="8"/>
  <c r="I1518" i="8"/>
  <c r="H1518" i="8"/>
  <c r="F1518" i="8"/>
  <c r="I1405" i="8"/>
  <c r="F1405" i="8"/>
  <c r="H1405" i="8"/>
  <c r="I1537" i="8"/>
  <c r="H1537" i="8"/>
  <c r="F1537" i="8"/>
  <c r="F1623" i="8"/>
  <c r="I1623" i="8"/>
  <c r="H1623" i="8"/>
  <c r="F1618" i="8"/>
  <c r="I1618" i="8"/>
  <c r="H1618" i="8"/>
  <c r="F1707" i="8"/>
  <c r="I1707" i="8"/>
  <c r="H1707" i="8"/>
  <c r="F1799" i="8"/>
  <c r="H1799" i="8"/>
  <c r="I1799" i="8"/>
  <c r="I2053" i="8"/>
  <c r="H2053" i="8"/>
  <c r="F2053" i="8"/>
  <c r="I1958" i="8"/>
  <c r="H1958" i="8"/>
  <c r="F1958" i="8"/>
  <c r="I2042" i="8"/>
  <c r="H2042" i="8"/>
  <c r="F2042" i="8"/>
  <c r="I2111" i="8"/>
  <c r="H2111" i="8"/>
  <c r="F2111" i="8"/>
  <c r="I2166" i="8"/>
  <c r="H2166" i="8"/>
  <c r="F2166" i="8"/>
  <c r="I2281" i="8"/>
  <c r="H2281" i="8"/>
  <c r="F2281" i="8"/>
  <c r="I2229" i="8"/>
  <c r="H2229" i="8"/>
  <c r="F2229" i="8"/>
  <c r="F2427" i="8"/>
  <c r="I2427" i="8"/>
  <c r="H2427" i="8"/>
  <c r="F2409" i="8"/>
  <c r="I2409" i="8"/>
  <c r="H2409" i="8"/>
  <c r="I2511" i="8"/>
  <c r="H2511" i="8"/>
  <c r="F2511" i="8"/>
  <c r="F2491" i="8"/>
  <c r="I2491" i="8"/>
  <c r="H2491" i="8"/>
  <c r="I1538" i="8"/>
  <c r="H1538" i="8"/>
  <c r="F1538" i="8"/>
  <c r="F1631" i="8"/>
  <c r="I1631" i="8"/>
  <c r="H1631" i="8"/>
  <c r="F1626" i="8"/>
  <c r="I1626" i="8"/>
  <c r="H1626" i="8"/>
  <c r="F1715" i="8"/>
  <c r="I1715" i="8"/>
  <c r="H1715" i="8"/>
  <c r="F1807" i="8"/>
  <c r="H1807" i="8"/>
  <c r="I1807" i="8"/>
  <c r="I2061" i="8"/>
  <c r="H2061" i="8"/>
  <c r="F2061" i="8"/>
  <c r="I1959" i="8"/>
  <c r="H1959" i="8"/>
  <c r="F1959" i="8"/>
  <c r="I2050" i="8"/>
  <c r="H2050" i="8"/>
  <c r="F2050" i="8"/>
  <c r="I2112" i="8"/>
  <c r="H2112" i="8"/>
  <c r="F2112" i="8"/>
  <c r="I2174" i="8"/>
  <c r="H2174" i="8"/>
  <c r="F2174" i="8"/>
  <c r="I2289" i="8"/>
  <c r="H2289" i="8"/>
  <c r="F2289" i="8"/>
  <c r="I2237" i="8"/>
  <c r="H2237" i="8"/>
  <c r="F2237" i="8"/>
  <c r="F2431" i="8"/>
  <c r="I2431" i="8"/>
  <c r="H2431" i="8"/>
  <c r="F2413" i="8"/>
  <c r="I2413" i="8"/>
  <c r="H2413" i="8"/>
  <c r="I2519" i="8"/>
  <c r="H2519" i="8"/>
  <c r="F2519" i="8"/>
  <c r="F2499" i="8"/>
  <c r="I2499" i="8"/>
  <c r="H2499" i="8"/>
  <c r="I1487" i="8"/>
  <c r="H1487" i="8"/>
  <c r="F1487" i="8"/>
  <c r="I1403" i="8"/>
  <c r="H1403" i="8"/>
  <c r="F1403" i="8"/>
  <c r="F1801" i="8"/>
  <c r="H1801" i="8"/>
  <c r="I1801" i="8"/>
  <c r="F1778" i="8"/>
  <c r="H1778" i="8"/>
  <c r="I1778" i="8"/>
  <c r="I2020" i="8"/>
  <c r="H2020" i="8"/>
  <c r="F2020" i="8"/>
  <c r="I2007" i="8"/>
  <c r="H2007" i="8"/>
  <c r="F2007" i="8"/>
  <c r="I2162" i="8"/>
  <c r="H2162" i="8"/>
  <c r="F2162" i="8"/>
  <c r="F2279" i="8"/>
  <c r="I2279" i="8"/>
  <c r="H2279" i="8"/>
  <c r="I2323" i="8"/>
  <c r="H2323" i="8"/>
  <c r="F2323" i="8"/>
  <c r="F2426" i="8"/>
  <c r="I2426" i="8"/>
  <c r="H2426" i="8"/>
  <c r="I2537" i="8"/>
  <c r="H2537" i="8"/>
  <c r="F2537" i="8"/>
  <c r="H2517" i="8"/>
  <c r="F2517" i="8"/>
  <c r="I2517" i="8"/>
  <c r="F1670" i="8"/>
  <c r="I1670" i="8"/>
  <c r="H1670" i="8"/>
  <c r="F1681" i="8"/>
  <c r="I1681" i="8"/>
  <c r="H1681" i="8"/>
  <c r="F1773" i="8"/>
  <c r="I1773" i="8"/>
  <c r="H1773" i="8"/>
  <c r="F1736" i="8"/>
  <c r="I1736" i="8"/>
  <c r="H1736" i="8"/>
  <c r="I1913" i="8"/>
  <c r="H1913" i="8"/>
  <c r="F1913" i="8"/>
  <c r="I1977" i="8"/>
  <c r="H1977" i="8"/>
  <c r="F1977" i="8"/>
  <c r="I2164" i="8"/>
  <c r="H2164" i="8"/>
  <c r="F2164" i="8"/>
  <c r="I2195" i="8"/>
  <c r="H2195" i="8"/>
  <c r="F2195" i="8"/>
  <c r="H2296" i="8"/>
  <c r="F2296" i="8"/>
  <c r="I2296" i="8"/>
  <c r="I2380" i="8"/>
  <c r="H2380" i="8"/>
  <c r="F2380" i="8"/>
  <c r="H2336" i="8"/>
  <c r="F2336" i="8"/>
  <c r="I2336" i="8"/>
  <c r="I2441" i="8"/>
  <c r="F2441" i="8"/>
  <c r="H2441" i="8"/>
  <c r="I2526" i="8"/>
  <c r="H2526" i="8"/>
  <c r="F2526" i="8"/>
  <c r="I2498" i="8"/>
  <c r="H2498" i="8"/>
  <c r="F2498" i="8"/>
  <c r="I1404" i="8"/>
  <c r="F1404" i="8"/>
  <c r="H1404" i="8"/>
  <c r="I1557" i="8"/>
  <c r="H1557" i="8"/>
  <c r="F1557" i="8"/>
  <c r="F1678" i="8"/>
  <c r="I1678" i="8"/>
  <c r="H1678" i="8"/>
  <c r="F1694" i="8"/>
  <c r="I1694" i="8"/>
  <c r="H1694" i="8"/>
  <c r="F1781" i="8"/>
  <c r="I1781" i="8"/>
  <c r="H1781" i="8"/>
  <c r="F1877" i="8"/>
  <c r="H1877" i="8"/>
  <c r="I1877" i="8"/>
  <c r="F1914" i="8"/>
  <c r="I1914" i="8"/>
  <c r="H1914" i="8"/>
  <c r="F1978" i="8"/>
  <c r="I1978" i="8"/>
  <c r="H1978" i="8"/>
  <c r="I1992" i="8"/>
  <c r="H1992" i="8"/>
  <c r="F1992" i="8"/>
  <c r="I2172" i="8"/>
  <c r="H2172" i="8"/>
  <c r="F2172" i="8"/>
  <c r="I2203" i="8"/>
  <c r="H2203" i="8"/>
  <c r="F2203" i="8"/>
  <c r="H2304" i="8"/>
  <c r="F2304" i="8"/>
  <c r="I2304" i="8"/>
  <c r="I2388" i="8"/>
  <c r="H2388" i="8"/>
  <c r="F2388" i="8"/>
  <c r="H2344" i="8"/>
  <c r="F2344" i="8"/>
  <c r="I2344" i="8"/>
  <c r="I2449" i="8"/>
  <c r="F2449" i="8"/>
  <c r="H2449" i="8"/>
  <c r="I2534" i="8"/>
  <c r="H2534" i="8"/>
  <c r="F2534" i="8"/>
  <c r="I2506" i="8"/>
  <c r="H2506" i="8"/>
  <c r="F2506" i="8"/>
  <c r="I1504" i="8"/>
  <c r="H1504" i="8"/>
  <c r="F1504" i="8"/>
  <c r="I1550" i="8"/>
  <c r="H1550" i="8"/>
  <c r="F1550" i="8"/>
  <c r="F1622" i="8"/>
  <c r="I1622" i="8"/>
  <c r="H1622" i="8"/>
  <c r="F1633" i="8"/>
  <c r="I1633" i="8"/>
  <c r="H1633" i="8"/>
  <c r="F1725" i="8"/>
  <c r="I1725" i="8"/>
  <c r="H1725" i="8"/>
  <c r="F1821" i="8"/>
  <c r="H1821" i="8"/>
  <c r="I1821" i="8"/>
  <c r="F1688" i="8"/>
  <c r="I1688" i="8"/>
  <c r="H1688" i="8"/>
  <c r="F1971" i="8"/>
  <c r="I1971" i="8"/>
  <c r="H1971" i="8"/>
  <c r="I2049" i="8"/>
  <c r="F2049" i="8"/>
  <c r="H2049" i="8"/>
  <c r="I2173" i="8"/>
  <c r="H2173" i="8"/>
  <c r="F2173" i="8"/>
  <c r="I2276" i="8"/>
  <c r="H2276" i="8"/>
  <c r="F2276" i="8"/>
  <c r="H2248" i="8"/>
  <c r="F2248" i="8"/>
  <c r="I2248" i="8"/>
  <c r="I2332" i="8"/>
  <c r="H2332" i="8"/>
  <c r="F2332" i="8"/>
  <c r="I2385" i="8"/>
  <c r="H2385" i="8"/>
  <c r="F2385" i="8"/>
  <c r="I2349" i="8"/>
  <c r="H2349" i="8"/>
  <c r="F2349" i="8"/>
  <c r="I2478" i="8"/>
  <c r="H2478" i="8"/>
  <c r="F2478" i="8"/>
  <c r="I1406" i="8"/>
  <c r="H1406" i="8"/>
  <c r="F1406" i="8"/>
  <c r="I1583" i="8"/>
  <c r="H1583" i="8"/>
  <c r="F1583" i="8"/>
  <c r="F1686" i="8"/>
  <c r="I1686" i="8"/>
  <c r="H1686" i="8"/>
  <c r="F1780" i="8"/>
  <c r="I1780" i="8"/>
  <c r="H1780" i="8"/>
  <c r="I1998" i="8"/>
  <c r="H1998" i="8"/>
  <c r="F1998" i="8"/>
  <c r="H1940" i="8"/>
  <c r="F1940" i="8"/>
  <c r="I1940" i="8"/>
  <c r="I2011" i="8"/>
  <c r="H2011" i="8"/>
  <c r="F2011" i="8"/>
  <c r="F2136" i="8"/>
  <c r="I2136" i="8"/>
  <c r="H2136" i="8"/>
  <c r="I2274" i="8"/>
  <c r="H2274" i="8"/>
  <c r="F2274" i="8"/>
  <c r="F2230" i="8"/>
  <c r="I2230" i="8"/>
  <c r="H2230" i="8"/>
  <c r="I2451" i="8"/>
  <c r="F2451" i="8"/>
  <c r="H2451" i="8"/>
  <c r="F2375" i="8"/>
  <c r="I2375" i="8"/>
  <c r="H2375" i="8"/>
  <c r="I2496" i="8"/>
  <c r="H2496" i="8"/>
  <c r="F2496" i="8"/>
  <c r="F2484" i="8"/>
  <c r="I2484" i="8"/>
  <c r="H2484" i="8"/>
  <c r="I1492" i="8"/>
  <c r="F1492" i="8"/>
  <c r="H1492" i="8"/>
  <c r="F1669" i="8"/>
  <c r="I1669" i="8"/>
  <c r="H1669" i="8"/>
  <c r="F1767" i="8"/>
  <c r="I1767" i="8"/>
  <c r="H1767" i="8"/>
  <c r="F1875" i="8"/>
  <c r="H1875" i="8"/>
  <c r="I1875" i="8"/>
  <c r="F1754" i="8"/>
  <c r="H1754" i="8"/>
  <c r="I1754" i="8"/>
  <c r="F1820" i="8"/>
  <c r="H1820" i="8"/>
  <c r="I1820" i="8"/>
  <c r="I1925" i="8"/>
  <c r="H1925" i="8"/>
  <c r="F1925" i="8"/>
  <c r="I1996" i="8"/>
  <c r="F1996" i="8"/>
  <c r="H1996" i="8"/>
  <c r="I2080" i="8"/>
  <c r="F2080" i="8"/>
  <c r="H2080" i="8"/>
  <c r="I2138" i="8"/>
  <c r="H2138" i="8"/>
  <c r="F2138" i="8"/>
  <c r="I2291" i="8"/>
  <c r="H2291" i="8"/>
  <c r="F2291" i="8"/>
  <c r="I2438" i="8"/>
  <c r="F2438" i="8"/>
  <c r="H2438" i="8"/>
  <c r="F2414" i="8"/>
  <c r="I2414" i="8"/>
  <c r="H2414" i="8"/>
  <c r="I2513" i="8"/>
  <c r="H2513" i="8"/>
  <c r="F2513" i="8"/>
  <c r="H2493" i="8"/>
  <c r="F2493" i="8"/>
  <c r="I2493" i="8"/>
  <c r="I1481" i="8"/>
  <c r="H1481" i="8"/>
  <c r="F1481" i="8"/>
  <c r="I1490" i="8"/>
  <c r="H1490" i="8"/>
  <c r="F1490" i="8"/>
  <c r="I1513" i="8"/>
  <c r="H1513" i="8"/>
  <c r="F1513" i="8"/>
  <c r="I1455" i="8"/>
  <c r="H1455" i="8"/>
  <c r="F1455" i="8"/>
  <c r="I1399" i="8"/>
  <c r="H1399" i="8"/>
  <c r="F1399" i="8"/>
  <c r="I1480" i="8"/>
  <c r="H1480" i="8"/>
  <c r="F1480" i="8"/>
  <c r="I1469" i="8"/>
  <c r="F1469" i="8"/>
  <c r="H1469" i="8"/>
  <c r="F1684" i="8"/>
  <c r="I1684" i="8"/>
  <c r="H1684" i="8"/>
  <c r="F1685" i="8"/>
  <c r="I1685" i="8"/>
  <c r="H1685" i="8"/>
  <c r="F1771" i="8"/>
  <c r="I1771" i="8"/>
  <c r="H1771" i="8"/>
  <c r="I1966" i="8"/>
  <c r="H1966" i="8"/>
  <c r="F1966" i="8"/>
  <c r="I2009" i="8"/>
  <c r="F2009" i="8"/>
  <c r="H2009" i="8"/>
  <c r="I2236" i="8"/>
  <c r="H2236" i="8"/>
  <c r="F2236" i="8"/>
  <c r="H2208" i="8"/>
  <c r="F2208" i="8"/>
  <c r="I2208" i="8"/>
  <c r="I2293" i="8"/>
  <c r="H2293" i="8"/>
  <c r="F2293" i="8"/>
  <c r="I2345" i="8"/>
  <c r="H2345" i="8"/>
  <c r="F2345" i="8"/>
  <c r="I2444" i="8"/>
  <c r="F2444" i="8"/>
  <c r="H2444" i="8"/>
  <c r="I2575" i="8"/>
  <c r="H2575" i="8"/>
  <c r="F2575" i="8"/>
  <c r="F2555" i="8"/>
  <c r="I2555" i="8"/>
  <c r="H2555" i="8"/>
  <c r="I1477" i="8"/>
  <c r="F1477" i="8"/>
  <c r="H1477" i="8"/>
  <c r="F1693" i="8"/>
  <c r="I1693" i="8"/>
  <c r="H1693" i="8"/>
  <c r="F1779" i="8"/>
  <c r="I1779" i="8"/>
  <c r="H1779" i="8"/>
  <c r="I1967" i="8"/>
  <c r="H1967" i="8"/>
  <c r="F1967" i="8"/>
  <c r="I2017" i="8"/>
  <c r="F2017" i="8"/>
  <c r="H2017" i="8"/>
  <c r="I2141" i="8"/>
  <c r="H2141" i="8"/>
  <c r="F2141" i="8"/>
  <c r="I2244" i="8"/>
  <c r="H2244" i="8"/>
  <c r="F2244" i="8"/>
  <c r="H2216" i="8"/>
  <c r="F2216" i="8"/>
  <c r="I2216" i="8"/>
  <c r="I2301" i="8"/>
  <c r="H2301" i="8"/>
  <c r="F2301" i="8"/>
  <c r="I2353" i="8"/>
  <c r="H2353" i="8"/>
  <c r="F2353" i="8"/>
  <c r="I2452" i="8"/>
  <c r="F2452" i="8"/>
  <c r="H2452" i="8"/>
  <c r="I2583" i="8"/>
  <c r="H2583" i="8"/>
  <c r="F2583" i="8"/>
  <c r="F2563" i="8"/>
  <c r="I2563" i="8"/>
  <c r="H2563" i="8"/>
  <c r="I1525" i="8"/>
  <c r="H1525" i="8"/>
  <c r="F1525" i="8"/>
  <c r="I1467" i="8"/>
  <c r="F1467" i="8"/>
  <c r="H1467" i="8"/>
  <c r="I1579" i="8"/>
  <c r="H1579" i="8"/>
  <c r="F1579" i="8"/>
  <c r="F1660" i="8"/>
  <c r="I1660" i="8"/>
  <c r="H1660" i="8"/>
  <c r="F1865" i="8"/>
  <c r="H1865" i="8"/>
  <c r="I1865" i="8"/>
  <c r="F1748" i="8"/>
  <c r="I1748" i="8"/>
  <c r="H1748" i="8"/>
  <c r="I1989" i="8"/>
  <c r="F1989" i="8"/>
  <c r="H1989" i="8"/>
  <c r="I1936" i="8"/>
  <c r="H1936" i="8"/>
  <c r="F1936" i="8"/>
  <c r="I2084" i="8"/>
  <c r="H2084" i="8"/>
  <c r="F2084" i="8"/>
  <c r="I2071" i="8"/>
  <c r="H2071" i="8"/>
  <c r="F2071" i="8"/>
  <c r="H2161" i="8"/>
  <c r="F2161" i="8"/>
  <c r="I2161" i="8"/>
  <c r="I2242" i="8"/>
  <c r="H2242" i="8"/>
  <c r="F2242" i="8"/>
  <c r="F2198" i="8"/>
  <c r="I2198" i="8"/>
  <c r="H2198" i="8"/>
  <c r="I2387" i="8"/>
  <c r="H2387" i="8"/>
  <c r="F2387" i="8"/>
  <c r="F2343" i="8"/>
  <c r="I2343" i="8"/>
  <c r="H2343" i="8"/>
  <c r="I2464" i="8"/>
  <c r="F2464" i="8"/>
  <c r="H2464" i="8"/>
  <c r="H2581" i="8"/>
  <c r="F2581" i="8"/>
  <c r="I2581" i="8"/>
  <c r="I1460" i="8"/>
  <c r="F1460" i="8"/>
  <c r="H1460" i="8"/>
  <c r="I1564" i="8"/>
  <c r="H1564" i="8"/>
  <c r="F1564" i="8"/>
  <c r="F1637" i="8"/>
  <c r="I1637" i="8"/>
  <c r="H1637" i="8"/>
  <c r="F1735" i="8"/>
  <c r="I1735" i="8"/>
  <c r="H1735" i="8"/>
  <c r="F1722" i="8"/>
  <c r="H1722" i="8"/>
  <c r="I1722" i="8"/>
  <c r="F1793" i="8"/>
  <c r="H1793" i="8"/>
  <c r="I1793" i="8"/>
  <c r="I1985" i="8"/>
  <c r="H1985" i="8"/>
  <c r="F1985" i="8"/>
  <c r="I2048" i="8"/>
  <c r="F2048" i="8"/>
  <c r="H2048" i="8"/>
  <c r="I2163" i="8"/>
  <c r="H2163" i="8"/>
  <c r="F2163" i="8"/>
  <c r="I2259" i="8"/>
  <c r="H2259" i="8"/>
  <c r="F2259" i="8"/>
  <c r="F2223" i="8"/>
  <c r="I2223" i="8"/>
  <c r="H2223" i="8"/>
  <c r="F2420" i="8"/>
  <c r="I2420" i="8"/>
  <c r="H2420" i="8"/>
  <c r="F2398" i="8"/>
  <c r="I2398" i="8"/>
  <c r="H2398" i="8"/>
  <c r="I2481" i="8"/>
  <c r="H2481" i="8"/>
  <c r="F2481" i="8"/>
  <c r="I2590" i="8"/>
  <c r="H2590" i="8"/>
  <c r="F2590" i="8"/>
  <c r="I2562" i="8"/>
  <c r="H2562" i="8"/>
  <c r="F2562" i="8"/>
  <c r="I1468" i="8"/>
  <c r="F1468" i="8"/>
  <c r="H1468" i="8"/>
  <c r="I1565" i="8"/>
  <c r="H1565" i="8"/>
  <c r="F1565" i="8"/>
  <c r="F1645" i="8"/>
  <c r="I1645" i="8"/>
  <c r="H1645" i="8"/>
  <c r="F1851" i="8"/>
  <c r="H1851" i="8"/>
  <c r="I1851" i="8" s="1"/>
  <c r="F1730" i="8"/>
  <c r="H1730" i="8"/>
  <c r="I1730" i="8"/>
  <c r="F1796" i="8"/>
  <c r="H1796" i="8"/>
  <c r="I1796" i="8"/>
  <c r="F1986" i="8"/>
  <c r="I1986" i="8"/>
  <c r="H1986" i="8"/>
  <c r="I2056" i="8"/>
  <c r="F2056" i="8"/>
  <c r="H2056" i="8"/>
  <c r="I2171" i="8"/>
  <c r="H2171" i="8"/>
  <c r="F2171" i="8"/>
  <c r="I2267" i="8"/>
  <c r="H2267" i="8"/>
  <c r="F2267" i="8"/>
  <c r="F2231" i="8"/>
  <c r="I2231" i="8"/>
  <c r="H2231" i="8"/>
  <c r="F2424" i="8"/>
  <c r="I2424" i="8"/>
  <c r="H2424" i="8"/>
  <c r="F2402" i="8"/>
  <c r="I2402" i="8"/>
  <c r="H2402" i="8"/>
  <c r="I2489" i="8"/>
  <c r="H2489" i="8"/>
  <c r="F2489" i="8"/>
  <c r="H2469" i="8"/>
  <c r="F2469" i="8"/>
  <c r="I2469" i="8"/>
  <c r="I2570" i="8"/>
  <c r="H2570" i="8"/>
  <c r="F2570" i="8"/>
  <c r="I1558" i="8"/>
  <c r="H1558" i="8"/>
  <c r="F1558" i="8"/>
  <c r="F1589" i="8"/>
  <c r="H1589" i="8"/>
  <c r="I1589" i="8"/>
  <c r="F1687" i="8"/>
  <c r="H1687" i="8"/>
  <c r="I1687" i="8"/>
  <c r="F1795" i="8"/>
  <c r="H1795" i="8"/>
  <c r="I1795" i="8"/>
  <c r="F1752" i="8"/>
  <c r="I1752" i="8"/>
  <c r="H1752" i="8"/>
  <c r="F1915" i="8"/>
  <c r="I1915" i="8"/>
  <c r="H1915" i="8"/>
  <c r="F1979" i="8"/>
  <c r="I1979" i="8"/>
  <c r="H1979" i="8"/>
  <c r="I2000" i="8"/>
  <c r="F2000" i="8"/>
  <c r="H2000" i="8"/>
  <c r="I2180" i="8"/>
  <c r="H2180" i="8"/>
  <c r="F2180" i="8"/>
  <c r="I2211" i="8"/>
  <c r="H2211" i="8"/>
  <c r="F2211" i="8"/>
  <c r="H2312" i="8"/>
  <c r="F2312" i="8"/>
  <c r="I2312" i="8"/>
  <c r="F2396" i="8"/>
  <c r="I2396" i="8"/>
  <c r="H2396" i="8"/>
  <c r="H2352" i="8"/>
  <c r="F2352" i="8"/>
  <c r="I2352" i="8"/>
  <c r="H2457" i="8"/>
  <c r="I2457" i="8"/>
  <c r="F2457" i="8"/>
  <c r="I2542" i="8"/>
  <c r="H2542" i="8"/>
  <c r="F2542" i="8"/>
  <c r="I2514" i="8"/>
  <c r="H2514" i="8"/>
  <c r="F2514" i="8"/>
  <c r="I1470" i="8"/>
  <c r="H1470" i="8"/>
  <c r="F1470" i="8"/>
  <c r="I1527" i="8"/>
  <c r="H1527" i="8"/>
  <c r="F1527" i="8"/>
  <c r="F1640" i="8"/>
  <c r="I1640" i="8"/>
  <c r="H1640" i="8"/>
  <c r="F1643" i="8"/>
  <c r="H1643" i="8"/>
  <c r="I1643" i="8"/>
  <c r="F1766" i="8"/>
  <c r="I1766" i="8"/>
  <c r="H1766" i="8"/>
  <c r="F1840" i="8"/>
  <c r="H1840" i="8"/>
  <c r="I1840" i="8"/>
  <c r="F1713" i="8"/>
  <c r="I1713" i="8"/>
  <c r="H1713" i="8"/>
  <c r="I2062" i="8"/>
  <c r="H2062" i="8"/>
  <c r="F2062" i="8"/>
  <c r="H1948" i="8"/>
  <c r="F1948" i="8"/>
  <c r="I1948" i="8"/>
  <c r="I2075" i="8"/>
  <c r="H2075" i="8"/>
  <c r="F2075" i="8"/>
  <c r="F2143" i="8"/>
  <c r="I2143" i="8"/>
  <c r="H2143" i="8"/>
  <c r="I2201" i="8"/>
  <c r="H2201" i="8"/>
  <c r="F2201" i="8"/>
  <c r="F2294" i="8"/>
  <c r="I2294" i="8"/>
  <c r="H2294" i="8"/>
  <c r="I2378" i="8"/>
  <c r="H2378" i="8"/>
  <c r="F2378" i="8"/>
  <c r="F2342" i="8"/>
  <c r="I2342" i="8"/>
  <c r="H2342" i="8"/>
  <c r="I2560" i="8"/>
  <c r="H2560" i="8"/>
  <c r="F2560" i="8"/>
  <c r="F2548" i="8"/>
  <c r="I2548" i="8"/>
  <c r="H2548" i="8"/>
  <c r="I1443" i="8"/>
  <c r="F1443" i="8"/>
  <c r="H1443" i="8"/>
  <c r="F1636" i="8"/>
  <c r="I1636" i="8"/>
  <c r="H1636" i="8"/>
  <c r="F1724" i="8"/>
  <c r="I1724" i="8"/>
  <c r="H1724" i="8"/>
  <c r="F1810" i="8"/>
  <c r="H1810" i="8"/>
  <c r="I1810" i="8"/>
  <c r="I2060" i="8"/>
  <c r="H2060" i="8"/>
  <c r="F2060" i="8"/>
  <c r="I2047" i="8"/>
  <c r="H2047" i="8"/>
  <c r="F2047" i="8"/>
  <c r="H2137" i="8"/>
  <c r="F2137" i="8"/>
  <c r="I2137" i="8"/>
  <c r="F2320" i="8"/>
  <c r="I2320" i="8"/>
  <c r="H2320" i="8"/>
  <c r="I2363" i="8"/>
  <c r="H2363" i="8"/>
  <c r="F2363" i="8"/>
  <c r="F2319" i="8"/>
  <c r="H2319" i="8"/>
  <c r="I2319" i="8"/>
  <c r="I2577" i="8"/>
  <c r="H2577" i="8"/>
  <c r="F2577" i="8"/>
  <c r="H2557" i="8"/>
  <c r="F2557" i="8"/>
  <c r="I2557" i="8"/>
  <c r="I1522" i="8"/>
  <c r="H1522" i="8"/>
  <c r="F1522" i="8"/>
  <c r="I1489" i="8"/>
  <c r="H1489" i="8"/>
  <c r="F1489" i="8"/>
  <c r="I1433" i="8"/>
  <c r="H1433" i="8"/>
  <c r="F1433" i="8"/>
  <c r="I1498" i="8"/>
  <c r="H1498" i="8"/>
  <c r="F1498" i="8"/>
  <c r="I1430" i="8"/>
  <c r="H1430" i="8"/>
  <c r="F1430" i="8"/>
  <c r="I1517" i="8"/>
  <c r="H1517" i="8"/>
  <c r="F1517" i="8"/>
  <c r="I1463" i="8"/>
  <c r="H1463" i="8"/>
  <c r="F1463" i="8"/>
  <c r="I1407" i="8"/>
  <c r="H1407" i="8"/>
  <c r="F1407" i="8"/>
  <c r="I1488" i="8"/>
  <c r="H1488" i="8"/>
  <c r="F1488" i="8"/>
  <c r="I1516" i="8"/>
  <c r="H1516" i="8"/>
  <c r="F1516" i="8"/>
  <c r="I1553" i="8"/>
  <c r="H1553" i="8"/>
  <c r="F1553" i="8"/>
  <c r="F1646" i="8"/>
  <c r="I1646" i="8"/>
  <c r="H1646" i="8"/>
  <c r="F1657" i="8"/>
  <c r="I1657" i="8"/>
  <c r="H1657" i="8"/>
  <c r="F1749" i="8"/>
  <c r="I1749" i="8"/>
  <c r="H1749" i="8"/>
  <c r="F1845" i="8"/>
  <c r="H1845" i="8"/>
  <c r="I1845" i="8"/>
  <c r="F1712" i="8"/>
  <c r="I1712" i="8"/>
  <c r="H1712" i="8"/>
  <c r="I1910" i="8"/>
  <c r="H1910" i="8"/>
  <c r="F1910" i="8"/>
  <c r="I1974" i="8"/>
  <c r="H1974" i="8"/>
  <c r="F1974" i="8"/>
  <c r="I2073" i="8"/>
  <c r="F2073" i="8"/>
  <c r="H2073" i="8"/>
  <c r="I2140" i="8"/>
  <c r="H2140" i="8"/>
  <c r="F2140" i="8"/>
  <c r="I2300" i="8"/>
  <c r="H2300" i="8"/>
  <c r="F2300" i="8"/>
  <c r="H2272" i="8"/>
  <c r="F2272" i="8"/>
  <c r="I2272" i="8"/>
  <c r="I2356" i="8"/>
  <c r="H2356" i="8"/>
  <c r="F2356" i="8"/>
  <c r="I2445" i="8"/>
  <c r="F2445" i="8"/>
  <c r="H2445" i="8"/>
  <c r="I2373" i="8"/>
  <c r="H2373" i="8"/>
  <c r="F2373" i="8"/>
  <c r="I2502" i="8"/>
  <c r="H2502" i="8"/>
  <c r="F2502" i="8"/>
  <c r="I2474" i="8"/>
  <c r="H2474" i="8"/>
  <c r="F2474" i="8"/>
  <c r="I1520" i="8"/>
  <c r="H1520" i="8"/>
  <c r="F1520" i="8"/>
  <c r="I1554" i="8"/>
  <c r="H1554" i="8"/>
  <c r="F1554" i="8"/>
  <c r="F1654" i="8"/>
  <c r="I1654" i="8"/>
  <c r="H1654" i="8"/>
  <c r="F1665" i="8"/>
  <c r="I1665" i="8"/>
  <c r="H1665" i="8"/>
  <c r="F1757" i="8"/>
  <c r="I1757" i="8"/>
  <c r="H1757" i="8"/>
  <c r="F1720" i="8"/>
  <c r="I1720" i="8"/>
  <c r="H1720" i="8"/>
  <c r="I1911" i="8"/>
  <c r="H1911" i="8"/>
  <c r="F1911" i="8"/>
  <c r="I1975" i="8"/>
  <c r="H1975" i="8"/>
  <c r="F1975" i="8"/>
  <c r="I2081" i="8"/>
  <c r="F2081" i="8"/>
  <c r="H2081" i="8"/>
  <c r="I2148" i="8"/>
  <c r="H2148" i="8"/>
  <c r="F2148" i="8"/>
  <c r="I2308" i="8"/>
  <c r="H2308" i="8"/>
  <c r="F2308" i="8"/>
  <c r="H2280" i="8"/>
  <c r="F2280" i="8"/>
  <c r="I2280" i="8"/>
  <c r="I2364" i="8"/>
  <c r="H2364" i="8"/>
  <c r="F2364" i="8"/>
  <c r="I2453" i="8"/>
  <c r="F2453" i="8"/>
  <c r="H2453" i="8"/>
  <c r="I2381" i="8"/>
  <c r="H2381" i="8"/>
  <c r="F2381" i="8"/>
  <c r="I2510" i="8"/>
  <c r="H2510" i="8"/>
  <c r="F2510" i="8"/>
  <c r="I2482" i="8"/>
  <c r="H2482" i="8"/>
  <c r="F2482" i="8"/>
  <c r="I1438" i="8"/>
  <c r="H1438" i="8"/>
  <c r="F1438" i="8"/>
  <c r="I1515" i="8"/>
  <c r="H1515" i="8"/>
  <c r="F1515" i="8"/>
  <c r="F1611" i="8"/>
  <c r="H1611" i="8"/>
  <c r="I1611" i="8"/>
  <c r="F1734" i="8"/>
  <c r="I1734" i="8"/>
  <c r="H1734" i="8"/>
  <c r="F1808" i="8"/>
  <c r="H1808" i="8"/>
  <c r="I1808" i="8"/>
  <c r="I2030" i="8"/>
  <c r="H2030" i="8"/>
  <c r="F2030" i="8"/>
  <c r="I1944" i="8"/>
  <c r="H1944" i="8"/>
  <c r="F1944" i="8"/>
  <c r="I2043" i="8"/>
  <c r="H2043" i="8"/>
  <c r="F2043" i="8"/>
  <c r="F2168" i="8"/>
  <c r="I2168" i="8"/>
  <c r="H2168" i="8"/>
  <c r="I2306" i="8"/>
  <c r="H2306" i="8"/>
  <c r="F2306" i="8"/>
  <c r="F2262" i="8"/>
  <c r="I2262" i="8"/>
  <c r="H2262" i="8"/>
  <c r="I2346" i="8"/>
  <c r="H2346" i="8"/>
  <c r="F2346" i="8"/>
  <c r="I2447" i="8"/>
  <c r="F2447" i="8"/>
  <c r="H2447" i="8"/>
  <c r="I2528" i="8"/>
  <c r="H2528" i="8"/>
  <c r="F2528" i="8"/>
  <c r="F2516" i="8"/>
  <c r="I2516" i="8"/>
  <c r="H2516" i="8"/>
  <c r="F1809" i="8"/>
  <c r="H1809" i="8"/>
  <c r="I1809" i="8"/>
  <c r="F1692" i="8"/>
  <c r="I1692" i="8"/>
  <c r="H1692" i="8"/>
  <c r="F1786" i="8"/>
  <c r="H1786" i="8"/>
  <c r="I1786" i="8"/>
  <c r="I1929" i="8"/>
  <c r="H1929" i="8"/>
  <c r="F1929" i="8"/>
  <c r="I2028" i="8"/>
  <c r="H2028" i="8"/>
  <c r="F2028" i="8"/>
  <c r="I2015" i="8"/>
  <c r="H2015" i="8"/>
  <c r="F2015" i="8"/>
  <c r="I2170" i="8"/>
  <c r="H2170" i="8"/>
  <c r="F2170" i="8"/>
  <c r="I2186" i="8"/>
  <c r="H2186" i="8"/>
  <c r="F2186" i="8"/>
  <c r="F2287" i="8"/>
  <c r="I2287" i="8"/>
  <c r="H2287" i="8"/>
  <c r="I2331" i="8"/>
  <c r="H2331" i="8"/>
  <c r="F2331" i="8"/>
  <c r="F2430" i="8"/>
  <c r="I2430" i="8"/>
  <c r="H2430" i="8"/>
  <c r="I2545" i="8"/>
  <c r="H2545" i="8"/>
  <c r="F2545" i="8"/>
  <c r="H2525" i="8"/>
  <c r="F2525" i="8"/>
  <c r="I2525" i="8"/>
  <c r="I2621" i="8"/>
  <c r="H2621" i="8"/>
  <c r="F2621" i="8"/>
  <c r="F1612" i="8"/>
  <c r="I1612" i="8"/>
  <c r="H1612" i="8"/>
  <c r="F1700" i="8"/>
  <c r="I1700" i="8"/>
  <c r="H1700" i="8"/>
  <c r="F1790" i="8"/>
  <c r="H1790" i="8"/>
  <c r="I1790" i="8"/>
  <c r="F1860" i="8"/>
  <c r="H1860" i="8"/>
  <c r="I1860" i="8"/>
  <c r="I2036" i="8"/>
  <c r="H2036" i="8"/>
  <c r="F2036" i="8"/>
  <c r="I2023" i="8"/>
  <c r="H2023" i="8"/>
  <c r="F2023" i="8"/>
  <c r="I2178" i="8"/>
  <c r="H2178" i="8"/>
  <c r="F2178" i="8"/>
  <c r="I2194" i="8"/>
  <c r="H2194" i="8"/>
  <c r="F2194" i="8"/>
  <c r="I2339" i="8"/>
  <c r="H2339" i="8"/>
  <c r="F2339" i="8"/>
  <c r="I2434" i="8"/>
  <c r="F2434" i="8"/>
  <c r="H2434" i="8"/>
  <c r="I2553" i="8"/>
  <c r="H2553" i="8"/>
  <c r="F2553" i="8"/>
  <c r="H2533" i="8"/>
  <c r="F2533" i="8"/>
  <c r="I2533" i="8"/>
  <c r="I1476" i="8"/>
  <c r="F1476" i="8"/>
  <c r="H1476" i="8"/>
  <c r="F1653" i="8"/>
  <c r="I1653" i="8"/>
  <c r="H1653" i="8"/>
  <c r="F1751" i="8"/>
  <c r="I1751" i="8"/>
  <c r="H1751" i="8"/>
  <c r="F1804" i="8"/>
  <c r="H1804" i="8"/>
  <c r="I1804" i="8"/>
  <c r="F1987" i="8"/>
  <c r="I1987" i="8"/>
  <c r="H1987" i="8"/>
  <c r="I2064" i="8"/>
  <c r="F2064" i="8"/>
  <c r="H2064" i="8"/>
  <c r="I2179" i="8"/>
  <c r="H2179" i="8"/>
  <c r="F2179" i="8"/>
  <c r="I2275" i="8"/>
  <c r="H2275" i="8"/>
  <c r="F2275" i="8"/>
  <c r="F2239" i="8"/>
  <c r="I2239" i="8"/>
  <c r="H2239" i="8"/>
  <c r="F2428" i="8"/>
  <c r="I2428" i="8"/>
  <c r="H2428" i="8"/>
  <c r="F2406" i="8"/>
  <c r="I2406" i="8"/>
  <c r="H2406" i="8"/>
  <c r="I2497" i="8"/>
  <c r="H2497" i="8"/>
  <c r="F2497" i="8"/>
  <c r="H2477" i="8"/>
  <c r="F2477" i="8"/>
  <c r="I2477" i="8"/>
  <c r="I2578" i="8"/>
  <c r="H2578" i="8"/>
  <c r="F2578" i="8"/>
  <c r="I1535" i="8"/>
  <c r="H1535" i="8"/>
  <c r="F1535" i="8"/>
  <c r="F1822" i="8"/>
  <c r="H1822" i="8"/>
  <c r="I1822" i="8"/>
  <c r="F1691" i="8"/>
  <c r="I1691" i="8"/>
  <c r="H1691" i="8"/>
  <c r="F1777" i="8"/>
  <c r="I1777" i="8"/>
  <c r="H1777" i="8"/>
  <c r="I2037" i="8"/>
  <c r="H2037" i="8"/>
  <c r="F2037" i="8"/>
  <c r="H1956" i="8"/>
  <c r="F1956" i="8"/>
  <c r="I1956" i="8"/>
  <c r="I2026" i="8"/>
  <c r="H2026" i="8"/>
  <c r="F2026" i="8"/>
  <c r="I2109" i="8"/>
  <c r="H2109" i="8"/>
  <c r="F2109" i="8"/>
  <c r="I2150" i="8"/>
  <c r="H2150" i="8"/>
  <c r="F2150" i="8"/>
  <c r="I2265" i="8"/>
  <c r="H2265" i="8"/>
  <c r="F2265" i="8"/>
  <c r="I2213" i="8"/>
  <c r="H2213" i="8"/>
  <c r="F2213" i="8"/>
  <c r="F2419" i="8"/>
  <c r="I2419" i="8"/>
  <c r="H2419" i="8"/>
  <c r="F2401" i="8"/>
  <c r="I2401" i="8"/>
  <c r="H2401" i="8"/>
  <c r="I2495" i="8"/>
  <c r="H2495" i="8"/>
  <c r="F2495" i="8"/>
  <c r="F2475" i="8"/>
  <c r="I2475" i="8"/>
  <c r="H2475" i="8"/>
  <c r="I1503" i="8"/>
  <c r="H1503" i="8"/>
  <c r="F1503" i="8"/>
  <c r="F1584" i="8"/>
  <c r="I1584" i="8"/>
  <c r="H1584" i="8"/>
  <c r="F1587" i="8"/>
  <c r="I1587" i="8"/>
  <c r="H1587" i="8"/>
  <c r="F1710" i="8"/>
  <c r="I1710" i="8"/>
  <c r="H1710" i="8"/>
  <c r="F1787" i="8"/>
  <c r="H1787" i="8"/>
  <c r="I1787" i="8"/>
  <c r="I2006" i="8"/>
  <c r="H2006" i="8"/>
  <c r="F2006" i="8"/>
  <c r="I1941" i="8"/>
  <c r="H1941" i="8"/>
  <c r="F1941" i="8"/>
  <c r="I2019" i="8"/>
  <c r="H2019" i="8"/>
  <c r="F2019" i="8"/>
  <c r="I2282" i="8"/>
  <c r="H2282" i="8"/>
  <c r="F2282" i="8"/>
  <c r="F2238" i="8"/>
  <c r="I2238" i="8"/>
  <c r="H2238" i="8"/>
  <c r="I2322" i="8"/>
  <c r="H2322" i="8"/>
  <c r="F2322" i="8"/>
  <c r="F2383" i="8"/>
  <c r="I2383" i="8"/>
  <c r="H2383" i="8"/>
  <c r="F2492" i="8"/>
  <c r="I2492" i="8"/>
  <c r="H2492" i="8"/>
  <c r="I1432" i="8"/>
  <c r="H1432" i="8"/>
  <c r="F1432" i="8"/>
  <c r="I1526" i="8"/>
  <c r="H1526" i="8"/>
  <c r="F1526" i="8"/>
  <c r="I1497" i="8"/>
  <c r="H1497" i="8"/>
  <c r="F1497" i="8"/>
  <c r="I1441" i="8"/>
  <c r="H1441" i="8"/>
  <c r="F1441" i="8"/>
  <c r="I1482" i="8"/>
  <c r="H1482" i="8"/>
  <c r="F1482" i="8"/>
  <c r="I1454" i="8"/>
  <c r="H1454" i="8"/>
  <c r="F1454" i="8"/>
  <c r="I1521" i="8"/>
  <c r="H1521" i="8"/>
  <c r="F1521" i="8"/>
  <c r="I1471" i="8"/>
  <c r="H1471" i="8"/>
  <c r="F1471" i="8"/>
  <c r="I1436" i="8"/>
  <c r="F1436" i="8"/>
  <c r="H1436" i="8"/>
  <c r="I1561" i="8"/>
  <c r="H1561" i="8"/>
  <c r="F1561" i="8"/>
  <c r="F1613" i="8"/>
  <c r="I1613" i="8"/>
  <c r="H1613" i="8"/>
  <c r="F1711" i="8"/>
  <c r="I1711" i="8"/>
  <c r="H1711" i="8"/>
  <c r="F1698" i="8"/>
  <c r="H1698" i="8"/>
  <c r="I1698" i="8"/>
  <c r="F1776" i="8"/>
  <c r="I1776" i="8"/>
  <c r="H1776" i="8"/>
  <c r="I1918" i="8"/>
  <c r="H1918" i="8"/>
  <c r="F1918" i="8"/>
  <c r="I1982" i="8"/>
  <c r="H1982" i="8"/>
  <c r="F1982" i="8"/>
  <c r="I2024" i="8"/>
  <c r="F2024" i="8"/>
  <c r="H2024" i="8"/>
  <c r="I2139" i="8"/>
  <c r="H2139" i="8"/>
  <c r="F2139" i="8"/>
  <c r="I2235" i="8"/>
  <c r="H2235" i="8"/>
  <c r="F2235" i="8"/>
  <c r="F2199" i="8"/>
  <c r="I2199" i="8"/>
  <c r="H2199" i="8"/>
  <c r="F2408" i="8"/>
  <c r="I2408" i="8"/>
  <c r="H2408" i="8"/>
  <c r="H2376" i="8"/>
  <c r="F2376" i="8"/>
  <c r="I2376" i="8"/>
  <c r="F2460" i="8"/>
  <c r="I2460" i="8"/>
  <c r="H2460" i="8"/>
  <c r="I2566" i="8"/>
  <c r="H2566" i="8"/>
  <c r="F2566" i="8"/>
  <c r="I2538" i="8"/>
  <c r="H2538" i="8"/>
  <c r="F2538" i="8"/>
  <c r="I1444" i="8"/>
  <c r="F1444" i="8"/>
  <c r="H1444" i="8"/>
  <c r="I1562" i="8"/>
  <c r="H1562" i="8"/>
  <c r="F1562" i="8"/>
  <c r="F1621" i="8"/>
  <c r="I1621" i="8"/>
  <c r="H1621" i="8"/>
  <c r="F1719" i="8"/>
  <c r="I1719" i="8"/>
  <c r="H1719" i="8"/>
  <c r="F1827" i="8"/>
  <c r="H1827" i="8"/>
  <c r="I1827" i="8"/>
  <c r="F1706" i="8"/>
  <c r="H1706" i="8"/>
  <c r="I1706" i="8"/>
  <c r="F1784" i="8"/>
  <c r="I1784" i="8"/>
  <c r="H1784" i="8"/>
  <c r="I1919" i="8"/>
  <c r="H1919" i="8"/>
  <c r="F1919" i="8"/>
  <c r="I1983" i="8"/>
  <c r="H1983" i="8"/>
  <c r="F1983" i="8"/>
  <c r="I2032" i="8"/>
  <c r="F2032" i="8"/>
  <c r="H2032" i="8"/>
  <c r="I2147" i="8"/>
  <c r="H2147" i="8"/>
  <c r="F2147" i="8"/>
  <c r="I2243" i="8"/>
  <c r="H2243" i="8"/>
  <c r="F2243" i="8"/>
  <c r="F2207" i="8"/>
  <c r="I2207" i="8"/>
  <c r="H2207" i="8"/>
  <c r="F2412" i="8"/>
  <c r="I2412" i="8"/>
  <c r="H2412" i="8"/>
  <c r="H2465" i="8"/>
  <c r="F2465" i="8"/>
  <c r="I2465" i="8"/>
  <c r="I2574" i="8"/>
  <c r="H2574" i="8"/>
  <c r="F2574" i="8"/>
  <c r="I2546" i="8"/>
  <c r="H2546" i="8"/>
  <c r="F2546" i="8"/>
  <c r="F1586" i="8"/>
  <c r="H1586" i="8"/>
  <c r="I1586" i="8"/>
  <c r="I1531" i="8"/>
  <c r="H1531" i="8"/>
  <c r="F1531" i="8"/>
  <c r="F1672" i="8"/>
  <c r="I1672" i="8"/>
  <c r="H1672" i="8"/>
  <c r="F1675" i="8"/>
  <c r="H1675" i="8"/>
  <c r="I1675" i="8"/>
  <c r="F1792" i="8"/>
  <c r="H1792" i="8"/>
  <c r="I1792" i="8"/>
  <c r="I2005" i="8"/>
  <c r="H2005" i="8"/>
  <c r="F2005" i="8"/>
  <c r="I1952" i="8"/>
  <c r="H1952" i="8"/>
  <c r="F1952" i="8"/>
  <c r="I1994" i="8"/>
  <c r="H1994" i="8"/>
  <c r="F1994" i="8"/>
  <c r="I2105" i="8"/>
  <c r="H2105" i="8"/>
  <c r="F2105" i="8"/>
  <c r="F2175" i="8"/>
  <c r="I2175" i="8"/>
  <c r="H2175" i="8"/>
  <c r="I2233" i="8"/>
  <c r="H2233" i="8"/>
  <c r="F2233" i="8"/>
  <c r="F2181" i="8"/>
  <c r="I2181" i="8"/>
  <c r="H2181" i="8"/>
  <c r="F2403" i="8"/>
  <c r="I2403" i="8"/>
  <c r="H2403" i="8"/>
  <c r="F2374" i="8"/>
  <c r="I2374" i="8"/>
  <c r="H2374" i="8"/>
  <c r="I2463" i="8"/>
  <c r="F2463" i="8"/>
  <c r="H2463" i="8"/>
  <c r="F2580" i="8"/>
  <c r="I2580" i="8"/>
  <c r="H2580" i="8"/>
  <c r="I1475" i="8"/>
  <c r="F1475" i="8"/>
  <c r="H1475" i="8"/>
  <c r="I1580" i="8"/>
  <c r="H1580" i="8"/>
  <c r="F1580" i="8"/>
  <c r="F1668" i="8"/>
  <c r="I1668" i="8"/>
  <c r="H1668" i="8"/>
  <c r="F1756" i="8"/>
  <c r="I1756" i="8"/>
  <c r="H1756" i="8"/>
  <c r="I1991" i="8"/>
  <c r="H1991" i="8"/>
  <c r="F1991" i="8"/>
  <c r="I1937" i="8"/>
  <c r="H1937" i="8"/>
  <c r="F1937" i="8"/>
  <c r="I2079" i="8"/>
  <c r="H2079" i="8"/>
  <c r="F2079" i="8"/>
  <c r="H2169" i="8"/>
  <c r="F2169" i="8"/>
  <c r="I2169" i="8"/>
  <c r="I2250" i="8"/>
  <c r="H2250" i="8"/>
  <c r="F2250" i="8"/>
  <c r="F2206" i="8"/>
  <c r="I2206" i="8"/>
  <c r="H2206" i="8"/>
  <c r="I2395" i="8"/>
  <c r="H2395" i="8"/>
  <c r="F2395" i="8"/>
  <c r="F2351" i="8"/>
  <c r="I2351" i="8"/>
  <c r="H2351" i="8"/>
  <c r="I2472" i="8"/>
  <c r="H2472" i="8"/>
  <c r="F2472" i="8"/>
  <c r="H2589" i="8"/>
  <c r="F2589" i="8"/>
  <c r="I2589" i="8"/>
  <c r="I1483" i="8"/>
  <c r="H1483" i="8"/>
  <c r="F1483" i="8"/>
  <c r="I1581" i="8"/>
  <c r="H1581" i="8"/>
  <c r="F1581" i="8"/>
  <c r="F1676" i="8"/>
  <c r="I1676" i="8"/>
  <c r="H1676" i="8"/>
  <c r="F1881" i="8"/>
  <c r="H1881" i="8"/>
  <c r="I1881" i="8"/>
  <c r="F1764" i="8"/>
  <c r="I1764" i="8"/>
  <c r="H1764" i="8"/>
  <c r="F1850" i="8"/>
  <c r="H1850" i="8"/>
  <c r="I1850" i="8"/>
  <c r="I1993" i="8"/>
  <c r="F1993" i="8"/>
  <c r="H1993" i="8"/>
  <c r="F1938" i="8"/>
  <c r="I1938" i="8"/>
  <c r="H1938" i="8"/>
  <c r="I1995" i="8"/>
  <c r="H1995" i="8"/>
  <c r="F1995" i="8"/>
  <c r="H2177" i="8"/>
  <c r="F2177" i="8"/>
  <c r="I2177" i="8"/>
  <c r="I2258" i="8"/>
  <c r="H2258" i="8"/>
  <c r="F2258" i="8"/>
  <c r="F2214" i="8"/>
  <c r="I2214" i="8"/>
  <c r="H2214" i="8"/>
  <c r="I2435" i="8"/>
  <c r="F2435" i="8"/>
  <c r="H2435" i="8"/>
  <c r="F2359" i="8"/>
  <c r="I2359" i="8"/>
  <c r="H2359" i="8"/>
  <c r="I2480" i="8"/>
  <c r="H2480" i="8"/>
  <c r="F2480" i="8"/>
  <c r="F2468" i="8"/>
  <c r="I2468" i="8"/>
  <c r="H2468" i="8"/>
  <c r="F1620" i="8"/>
  <c r="I1620" i="8"/>
  <c r="H1620" i="8"/>
  <c r="F1825" i="8"/>
  <c r="H1825" i="8"/>
  <c r="I1825" i="8"/>
  <c r="F1708" i="8"/>
  <c r="I1708" i="8"/>
  <c r="H1708" i="8"/>
  <c r="F1794" i="8"/>
  <c r="H1794" i="8"/>
  <c r="I1794" i="8"/>
  <c r="F1931" i="8"/>
  <c r="I1931" i="8"/>
  <c r="H1931" i="8"/>
  <c r="I2044" i="8"/>
  <c r="H2044" i="8"/>
  <c r="F2044" i="8"/>
  <c r="I2031" i="8"/>
  <c r="H2031" i="8"/>
  <c r="F2031" i="8"/>
  <c r="I2121" i="8"/>
  <c r="F2121" i="8"/>
  <c r="H2121" i="8"/>
  <c r="I2202" i="8"/>
  <c r="H2202" i="8"/>
  <c r="F2202" i="8"/>
  <c r="F2303" i="8"/>
  <c r="I2303" i="8"/>
  <c r="H2303" i="8"/>
  <c r="I2347" i="8"/>
  <c r="H2347" i="8"/>
  <c r="F2347" i="8"/>
  <c r="I2442" i="8"/>
  <c r="F2442" i="8"/>
  <c r="H2442" i="8"/>
  <c r="I2561" i="8"/>
  <c r="H2561" i="8"/>
  <c r="F2561" i="8"/>
  <c r="H2541" i="8"/>
  <c r="F2541" i="8"/>
  <c r="I2541" i="8"/>
  <c r="I1453" i="8"/>
  <c r="F1453" i="8"/>
  <c r="H1453" i="8"/>
  <c r="I1543" i="8"/>
  <c r="H1543" i="8"/>
  <c r="F1543" i="8"/>
  <c r="F1671" i="8"/>
  <c r="I1671" i="8"/>
  <c r="H1671" i="8"/>
  <c r="F1666" i="8"/>
  <c r="I1666" i="8"/>
  <c r="H1666" i="8"/>
  <c r="F1755" i="8"/>
  <c r="I1755" i="8"/>
  <c r="H1755" i="8"/>
  <c r="H1964" i="8"/>
  <c r="F1964" i="8"/>
  <c r="I1964" i="8"/>
  <c r="I2117" i="8"/>
  <c r="H2117" i="8"/>
  <c r="F2117" i="8"/>
  <c r="I2220" i="8"/>
  <c r="H2220" i="8"/>
  <c r="F2220" i="8"/>
  <c r="H2192" i="8"/>
  <c r="F2192" i="8"/>
  <c r="I2192" i="8"/>
  <c r="I2277" i="8"/>
  <c r="H2277" i="8"/>
  <c r="F2277" i="8"/>
  <c r="I2329" i="8"/>
  <c r="H2329" i="8"/>
  <c r="F2329" i="8"/>
  <c r="F2433" i="8"/>
  <c r="I2433" i="8"/>
  <c r="H2433" i="8"/>
  <c r="I2559" i="8"/>
  <c r="H2559" i="8"/>
  <c r="F2559" i="8"/>
  <c r="F2539" i="8"/>
  <c r="I2539" i="8"/>
  <c r="H2539" i="8"/>
  <c r="I1478" i="8"/>
  <c r="H1478" i="8"/>
  <c r="F1478" i="8"/>
  <c r="I1528" i="8"/>
  <c r="H1528" i="8"/>
  <c r="F1528" i="8"/>
  <c r="F1648" i="8"/>
  <c r="I1648" i="8"/>
  <c r="H1648" i="8"/>
  <c r="F1651" i="8"/>
  <c r="H1651" i="8"/>
  <c r="I1651" i="8"/>
  <c r="F1774" i="8"/>
  <c r="I1774" i="8"/>
  <c r="H1774" i="8"/>
  <c r="F1721" i="8"/>
  <c r="I1721" i="8"/>
  <c r="H1721" i="8"/>
  <c r="I2070" i="8"/>
  <c r="H2070" i="8"/>
  <c r="F2070" i="8"/>
  <c r="I1949" i="8"/>
  <c r="H1949" i="8"/>
  <c r="F1949" i="8"/>
  <c r="I2083" i="8"/>
  <c r="H2083" i="8"/>
  <c r="F2083" i="8"/>
  <c r="I2102" i="8"/>
  <c r="F2102" i="8"/>
  <c r="H2102" i="8"/>
  <c r="F2151" i="8"/>
  <c r="I2151" i="8"/>
  <c r="H2151" i="8"/>
  <c r="I2209" i="8"/>
  <c r="H2209" i="8"/>
  <c r="F2209" i="8"/>
  <c r="F2302" i="8"/>
  <c r="I2302" i="8"/>
  <c r="H2302" i="8"/>
  <c r="I2386" i="8"/>
  <c r="H2386" i="8"/>
  <c r="F2386" i="8"/>
  <c r="F2350" i="8"/>
  <c r="I2350" i="8"/>
  <c r="H2350" i="8"/>
  <c r="I2568" i="8"/>
  <c r="H2568" i="8"/>
  <c r="F2568" i="8"/>
  <c r="F2556" i="8"/>
  <c r="I2556" i="8"/>
  <c r="H2556" i="8"/>
  <c r="I1496" i="8"/>
  <c r="H1496" i="8"/>
  <c r="F1496" i="8"/>
  <c r="I1440" i="8"/>
  <c r="H1440" i="8"/>
  <c r="F1440" i="8"/>
  <c r="I1402" i="8"/>
  <c r="H1402" i="8"/>
  <c r="F1402" i="8"/>
  <c r="I1502" i="8"/>
  <c r="H1502" i="8"/>
  <c r="F1502" i="8"/>
  <c r="I1449" i="8"/>
  <c r="H1449" i="8"/>
  <c r="F1449" i="8"/>
  <c r="I1462" i="8"/>
  <c r="H1462" i="8"/>
  <c r="F1462" i="8"/>
  <c r="I1394" i="8"/>
  <c r="H1394" i="8"/>
  <c r="F1394" i="8"/>
  <c r="I1479" i="8"/>
  <c r="H1479" i="8"/>
  <c r="F1479" i="8"/>
  <c r="F1677" i="8"/>
  <c r="I1677" i="8"/>
  <c r="H1677" i="8"/>
  <c r="F1775" i="8"/>
  <c r="I1775" i="8"/>
  <c r="H1775" i="8"/>
  <c r="F1883" i="8"/>
  <c r="H1883" i="8"/>
  <c r="I1883" i="8"/>
  <c r="F1762" i="8"/>
  <c r="H1762" i="8"/>
  <c r="I1762" i="8"/>
  <c r="F1828" i="8"/>
  <c r="H1828" i="8"/>
  <c r="I1828" i="8"/>
  <c r="I2004" i="8"/>
  <c r="H2004" i="8"/>
  <c r="F2004" i="8"/>
  <c r="I2146" i="8"/>
  <c r="H2146" i="8"/>
  <c r="F2146" i="8"/>
  <c r="F2263" i="8"/>
  <c r="I2263" i="8"/>
  <c r="H2263" i="8"/>
  <c r="I2446" i="8"/>
  <c r="F2446" i="8"/>
  <c r="H2446" i="8"/>
  <c r="F2418" i="8"/>
  <c r="I2418" i="8"/>
  <c r="H2418" i="8"/>
  <c r="I2521" i="8"/>
  <c r="H2521" i="8"/>
  <c r="F2521" i="8"/>
  <c r="H2501" i="8"/>
  <c r="F2501" i="8"/>
  <c r="I2501" i="8"/>
  <c r="F1588" i="8"/>
  <c r="I1588" i="8"/>
  <c r="H1588" i="8"/>
  <c r="F1783" i="8"/>
  <c r="I1783" i="8"/>
  <c r="H1783" i="8"/>
  <c r="F1770" i="8"/>
  <c r="H1770" i="8"/>
  <c r="I1770" i="8"/>
  <c r="I1927" i="8"/>
  <c r="H1927" i="8"/>
  <c r="F1927" i="8"/>
  <c r="I2012" i="8"/>
  <c r="H2012" i="8"/>
  <c r="F2012" i="8"/>
  <c r="I1999" i="8"/>
  <c r="H1999" i="8"/>
  <c r="F1999" i="8"/>
  <c r="I2154" i="8"/>
  <c r="H2154" i="8"/>
  <c r="F2154" i="8"/>
  <c r="I2307" i="8"/>
  <c r="H2307" i="8"/>
  <c r="F2307" i="8"/>
  <c r="F2271" i="8"/>
  <c r="I2271" i="8"/>
  <c r="H2271" i="8"/>
  <c r="I2454" i="8"/>
  <c r="F2454" i="8"/>
  <c r="H2454" i="8"/>
  <c r="F2422" i="8"/>
  <c r="I2422" i="8"/>
  <c r="H2422" i="8"/>
  <c r="I2529" i="8"/>
  <c r="H2529" i="8"/>
  <c r="F2529" i="8"/>
  <c r="H2509" i="8"/>
  <c r="F2509" i="8"/>
  <c r="I2509" i="8"/>
  <c r="I1539" i="8"/>
  <c r="H1539" i="8"/>
  <c r="F1539" i="8"/>
  <c r="F1639" i="8"/>
  <c r="I1639" i="8"/>
  <c r="H1639" i="8"/>
  <c r="F1634" i="8"/>
  <c r="I1634" i="8"/>
  <c r="H1634" i="8"/>
  <c r="F1723" i="8"/>
  <c r="I1723" i="8"/>
  <c r="H1723" i="8"/>
  <c r="I2069" i="8"/>
  <c r="H2069" i="8"/>
  <c r="F2069" i="8"/>
  <c r="I1960" i="8"/>
  <c r="H1960" i="8"/>
  <c r="F1960" i="8"/>
  <c r="I2058" i="8"/>
  <c r="H2058" i="8"/>
  <c r="F2058" i="8"/>
  <c r="I2113" i="8"/>
  <c r="H2113" i="8"/>
  <c r="F2113" i="8"/>
  <c r="I2188" i="8"/>
  <c r="H2188" i="8"/>
  <c r="F2188" i="8"/>
  <c r="I2297" i="8"/>
  <c r="H2297" i="8"/>
  <c r="F2297" i="8"/>
  <c r="I2245" i="8"/>
  <c r="H2245" i="8"/>
  <c r="F2245" i="8"/>
  <c r="I2440" i="8"/>
  <c r="F2440" i="8"/>
  <c r="H2440" i="8"/>
  <c r="F2417" i="8"/>
  <c r="I2417" i="8"/>
  <c r="H2417" i="8"/>
  <c r="I2527" i="8"/>
  <c r="H2527" i="8"/>
  <c r="F2527" i="8"/>
  <c r="F2507" i="8"/>
  <c r="I2507" i="8"/>
  <c r="H2507" i="8"/>
  <c r="I1446" i="8"/>
  <c r="H1446" i="8"/>
  <c r="F1446" i="8"/>
  <c r="I1519" i="8"/>
  <c r="H1519" i="8"/>
  <c r="F1519" i="8"/>
  <c r="F1616" i="8"/>
  <c r="I1616" i="8"/>
  <c r="H1616" i="8"/>
  <c r="F1619" i="8"/>
  <c r="H1619" i="8"/>
  <c r="I1619" i="8"/>
  <c r="F1689" i="8"/>
  <c r="H1689" i="8"/>
  <c r="I1689" i="8"/>
  <c r="I2038" i="8"/>
  <c r="H2038" i="8"/>
  <c r="F2038" i="8"/>
  <c r="I1945" i="8"/>
  <c r="H1945" i="8"/>
  <c r="F1945" i="8"/>
  <c r="I2051" i="8"/>
  <c r="H2051" i="8"/>
  <c r="F2051" i="8"/>
  <c r="I2098" i="8"/>
  <c r="F2098" i="8"/>
  <c r="H2098" i="8"/>
  <c r="F2176" i="8"/>
  <c r="I2176" i="8"/>
  <c r="H2176" i="8"/>
  <c r="I2314" i="8"/>
  <c r="H2314" i="8"/>
  <c r="F2314" i="8"/>
  <c r="F2270" i="8"/>
  <c r="I2270" i="8"/>
  <c r="H2270" i="8"/>
  <c r="I2354" i="8"/>
  <c r="H2354" i="8"/>
  <c r="F2354" i="8"/>
  <c r="I2318" i="8"/>
  <c r="H2318" i="8"/>
  <c r="F2318" i="8"/>
  <c r="I2536" i="8"/>
  <c r="H2536" i="8"/>
  <c r="F2536" i="8"/>
  <c r="F2524" i="8"/>
  <c r="I2524" i="8"/>
  <c r="H2524" i="8"/>
  <c r="I1523" i="8"/>
  <c r="H1523" i="8"/>
  <c r="F1523" i="8"/>
  <c r="F1624" i="8"/>
  <c r="I1624" i="8"/>
  <c r="H1624" i="8"/>
  <c r="F1627" i="8"/>
  <c r="H1627" i="8"/>
  <c r="I1627" i="8"/>
  <c r="F1750" i="8"/>
  <c r="I1750" i="8"/>
  <c r="H1750" i="8"/>
  <c r="F1824" i="8"/>
  <c r="H1824" i="8"/>
  <c r="I1824" i="8"/>
  <c r="F1697" i="8"/>
  <c r="H1697" i="8"/>
  <c r="I1697" i="8"/>
  <c r="I2046" i="8"/>
  <c r="H2046" i="8"/>
  <c r="F2046" i="8"/>
  <c r="F1946" i="8"/>
  <c r="I1946" i="8"/>
  <c r="H1946" i="8"/>
  <c r="I2059" i="8"/>
  <c r="H2059" i="8"/>
  <c r="F2059" i="8"/>
  <c r="I2185" i="8"/>
  <c r="H2185" i="8"/>
  <c r="F2185" i="8"/>
  <c r="F2278" i="8"/>
  <c r="I2278" i="8"/>
  <c r="H2278" i="8"/>
  <c r="I2362" i="8"/>
  <c r="H2362" i="8"/>
  <c r="F2362" i="8"/>
  <c r="F2326" i="8"/>
  <c r="I2326" i="8"/>
  <c r="H2326" i="8"/>
  <c r="I2544" i="8"/>
  <c r="H2544" i="8"/>
  <c r="F2544" i="8"/>
  <c r="F2532" i="8"/>
  <c r="I2532" i="8"/>
  <c r="H2532" i="8"/>
  <c r="I1491" i="8"/>
  <c r="H1491" i="8"/>
  <c r="F1491" i="8"/>
  <c r="I1582" i="8"/>
  <c r="H1582" i="8"/>
  <c r="F1582" i="8"/>
  <c r="F1683" i="8"/>
  <c r="I1683" i="8"/>
  <c r="H1683" i="8"/>
  <c r="F1772" i="8"/>
  <c r="I1772" i="8"/>
  <c r="H1772" i="8"/>
  <c r="I1997" i="8"/>
  <c r="H1997" i="8"/>
  <c r="F1997" i="8"/>
  <c r="F1939" i="8"/>
  <c r="I1939" i="8"/>
  <c r="H1939" i="8"/>
  <c r="I2003" i="8"/>
  <c r="H2003" i="8"/>
  <c r="F2003" i="8"/>
  <c r="I2092" i="8"/>
  <c r="H2092" i="8"/>
  <c r="F2092" i="8"/>
  <c r="I2266" i="8"/>
  <c r="H2266" i="8"/>
  <c r="F2266" i="8"/>
  <c r="F2222" i="8"/>
  <c r="I2222" i="8"/>
  <c r="H2222" i="8"/>
  <c r="I2443" i="8"/>
  <c r="F2443" i="8"/>
  <c r="H2443" i="8"/>
  <c r="F2367" i="8"/>
  <c r="I2367" i="8"/>
  <c r="H2367" i="8"/>
  <c r="I2488" i="8"/>
  <c r="H2488" i="8"/>
  <c r="F2488" i="8"/>
  <c r="F2476" i="8"/>
  <c r="I2476" i="8"/>
  <c r="H2476" i="8"/>
  <c r="I1508" i="8"/>
  <c r="H1508" i="8"/>
  <c r="F1508" i="8"/>
  <c r="F1630" i="8"/>
  <c r="I1630" i="8"/>
  <c r="H1630" i="8"/>
  <c r="F1641" i="8"/>
  <c r="I1641" i="8"/>
  <c r="H1641" i="8"/>
  <c r="F1733" i="8"/>
  <c r="I1733" i="8"/>
  <c r="H1733" i="8"/>
  <c r="F1696" i="8"/>
  <c r="I1696" i="8"/>
  <c r="H1696" i="8"/>
  <c r="H1908" i="8"/>
  <c r="F1908" i="8"/>
  <c r="I1908" i="8"/>
  <c r="H1972" i="8"/>
  <c r="F1972" i="8"/>
  <c r="I1972" i="8"/>
  <c r="I2057" i="8"/>
  <c r="F2057" i="8"/>
  <c r="H2057" i="8"/>
  <c r="I2284" i="8"/>
  <c r="H2284" i="8"/>
  <c r="F2284" i="8"/>
  <c r="H2256" i="8"/>
  <c r="F2256" i="8"/>
  <c r="I2256" i="8"/>
  <c r="I2340" i="8"/>
  <c r="H2340" i="8"/>
  <c r="F2340" i="8"/>
  <c r="I2393" i="8"/>
  <c r="H2393" i="8"/>
  <c r="F2393" i="8"/>
  <c r="I2357" i="8"/>
  <c r="H2357" i="8"/>
  <c r="F2357" i="8"/>
  <c r="I2486" i="8"/>
  <c r="H2486" i="8"/>
  <c r="F2486" i="8"/>
  <c r="I2458" i="8"/>
  <c r="F2458" i="8"/>
  <c r="H2458" i="8"/>
  <c r="I1397" i="8"/>
  <c r="F1397" i="8"/>
  <c r="H1397" i="8"/>
  <c r="I1536" i="8"/>
  <c r="H1536" i="8"/>
  <c r="F1536" i="8"/>
  <c r="F1615" i="8"/>
  <c r="I1615" i="8"/>
  <c r="H1615" i="8"/>
  <c r="F1610" i="8"/>
  <c r="I1610" i="8"/>
  <c r="H1610" i="8"/>
  <c r="F1830" i="8"/>
  <c r="H1830" i="8"/>
  <c r="I1830" i="8"/>
  <c r="F1699" i="8"/>
  <c r="I1699" i="8"/>
  <c r="H1699" i="8"/>
  <c r="F1785" i="8"/>
  <c r="I1785" i="8"/>
  <c r="H1785" i="8"/>
  <c r="I2045" i="8"/>
  <c r="H2045" i="8"/>
  <c r="F2045" i="8"/>
  <c r="I1957" i="8"/>
  <c r="H1957" i="8"/>
  <c r="F1957" i="8"/>
  <c r="I2034" i="8"/>
  <c r="H2034" i="8"/>
  <c r="F2034" i="8"/>
  <c r="I2110" i="8"/>
  <c r="F2110" i="8"/>
  <c r="H2110" i="8"/>
  <c r="I2158" i="8"/>
  <c r="H2158" i="8"/>
  <c r="F2158" i="8"/>
  <c r="I2273" i="8"/>
  <c r="H2273" i="8"/>
  <c r="F2273" i="8"/>
  <c r="I2221" i="8"/>
  <c r="H2221" i="8"/>
  <c r="F2221" i="8"/>
  <c r="F2423" i="8"/>
  <c r="I2423" i="8"/>
  <c r="H2423" i="8"/>
  <c r="F2405" i="8"/>
  <c r="I2405" i="8"/>
  <c r="H2405" i="8"/>
  <c r="I2503" i="8"/>
  <c r="H2503" i="8"/>
  <c r="F2503" i="8"/>
  <c r="F2483" i="8"/>
  <c r="I2483" i="8"/>
  <c r="H2483" i="8"/>
  <c r="I1448" i="8"/>
  <c r="H1448" i="8"/>
  <c r="F1448" i="8"/>
  <c r="I1506" i="8"/>
  <c r="H1506" i="8"/>
  <c r="F1506" i="8"/>
  <c r="I1457" i="8"/>
  <c r="H1457" i="8"/>
  <c r="F1457" i="8"/>
  <c r="I1401" i="8"/>
  <c r="H1401" i="8"/>
  <c r="F1401" i="8"/>
  <c r="I1494" i="8"/>
  <c r="H1494" i="8"/>
  <c r="F1494" i="8"/>
  <c r="I1458" i="8"/>
  <c r="H1458" i="8"/>
  <c r="F1458" i="8"/>
  <c r="I1451" i="8"/>
  <c r="H1451" i="8"/>
  <c r="F1451" i="8"/>
  <c r="F1644" i="8"/>
  <c r="I1644" i="8"/>
  <c r="H1644" i="8"/>
  <c r="F1732" i="8"/>
  <c r="I1732" i="8"/>
  <c r="H1732" i="8"/>
  <c r="I1934" i="8"/>
  <c r="H1934" i="8"/>
  <c r="F1934" i="8"/>
  <c r="I2068" i="8"/>
  <c r="H2068" i="8"/>
  <c r="F2068" i="8"/>
  <c r="I2055" i="8"/>
  <c r="H2055" i="8"/>
  <c r="F2055" i="8"/>
  <c r="I2226" i="8"/>
  <c r="H2226" i="8"/>
  <c r="F2226" i="8"/>
  <c r="F2182" i="8"/>
  <c r="I2182" i="8"/>
  <c r="H2182" i="8"/>
  <c r="I2371" i="8"/>
  <c r="H2371" i="8"/>
  <c r="F2371" i="8"/>
  <c r="F2327" i="8"/>
  <c r="I2327" i="8"/>
  <c r="H2327" i="8"/>
  <c r="I2585" i="8"/>
  <c r="H2585" i="8"/>
  <c r="F2585" i="8"/>
  <c r="H2565" i="8"/>
  <c r="F2565" i="8"/>
  <c r="I2565" i="8"/>
  <c r="I1459" i="8"/>
  <c r="F1459" i="8"/>
  <c r="H1459" i="8"/>
  <c r="I1578" i="8"/>
  <c r="H1578" i="8"/>
  <c r="F1578" i="8"/>
  <c r="F1652" i="8"/>
  <c r="I1652" i="8"/>
  <c r="H1652" i="8"/>
  <c r="F1857" i="8"/>
  <c r="H1857" i="8"/>
  <c r="I1857" i="8"/>
  <c r="F1740" i="8"/>
  <c r="I1740" i="8"/>
  <c r="H1740" i="8"/>
  <c r="F1826" i="8"/>
  <c r="H1826" i="8"/>
  <c r="I1826" i="8"/>
  <c r="I1990" i="8"/>
  <c r="H1990" i="8"/>
  <c r="F1990" i="8"/>
  <c r="I1935" i="8"/>
  <c r="H1935" i="8"/>
  <c r="F1935" i="8"/>
  <c r="I2076" i="8"/>
  <c r="H2076" i="8"/>
  <c r="F2076" i="8"/>
  <c r="I2063" i="8"/>
  <c r="H2063" i="8"/>
  <c r="F2063" i="8"/>
  <c r="H2153" i="8"/>
  <c r="F2153" i="8"/>
  <c r="I2153" i="8"/>
  <c r="I2234" i="8"/>
  <c r="H2234" i="8"/>
  <c r="F2234" i="8"/>
  <c r="F2190" i="8"/>
  <c r="I2190" i="8"/>
  <c r="H2190" i="8"/>
  <c r="I2379" i="8"/>
  <c r="H2379" i="8"/>
  <c r="F2379" i="8"/>
  <c r="F2335" i="8"/>
  <c r="I2335" i="8"/>
  <c r="H2335" i="8"/>
  <c r="F2592" i="8"/>
  <c r="I2592" i="8"/>
  <c r="H2592" i="8"/>
  <c r="H2573" i="8"/>
  <c r="F2573" i="8"/>
  <c r="I2573" i="8"/>
  <c r="I1485" i="8"/>
  <c r="F1485" i="8"/>
  <c r="H1485" i="8"/>
  <c r="F1609" i="8"/>
  <c r="I1609" i="8"/>
  <c r="H1609" i="8"/>
  <c r="F1701" i="8"/>
  <c r="I1701" i="8"/>
  <c r="H1701" i="8"/>
  <c r="F1797" i="8"/>
  <c r="H1797" i="8"/>
  <c r="I1797" i="8"/>
  <c r="F1879" i="8"/>
  <c r="H1879" i="8"/>
  <c r="I1879" i="8"/>
  <c r="I1968" i="8"/>
  <c r="H1968" i="8"/>
  <c r="F1968" i="8"/>
  <c r="I2025" i="8"/>
  <c r="F2025" i="8"/>
  <c r="H2025" i="8"/>
  <c r="I2149" i="8"/>
  <c r="H2149" i="8"/>
  <c r="F2149" i="8"/>
  <c r="I2252" i="8"/>
  <c r="H2252" i="8"/>
  <c r="F2252" i="8"/>
  <c r="H2224" i="8"/>
  <c r="F2224" i="8"/>
  <c r="I2224" i="8"/>
  <c r="I2309" i="8"/>
  <c r="H2309" i="8"/>
  <c r="F2309" i="8"/>
  <c r="I2361" i="8"/>
  <c r="H2361" i="8"/>
  <c r="F2361" i="8"/>
  <c r="I2325" i="8"/>
  <c r="H2325" i="8"/>
  <c r="F2325" i="8"/>
  <c r="F2571" i="8"/>
  <c r="I2571" i="8"/>
  <c r="H2571" i="8"/>
  <c r="I1434" i="8"/>
  <c r="H1434" i="8"/>
  <c r="F1434" i="8"/>
  <c r="I1532" i="8"/>
  <c r="H1532" i="8"/>
  <c r="F1532" i="8"/>
  <c r="F1680" i="8"/>
  <c r="I1680" i="8"/>
  <c r="H1680" i="8"/>
  <c r="F1682" i="8"/>
  <c r="H1682" i="8"/>
  <c r="I1682" i="8"/>
  <c r="F1798" i="8"/>
  <c r="H1798" i="8"/>
  <c r="I1798" i="8"/>
  <c r="F1753" i="8"/>
  <c r="I1753" i="8"/>
  <c r="H1753" i="8"/>
  <c r="I2013" i="8"/>
  <c r="H2013" i="8"/>
  <c r="F2013" i="8"/>
  <c r="I2002" i="8"/>
  <c r="H2002" i="8"/>
  <c r="F2002" i="8"/>
  <c r="I2106" i="8"/>
  <c r="F2106" i="8"/>
  <c r="H2106" i="8"/>
  <c r="I2241" i="8"/>
  <c r="H2241" i="8"/>
  <c r="F2241" i="8"/>
  <c r="I2189" i="8"/>
  <c r="H2189" i="8"/>
  <c r="F2189" i="8"/>
  <c r="F2407" i="8"/>
  <c r="I2407" i="8"/>
  <c r="H2407" i="8"/>
  <c r="F2382" i="8"/>
  <c r="I2382" i="8"/>
  <c r="H2382" i="8"/>
  <c r="I2471" i="8"/>
  <c r="H2471" i="8"/>
  <c r="F2471" i="8"/>
  <c r="F2588" i="8"/>
  <c r="I2588" i="8"/>
  <c r="H2588" i="8"/>
  <c r="I1533" i="8"/>
  <c r="H1533" i="8"/>
  <c r="F1533" i="8"/>
  <c r="F1702" i="8"/>
  <c r="I1702" i="8"/>
  <c r="H1702" i="8"/>
  <c r="F1806" i="8"/>
  <c r="H1806" i="8"/>
  <c r="I1806" i="8"/>
  <c r="F1761" i="8"/>
  <c r="I1761" i="8"/>
  <c r="H1761" i="8"/>
  <c r="I2021" i="8"/>
  <c r="H2021" i="8"/>
  <c r="F2021" i="8"/>
  <c r="I2010" i="8"/>
  <c r="H2010" i="8"/>
  <c r="F2010" i="8"/>
  <c r="I2107" i="8"/>
  <c r="H2107" i="8"/>
  <c r="F2107" i="8"/>
  <c r="I2134" i="8"/>
  <c r="H2134" i="8"/>
  <c r="F2134" i="8"/>
  <c r="I2249" i="8"/>
  <c r="H2249" i="8"/>
  <c r="F2249" i="8"/>
  <c r="I2197" i="8"/>
  <c r="H2197" i="8"/>
  <c r="F2197" i="8"/>
  <c r="F2411" i="8"/>
  <c r="I2411" i="8"/>
  <c r="H2411" i="8"/>
  <c r="F2390" i="8"/>
  <c r="I2390" i="8"/>
  <c r="H2390" i="8"/>
  <c r="I2479" i="8"/>
  <c r="H2479" i="8"/>
  <c r="F2479" i="8"/>
  <c r="F2459" i="8"/>
  <c r="I2459" i="8"/>
  <c r="H2459" i="8"/>
  <c r="F1585" i="8"/>
  <c r="I1585" i="8"/>
  <c r="H1585" i="8"/>
  <c r="F1632" i="8"/>
  <c r="I1632" i="8"/>
  <c r="H1632" i="8"/>
  <c r="F1635" i="8"/>
  <c r="H1635" i="8"/>
  <c r="I1635" i="8"/>
  <c r="F1758" i="8"/>
  <c r="I1758" i="8"/>
  <c r="H1758" i="8"/>
  <c r="F1705" i="8"/>
  <c r="H1705" i="8"/>
  <c r="I1705" i="8"/>
  <c r="I2054" i="8"/>
  <c r="H2054" i="8"/>
  <c r="F2054" i="8"/>
  <c r="F1947" i="8"/>
  <c r="I1947" i="8"/>
  <c r="H1947" i="8"/>
  <c r="I2067" i="8"/>
  <c r="H2067" i="8"/>
  <c r="F2067" i="8"/>
  <c r="F2135" i="8"/>
  <c r="I2135" i="8"/>
  <c r="H2135" i="8"/>
  <c r="I2193" i="8"/>
  <c r="H2193" i="8"/>
  <c r="F2193" i="8"/>
  <c r="F2286" i="8"/>
  <c r="I2286" i="8"/>
  <c r="H2286" i="8"/>
  <c r="I2370" i="8"/>
  <c r="H2370" i="8"/>
  <c r="F2370" i="8"/>
  <c r="F2334" i="8"/>
  <c r="I2334" i="8"/>
  <c r="H2334" i="8"/>
  <c r="I2552" i="8"/>
  <c r="H2552" i="8"/>
  <c r="F2552" i="8"/>
  <c r="F2540" i="8"/>
  <c r="I2540" i="8"/>
  <c r="H2540" i="8"/>
  <c r="I1559" i="8"/>
  <c r="H1559" i="8"/>
  <c r="F1559" i="8"/>
  <c r="F1695" i="8"/>
  <c r="I1695" i="8"/>
  <c r="H1695" i="8"/>
  <c r="F1803" i="8"/>
  <c r="H1803" i="8"/>
  <c r="I1803" i="8"/>
  <c r="F1760" i="8"/>
  <c r="I1760" i="8"/>
  <c r="H1760" i="8"/>
  <c r="H1916" i="8"/>
  <c r="F1916" i="8"/>
  <c r="I1916" i="8"/>
  <c r="H1980" i="8"/>
  <c r="F1980" i="8"/>
  <c r="I1980" i="8"/>
  <c r="I2008" i="8"/>
  <c r="F2008" i="8"/>
  <c r="H2008" i="8"/>
  <c r="F2183" i="8"/>
  <c r="I2183" i="8"/>
  <c r="H2183" i="8"/>
  <c r="F2400" i="8"/>
  <c r="I2400" i="8"/>
  <c r="H2400" i="8"/>
  <c r="H2360" i="8"/>
  <c r="F2360" i="8"/>
  <c r="I2360" i="8"/>
  <c r="H2461" i="8"/>
  <c r="I2461" i="8"/>
  <c r="F2461" i="8"/>
  <c r="I2550" i="8"/>
  <c r="H2550" i="8"/>
  <c r="F2550" i="8"/>
  <c r="I2522" i="8"/>
  <c r="H2522" i="8"/>
  <c r="F2522" i="8"/>
  <c r="I1461" i="8"/>
  <c r="F1461" i="8"/>
  <c r="H1461" i="8"/>
  <c r="I1544" i="8"/>
  <c r="H1544" i="8"/>
  <c r="F1544" i="8"/>
  <c r="F1679" i="8"/>
  <c r="I1679" i="8"/>
  <c r="H1679" i="8"/>
  <c r="F1674" i="8"/>
  <c r="I1674" i="8"/>
  <c r="H1674" i="8"/>
  <c r="F1763" i="8"/>
  <c r="I1763" i="8"/>
  <c r="H1763" i="8"/>
  <c r="F1855" i="8"/>
  <c r="H1855" i="8"/>
  <c r="I1855" i="8"/>
  <c r="I1965" i="8"/>
  <c r="H1965" i="8"/>
  <c r="F1965" i="8"/>
  <c r="I2001" i="8"/>
  <c r="F2001" i="8"/>
  <c r="H2001" i="8"/>
  <c r="I2228" i="8"/>
  <c r="H2228" i="8"/>
  <c r="F2228" i="8"/>
  <c r="H2200" i="8"/>
  <c r="F2200" i="8"/>
  <c r="I2200" i="8"/>
  <c r="I2285" i="8"/>
  <c r="H2285" i="8"/>
  <c r="F2285" i="8"/>
  <c r="I2337" i="8"/>
  <c r="H2337" i="8"/>
  <c r="F2337" i="8"/>
  <c r="I2436" i="8"/>
  <c r="F2436" i="8"/>
  <c r="H2436" i="8"/>
  <c r="I2567" i="8"/>
  <c r="H2567" i="8"/>
  <c r="F2567" i="8"/>
  <c r="F2547" i="8"/>
  <c r="I2547" i="8"/>
  <c r="H2547" i="8"/>
  <c r="G2746" i="5"/>
  <c r="G2449" i="5"/>
  <c r="G2453" i="5"/>
  <c r="G2421" i="5"/>
  <c r="G2425" i="5"/>
  <c r="G2545" i="5"/>
  <c r="G2493" i="5"/>
  <c r="G2461" i="5"/>
  <c r="G2417" i="5"/>
  <c r="G2497" i="5"/>
  <c r="G2501" i="5"/>
  <c r="G2465" i="5"/>
  <c r="G2469" i="5"/>
  <c r="G2541" i="5"/>
  <c r="G2457" i="5"/>
  <c r="G2413" i="5"/>
  <c r="G2517" i="5"/>
  <c r="G2485" i="5"/>
  <c r="G2445" i="5"/>
  <c r="G2521" i="5"/>
  <c r="G2489" i="5"/>
  <c r="G2401" i="5"/>
  <c r="G2481" i="5"/>
  <c r="G2441" i="5"/>
  <c r="G2537" i="5"/>
  <c r="G2509" i="5"/>
  <c r="G2477" i="5"/>
  <c r="G2405" i="5"/>
  <c r="G2513" i="5"/>
  <c r="G2505" i="5"/>
  <c r="G2553" i="5"/>
  <c r="G2533" i="5"/>
  <c r="G2653" i="5"/>
  <c r="G2473" i="5"/>
  <c r="G2645" i="5"/>
  <c r="G2429" i="5"/>
  <c r="G2549" i="5"/>
  <c r="G2529" i="5"/>
  <c r="G2433" i="5"/>
  <c r="G2525" i="5"/>
  <c r="H1349" i="8"/>
  <c r="I1349" i="8" s="1"/>
  <c r="F1350" i="8"/>
  <c r="H1350" i="8"/>
  <c r="I1350" i="8" s="1"/>
  <c r="G5136" i="5"/>
  <c r="G5129" i="5"/>
  <c r="G5130" i="5"/>
  <c r="G5135" i="5"/>
  <c r="G5107" i="5"/>
  <c r="G5109" i="5"/>
  <c r="G5110" i="5"/>
  <c r="G5108" i="5"/>
  <c r="F195" i="6"/>
  <c r="G4031" i="5"/>
  <c r="G3594" i="5"/>
  <c r="G266" i="5"/>
  <c r="G619" i="5"/>
  <c r="G618" i="5"/>
  <c r="G4030" i="5"/>
  <c r="G3595" i="5"/>
  <c r="G3566" i="5"/>
  <c r="F115" i="6"/>
  <c r="G617" i="5"/>
  <c r="G717" i="5"/>
  <c r="G4936" i="5"/>
  <c r="G719" i="5"/>
  <c r="G4907" i="5"/>
  <c r="G4891" i="5"/>
  <c r="G4630" i="5"/>
  <c r="G4853" i="5"/>
  <c r="G5054" i="5"/>
  <c r="G5095" i="5"/>
  <c r="G4678" i="5"/>
  <c r="G4807" i="5"/>
  <c r="G3734" i="5"/>
  <c r="G4890" i="5"/>
  <c r="G4977" i="5"/>
  <c r="G4817" i="5"/>
  <c r="G2246" i="5"/>
  <c r="G5088" i="5"/>
  <c r="G4745" i="5"/>
  <c r="G4924" i="5"/>
  <c r="G5056" i="5"/>
  <c r="G4841" i="5"/>
  <c r="G4969" i="5"/>
  <c r="G4752" i="5"/>
  <c r="G1332" i="5"/>
  <c r="G5021" i="5"/>
  <c r="G4766" i="5"/>
  <c r="G2269" i="5"/>
  <c r="G5117" i="5"/>
  <c r="G4818" i="5"/>
  <c r="G4954" i="5"/>
  <c r="G2258" i="5"/>
  <c r="G4636" i="5"/>
  <c r="G5042" i="5"/>
  <c r="G710" i="5"/>
  <c r="G678" i="5"/>
  <c r="G4966" i="5"/>
  <c r="G716" i="5"/>
  <c r="G4883" i="5"/>
  <c r="G5063" i="5"/>
  <c r="G4822" i="5"/>
  <c r="G4897" i="5"/>
  <c r="G4744" i="5"/>
  <c r="G4686" i="5"/>
  <c r="G5048" i="5"/>
  <c r="G4627" i="5"/>
  <c r="G4811" i="5"/>
  <c r="G4848" i="5"/>
  <c r="G2292" i="5"/>
  <c r="G4693" i="5"/>
  <c r="G1326" i="5"/>
  <c r="G4970" i="5"/>
  <c r="G4862" i="5"/>
  <c r="G4786" i="5"/>
  <c r="G2259" i="5"/>
  <c r="G5071" i="5"/>
  <c r="G4632" i="5"/>
  <c r="G4884" i="5"/>
  <c r="G5006" i="5"/>
  <c r="G4759" i="5"/>
  <c r="G4913" i="5"/>
  <c r="G5045" i="5"/>
  <c r="G4799" i="5"/>
  <c r="G5100" i="5"/>
  <c r="G4641" i="5"/>
  <c r="G4840" i="5"/>
  <c r="G4976" i="5"/>
  <c r="G707" i="5"/>
  <c r="G681" i="5"/>
  <c r="G2288" i="5"/>
  <c r="G4804" i="5"/>
  <c r="G2243" i="5"/>
  <c r="G4990" i="5"/>
  <c r="G5044" i="5"/>
  <c r="G4943" i="5"/>
  <c r="G4856" i="5"/>
  <c r="G4952" i="5"/>
  <c r="G4717" i="5"/>
  <c r="G4930" i="5"/>
  <c r="G5037" i="5"/>
  <c r="G4885" i="5"/>
  <c r="G4985" i="5"/>
  <c r="G4800" i="5"/>
  <c r="G2272" i="5"/>
  <c r="G5083" i="5"/>
  <c r="G711" i="5"/>
  <c r="G4905" i="5"/>
  <c r="G5022" i="5"/>
  <c r="G4793" i="5"/>
  <c r="G2300" i="5"/>
  <c r="G5123" i="5"/>
  <c r="G4824" i="5"/>
  <c r="G4944" i="5"/>
  <c r="G4651" i="5"/>
  <c r="G4889" i="5"/>
  <c r="G4986" i="5"/>
  <c r="G5053" i="5"/>
  <c r="G4860" i="5"/>
  <c r="G709" i="5"/>
  <c r="G4729" i="5"/>
  <c r="G3733" i="5"/>
  <c r="G2298" i="5"/>
  <c r="G5096" i="5"/>
  <c r="G4736" i="5"/>
  <c r="G4828" i="5"/>
  <c r="G4935" i="5"/>
  <c r="G4834" i="5"/>
  <c r="G5069" i="5"/>
  <c r="G4870" i="5"/>
  <c r="G4882" i="5"/>
  <c r="G4929" i="5"/>
  <c r="G4637" i="5"/>
  <c r="G4656" i="5"/>
  <c r="G4903" i="5"/>
  <c r="G4992" i="5"/>
  <c r="G4767" i="5"/>
  <c r="G2279" i="5"/>
  <c r="G5064" i="5"/>
  <c r="G4646" i="5"/>
  <c r="G4904" i="5"/>
  <c r="G5000" i="5"/>
  <c r="G4812" i="5"/>
  <c r="G4960" i="5"/>
  <c r="G4701" i="5"/>
  <c r="G1331" i="5"/>
  <c r="G5046" i="5"/>
  <c r="G4823" i="5"/>
  <c r="G4855" i="5"/>
  <c r="G4999" i="5"/>
  <c r="G720" i="5"/>
  <c r="G4669" i="5"/>
  <c r="G4918" i="5"/>
  <c r="G5029" i="5"/>
  <c r="G682" i="5"/>
  <c r="G5004" i="5"/>
  <c r="G5043" i="5"/>
  <c r="G4640" i="5"/>
  <c r="G4950" i="5"/>
  <c r="G5052" i="5"/>
  <c r="G4626" i="5"/>
  <c r="G4685" i="5"/>
  <c r="G4919" i="5"/>
  <c r="G4984" i="5"/>
  <c r="G4806" i="5"/>
  <c r="G2290" i="5"/>
  <c r="G5090" i="5"/>
  <c r="G684" i="5"/>
  <c r="G1325" i="5"/>
  <c r="G5007" i="5"/>
  <c r="G4861" i="5"/>
  <c r="G4978" i="5"/>
  <c r="G4753" i="5"/>
  <c r="G4937" i="5"/>
  <c r="G5057" i="5"/>
  <c r="G4842" i="5"/>
  <c r="G4945" i="5"/>
  <c r="G721" i="5"/>
  <c r="G4642" i="5"/>
  <c r="G4872" i="5"/>
  <c r="G4993" i="5"/>
  <c r="G4738" i="5"/>
  <c r="G4931" i="5"/>
  <c r="G5047" i="5"/>
  <c r="G5062" i="5"/>
  <c r="G706" i="5"/>
  <c r="G4942" i="5"/>
  <c r="G2278" i="5"/>
  <c r="G4750" i="5"/>
  <c r="G4816" i="5"/>
  <c r="G4728" i="5"/>
  <c r="G4662" i="5"/>
  <c r="G5058" i="5"/>
  <c r="G4694" i="5"/>
  <c r="G4764" i="5"/>
  <c r="G4974" i="5"/>
  <c r="G5034" i="5"/>
  <c r="G4982" i="5"/>
  <c r="G4718" i="5"/>
  <c r="G5018" i="5"/>
  <c r="G4739" i="5"/>
  <c r="G4925" i="5"/>
  <c r="G5030" i="5"/>
  <c r="G4830" i="5"/>
  <c r="G4677" i="5"/>
  <c r="G4938" i="5"/>
  <c r="G5038" i="5"/>
  <c r="G4871" i="5"/>
  <c r="G5008" i="5"/>
  <c r="G4785" i="5"/>
  <c r="G2280" i="5"/>
  <c r="G5116" i="5"/>
  <c r="G4631" i="5"/>
  <c r="G4866" i="5"/>
  <c r="G4994" i="5"/>
  <c r="G4709" i="5"/>
  <c r="G4899" i="5"/>
  <c r="G5013" i="5"/>
  <c r="G4760" i="5"/>
  <c r="G2289" i="5"/>
  <c r="G5078" i="5"/>
  <c r="G4854" i="5"/>
  <c r="G2268" i="5"/>
  <c r="G4757" i="5"/>
  <c r="G4876" i="5"/>
  <c r="G5026" i="5"/>
  <c r="G4727" i="5"/>
  <c r="G4702" i="5"/>
  <c r="G4771" i="5"/>
  <c r="G4778" i="5"/>
  <c r="G2260" i="5"/>
  <c r="G5065" i="5"/>
  <c r="G4847" i="5"/>
  <c r="G4773" i="5"/>
  <c r="G2299" i="5"/>
  <c r="G5055" i="5"/>
  <c r="G712" i="5"/>
  <c r="G4906" i="5"/>
  <c r="G5020" i="5"/>
  <c r="G4836" i="5"/>
  <c r="G2262" i="5"/>
  <c r="G4661" i="5"/>
  <c r="G4878" i="5"/>
  <c r="G4968" i="5"/>
  <c r="G4731" i="5"/>
  <c r="G1337" i="5"/>
  <c r="G5028" i="5"/>
  <c r="G4774" i="5"/>
  <c r="G2282" i="5"/>
  <c r="G4791" i="5"/>
  <c r="G718" i="5"/>
  <c r="G679" i="5"/>
  <c r="G4790" i="5"/>
  <c r="G4710" i="5"/>
  <c r="G4670" i="5"/>
  <c r="G5115" i="5"/>
  <c r="G4949" i="5"/>
  <c r="G4737" i="5"/>
  <c r="G5121" i="5"/>
  <c r="G4797" i="5"/>
  <c r="G4829" i="5"/>
  <c r="G2270" i="5"/>
  <c r="G5084" i="5"/>
  <c r="G4877" i="5"/>
  <c r="G4951" i="5"/>
  <c r="G4792" i="5"/>
  <c r="G5072" i="5"/>
  <c r="G683" i="5"/>
  <c r="G1338" i="5"/>
  <c r="G5036" i="5"/>
  <c r="G4835" i="5"/>
  <c r="G4961" i="5"/>
  <c r="G4730" i="5"/>
  <c r="G4898" i="5"/>
  <c r="G5014" i="5"/>
  <c r="G4746" i="5"/>
  <c r="G4912" i="5"/>
  <c r="G5077" i="5"/>
  <c r="G4843" i="5"/>
  <c r="G2302" i="5"/>
  <c r="F18" i="6"/>
  <c r="F210" i="6"/>
  <c r="F128" i="6"/>
  <c r="F230" i="6"/>
  <c r="F205" i="6"/>
  <c r="G205" i="6" s="1"/>
  <c r="F122" i="6"/>
  <c r="F82" i="6"/>
  <c r="F44" i="6"/>
  <c r="F140" i="6"/>
  <c r="F134" i="6"/>
  <c r="F127" i="6"/>
  <c r="F300" i="6"/>
  <c r="I1302" i="8"/>
  <c r="H1302" i="8"/>
  <c r="F1302" i="8"/>
  <c r="I1342" i="8"/>
  <c r="H1342" i="8"/>
  <c r="F1342" i="8"/>
  <c r="H1312" i="8"/>
  <c r="F1312" i="8"/>
  <c r="I1312" i="8"/>
  <c r="I1313" i="8"/>
  <c r="H1313" i="8"/>
  <c r="F1313" i="8"/>
  <c r="F1303" i="8"/>
  <c r="I1303" i="8"/>
  <c r="H1303" i="8"/>
  <c r="F1311" i="8"/>
  <c r="I1311" i="8"/>
  <c r="H1311" i="8"/>
  <c r="I1325" i="8"/>
  <c r="H1325" i="8"/>
  <c r="F1325" i="8"/>
  <c r="H1304" i="8"/>
  <c r="F1304" i="8"/>
  <c r="I1304" i="8"/>
  <c r="I1309" i="8"/>
  <c r="H1309" i="8"/>
  <c r="F1309" i="8"/>
  <c r="F1343" i="8"/>
  <c r="I1343" i="8"/>
  <c r="H1343" i="8"/>
  <c r="I1306" i="8"/>
  <c r="H1306" i="8"/>
  <c r="F1306" i="8"/>
  <c r="I1326" i="8"/>
  <c r="H1326" i="8"/>
  <c r="F1326" i="8"/>
  <c r="F1307" i="8"/>
  <c r="I1307" i="8"/>
  <c r="H1307" i="8"/>
  <c r="F1327" i="8"/>
  <c r="I1327" i="8"/>
  <c r="H1327" i="8"/>
  <c r="I1314" i="8"/>
  <c r="H1314" i="8"/>
  <c r="F1314" i="8"/>
  <c r="F1335" i="8"/>
  <c r="I1335" i="8"/>
  <c r="H1335" i="8"/>
  <c r="I1305" i="8"/>
  <c r="H1305" i="8"/>
  <c r="F1305" i="8"/>
  <c r="H1308" i="8"/>
  <c r="F1308" i="8"/>
  <c r="I1308" i="8"/>
  <c r="I1329" i="8"/>
  <c r="H1329" i="8"/>
  <c r="F1329" i="8"/>
  <c r="I1310" i="8"/>
  <c r="H1310" i="8"/>
  <c r="F1310" i="8"/>
  <c r="H1328" i="8"/>
  <c r="F1328" i="8"/>
  <c r="I1328" i="8"/>
  <c r="G3571" i="5"/>
  <c r="G1029" i="5"/>
  <c r="G4610" i="5"/>
  <c r="G4395" i="5"/>
  <c r="G3967" i="5"/>
  <c r="G444" i="5"/>
  <c r="G2232" i="5"/>
  <c r="G3973" i="5"/>
  <c r="G2964" i="5"/>
  <c r="G1920" i="5"/>
  <c r="G4342" i="5"/>
  <c r="G3392" i="5"/>
  <c r="G4346" i="5"/>
  <c r="G3353" i="5"/>
  <c r="G3469" i="5"/>
  <c r="G2785" i="5"/>
  <c r="G1214" i="5"/>
  <c r="G4615" i="5"/>
  <c r="G4614" i="5"/>
  <c r="G1310" i="5"/>
  <c r="G3344" i="5"/>
  <c r="G1311" i="5"/>
  <c r="G151" i="5"/>
  <c r="G1741" i="5"/>
  <c r="G2755" i="5"/>
  <c r="G2750" i="5"/>
  <c r="G2756" i="5"/>
  <c r="G2751" i="5"/>
  <c r="G438" i="5"/>
  <c r="G932" i="5"/>
  <c r="G399" i="5"/>
  <c r="G3040" i="5"/>
  <c r="G1151" i="5"/>
  <c r="G3320" i="5"/>
  <c r="G1194" i="5"/>
  <c r="G625" i="5"/>
  <c r="G4440" i="5"/>
  <c r="G4078" i="5"/>
  <c r="F755" i="8"/>
  <c r="H755" i="8"/>
  <c r="I755" i="8"/>
  <c r="F703" i="8"/>
  <c r="H703" i="8"/>
  <c r="I703" i="8"/>
  <c r="F727" i="8"/>
  <c r="H727" i="8"/>
  <c r="I727" i="8"/>
  <c r="F747" i="8"/>
  <c r="H747" i="8"/>
  <c r="I747" i="8"/>
  <c r="F723" i="8"/>
  <c r="H723" i="8"/>
  <c r="I723" i="8"/>
  <c r="F699" i="8"/>
  <c r="H699" i="8"/>
  <c r="I699" i="8"/>
  <c r="F751" i="8"/>
  <c r="H751" i="8"/>
  <c r="I751" i="8"/>
  <c r="F695" i="8"/>
  <c r="H695" i="8"/>
  <c r="I695" i="8"/>
  <c r="I1167" i="8"/>
  <c r="F1167" i="8"/>
  <c r="H1167" i="8"/>
  <c r="I1236" i="8"/>
  <c r="F1236" i="8"/>
  <c r="H1236" i="8"/>
  <c r="I1197" i="8"/>
  <c r="F1197" i="8"/>
  <c r="H1197" i="8"/>
  <c r="F779" i="8"/>
  <c r="H779" i="8"/>
  <c r="I779" i="8"/>
  <c r="I1189" i="8"/>
  <c r="F1189" i="8"/>
  <c r="H1189" i="8"/>
  <c r="F797" i="8"/>
  <c r="H797" i="8"/>
  <c r="I797" i="8"/>
  <c r="H1013" i="8"/>
  <c r="I1013" i="8"/>
  <c r="F1013" i="8"/>
  <c r="F789" i="8"/>
  <c r="H789" i="8"/>
  <c r="I789" i="8"/>
  <c r="F775" i="8"/>
  <c r="H775" i="8"/>
  <c r="I775" i="8"/>
  <c r="F743" i="8"/>
  <c r="H743" i="8"/>
  <c r="I743" i="8"/>
  <c r="F691" i="8"/>
  <c r="H691" i="8"/>
  <c r="I691" i="8"/>
  <c r="F707" i="8"/>
  <c r="H707" i="8"/>
  <c r="I707" i="8"/>
  <c r="F731" i="8"/>
  <c r="H731" i="8"/>
  <c r="I731" i="8"/>
  <c r="F763" i="8"/>
  <c r="I763" i="8"/>
  <c r="H763" i="8"/>
  <c r="F739" i="8"/>
  <c r="H739" i="8"/>
  <c r="I739" i="8"/>
  <c r="F711" i="8"/>
  <c r="H711" i="8"/>
  <c r="I711" i="8"/>
  <c r="H1005" i="8"/>
  <c r="I1005" i="8"/>
  <c r="F1005" i="8"/>
  <c r="H1055" i="8"/>
  <c r="I1055" i="8"/>
  <c r="F1055" i="8"/>
  <c r="F1150" i="8"/>
  <c r="I1150" i="8"/>
  <c r="H1150" i="8"/>
  <c r="H1039" i="8"/>
  <c r="I1039" i="8"/>
  <c r="F1039" i="8"/>
  <c r="H1023" i="8"/>
  <c r="I1023" i="8"/>
  <c r="F1023" i="8"/>
  <c r="F771" i="8"/>
  <c r="H771" i="8"/>
  <c r="I771" i="8"/>
  <c r="F837" i="8"/>
  <c r="H837" i="8"/>
  <c r="I837" i="8"/>
  <c r="I1212" i="8"/>
  <c r="F1212" i="8"/>
  <c r="H1212" i="8"/>
  <c r="F829" i="8"/>
  <c r="H829" i="8"/>
  <c r="I829" i="8"/>
  <c r="I1220" i="8"/>
  <c r="F1220" i="8"/>
  <c r="H1220" i="8"/>
  <c r="I1228" i="8"/>
  <c r="F1228" i="8"/>
  <c r="H1228" i="8"/>
  <c r="G1256" i="5"/>
  <c r="G905" i="5"/>
  <c r="G1659" i="5"/>
  <c r="G4111" i="5"/>
  <c r="G4275" i="5"/>
  <c r="G1519" i="5"/>
  <c r="G2870" i="5"/>
  <c r="G3032" i="5"/>
  <c r="G2133" i="5"/>
  <c r="G3979" i="5"/>
  <c r="G4504" i="5"/>
  <c r="G3509" i="5"/>
  <c r="G1387" i="5"/>
  <c r="G1872" i="5"/>
  <c r="F28" i="7"/>
  <c r="F146" i="6"/>
  <c r="F231" i="6"/>
  <c r="F121" i="6"/>
  <c r="F159" i="6"/>
  <c r="F34" i="6"/>
  <c r="F90" i="6"/>
  <c r="F67" i="6"/>
  <c r="F330" i="6"/>
  <c r="F329" i="6"/>
  <c r="F259" i="6"/>
  <c r="F25" i="6"/>
  <c r="F160" i="6"/>
  <c r="F116" i="6"/>
  <c r="F53" i="6"/>
  <c r="F316" i="6"/>
  <c r="F152" i="6"/>
  <c r="F190" i="6"/>
  <c r="F66" i="6"/>
  <c r="F271" i="6"/>
  <c r="F33" i="6"/>
  <c r="F196" i="6"/>
  <c r="F172" i="6"/>
  <c r="F209" i="6"/>
  <c r="F301" i="6"/>
  <c r="F184" i="6"/>
  <c r="F315" i="6"/>
  <c r="F109" i="6"/>
  <c r="F244" i="6"/>
  <c r="F133" i="6"/>
  <c r="F308" i="6"/>
  <c r="F307" i="6"/>
  <c r="F43" i="6"/>
  <c r="F189" i="6"/>
  <c r="F110" i="6"/>
  <c r="F201" i="6"/>
  <c r="F211" i="6"/>
  <c r="F19" i="6"/>
  <c r="F100" i="6"/>
  <c r="G2138" i="5"/>
  <c r="G3835" i="5"/>
  <c r="G347" i="5"/>
  <c r="G2657" i="5"/>
  <c r="G2886" i="5"/>
  <c r="G1511" i="5"/>
  <c r="G3563" i="5"/>
  <c r="G4538" i="5"/>
  <c r="G1824" i="5"/>
  <c r="G4362" i="5"/>
  <c r="G3894" i="5"/>
  <c r="G2817" i="5"/>
  <c r="G4622" i="5"/>
  <c r="G1849" i="5"/>
  <c r="G1405" i="5"/>
  <c r="G2802" i="5"/>
  <c r="G3534" i="5"/>
  <c r="G412" i="5"/>
  <c r="G1006" i="5"/>
  <c r="G1648" i="5"/>
  <c r="G2084" i="5"/>
  <c r="G3183" i="5"/>
  <c r="G280" i="5"/>
  <c r="G591" i="5"/>
  <c r="G1187" i="5"/>
  <c r="G1890" i="5"/>
  <c r="G2127" i="5"/>
  <c r="G89" i="5"/>
  <c r="G1091" i="5"/>
  <c r="G1580" i="5"/>
  <c r="G2001" i="5"/>
  <c r="G185" i="5"/>
  <c r="G727" i="5"/>
  <c r="G1296" i="5"/>
  <c r="G1873" i="5"/>
  <c r="G3231" i="5"/>
  <c r="G3875" i="5"/>
  <c r="G4282" i="5"/>
  <c r="G4368" i="5"/>
  <c r="G61" i="5"/>
  <c r="G147" i="5"/>
  <c r="G354" i="5"/>
  <c r="G611" i="5"/>
  <c r="G1092" i="5"/>
  <c r="G1551" i="5"/>
  <c r="G1685" i="5"/>
  <c r="G1902" i="5"/>
  <c r="G2221" i="5"/>
  <c r="G2347" i="5"/>
  <c r="G2919" i="5"/>
  <c r="G3326" i="5"/>
  <c r="G3555" i="5"/>
  <c r="G80" i="5"/>
  <c r="G1060" i="5"/>
  <c r="G1166" i="5"/>
  <c r="G1374" i="5"/>
  <c r="G1536" i="5"/>
  <c r="G1813" i="5"/>
  <c r="G1969" i="5"/>
  <c r="G2115" i="5"/>
  <c r="G2376" i="5"/>
  <c r="G2775" i="5"/>
  <c r="G564" i="5"/>
  <c r="G1290" i="5"/>
  <c r="G1686" i="5"/>
  <c r="G1994" i="5"/>
  <c r="G3096" i="5"/>
  <c r="G534" i="5"/>
  <c r="G212" i="5"/>
  <c r="G584" i="5"/>
  <c r="G812" i="5"/>
  <c r="G953" i="5"/>
  <c r="G1268" i="5"/>
  <c r="G1558" i="5"/>
  <c r="G1719" i="5"/>
  <c r="G1861" i="5"/>
  <c r="G1970" i="5"/>
  <c r="G2226" i="5"/>
  <c r="G2945" i="5"/>
  <c r="G3152" i="5"/>
  <c r="G3486" i="5"/>
  <c r="G3813" i="5"/>
  <c r="G4053" i="5"/>
  <c r="G4230" i="5"/>
  <c r="G4429" i="5"/>
  <c r="G3836" i="5"/>
  <c r="G3807" i="5"/>
  <c r="G4195" i="5"/>
  <c r="G4611" i="5"/>
  <c r="G3678" i="5"/>
  <c r="G3752" i="5"/>
  <c r="G4264" i="5"/>
  <c r="G137" i="5"/>
  <c r="G508" i="5"/>
  <c r="G931" i="5"/>
  <c r="G1100" i="5"/>
  <c r="G1291" i="5"/>
  <c r="G1765" i="5"/>
  <c r="G1855" i="5"/>
  <c r="G1963" i="5"/>
  <c r="G2330" i="5"/>
  <c r="G2770" i="5"/>
  <c r="G3291" i="5"/>
  <c r="G3426" i="5"/>
  <c r="G67" i="5"/>
  <c r="G368" i="5"/>
  <c r="G437" i="5"/>
  <c r="G733" i="5"/>
  <c r="G870" i="5"/>
  <c r="G1011" i="5"/>
  <c r="G1120" i="5"/>
  <c r="G1269" i="5"/>
  <c r="G1653" i="5"/>
  <c r="G1866" i="5"/>
  <c r="G1930" i="5"/>
  <c r="G2092" i="5"/>
  <c r="G2208" i="5"/>
  <c r="G2311" i="5"/>
  <c r="G2954" i="5"/>
  <c r="G3153" i="5"/>
  <c r="G3312" i="5"/>
  <c r="G3542" i="5"/>
  <c r="G473" i="5"/>
  <c r="G1053" i="5"/>
  <c r="G1306" i="5"/>
  <c r="G1520" i="5"/>
  <c r="G1630" i="5"/>
  <c r="G1792" i="5"/>
  <c r="G2091" i="5"/>
  <c r="G2336" i="5"/>
  <c r="G2391" i="5"/>
  <c r="G2979" i="5"/>
  <c r="G3182" i="5"/>
  <c r="G3522" i="5"/>
  <c r="G57" i="5"/>
  <c r="G195" i="5"/>
  <c r="G726" i="5"/>
  <c r="G1566" i="5"/>
  <c r="G1753" i="5"/>
  <c r="G2854" i="5"/>
  <c r="G3025" i="5"/>
  <c r="G3285" i="5"/>
  <c r="G3355" i="5"/>
  <c r="G3444" i="5"/>
  <c r="G3453" i="5"/>
  <c r="G3664" i="5"/>
  <c r="G4313" i="5"/>
  <c r="G4562" i="5"/>
  <c r="G3751" i="5"/>
  <c r="G3924" i="5"/>
  <c r="G4172" i="5"/>
  <c r="G4320" i="5"/>
  <c r="G4470" i="5"/>
  <c r="G4248" i="5"/>
  <c r="G4568" i="5"/>
  <c r="G3713" i="5"/>
  <c r="G4084" i="5"/>
  <c r="G4369" i="5"/>
  <c r="G4531" i="5"/>
  <c r="G157" i="5"/>
  <c r="G377" i="5"/>
  <c r="G501" i="5"/>
  <c r="G952" i="5"/>
  <c r="G1001" i="5"/>
  <c r="G1145" i="5"/>
  <c r="G1674" i="5"/>
  <c r="G1818" i="5"/>
  <c r="G1929" i="5"/>
  <c r="G2120" i="5"/>
  <c r="G2323" i="5"/>
  <c r="G2832" i="5"/>
  <c r="G3109" i="5"/>
  <c r="G3487" i="5"/>
  <c r="G164" i="5"/>
  <c r="G432" i="5"/>
  <c r="G1342" i="5"/>
  <c r="G1693" i="5"/>
  <c r="G2009" i="5"/>
  <c r="G2395" i="5"/>
  <c r="G3224" i="5"/>
  <c r="G467" i="5"/>
  <c r="G960" i="5"/>
  <c r="G1109" i="5"/>
  <c r="G1276" i="5"/>
  <c r="G1495" i="5"/>
  <c r="G1814" i="5"/>
  <c r="G2121" i="5"/>
  <c r="G2346" i="5"/>
  <c r="G2946" i="5"/>
  <c r="G3139" i="5"/>
  <c r="G3251" i="5"/>
  <c r="G3551" i="5"/>
  <c r="G502" i="5"/>
  <c r="G94" i="5"/>
  <c r="G485" i="5"/>
  <c r="G672" i="5"/>
  <c r="G1838" i="5"/>
  <c r="G2693" i="5"/>
  <c r="G3085" i="5"/>
  <c r="G3378" i="5"/>
  <c r="G3852" i="5"/>
  <c r="G4028" i="5"/>
  <c r="G3893" i="5"/>
  <c r="G4240" i="5"/>
  <c r="G4330" i="5"/>
  <c r="G4496" i="5"/>
  <c r="G4400" i="5"/>
  <c r="G3868" i="5"/>
  <c r="G4367" i="5"/>
  <c r="G4546" i="5"/>
  <c r="G141" i="5"/>
  <c r="G226" i="5"/>
  <c r="G837" i="5"/>
  <c r="G1052" i="5"/>
  <c r="G1277" i="5"/>
  <c r="G2145" i="5"/>
  <c r="G2969" i="5"/>
  <c r="G3305" i="5"/>
  <c r="G74" i="5"/>
  <c r="G156" i="5"/>
  <c r="G700" i="5"/>
  <c r="G889" i="5"/>
  <c r="G1228" i="5"/>
  <c r="G1466" i="5"/>
  <c r="G1778" i="5"/>
  <c r="G2044" i="5"/>
  <c r="G2729" i="5"/>
  <c r="G2994" i="5"/>
  <c r="G3379" i="5"/>
  <c r="G217" i="5"/>
  <c r="G633" i="5"/>
  <c r="G974" i="5"/>
  <c r="G1680" i="5"/>
  <c r="G2839" i="5"/>
  <c r="G3157" i="5"/>
  <c r="G3362" i="5"/>
  <c r="G44" i="5"/>
  <c r="G474" i="5"/>
  <c r="G311" i="5"/>
  <c r="G1635" i="5"/>
  <c r="G1771" i="5"/>
  <c r="G2844" i="5"/>
  <c r="G3075" i="5"/>
  <c r="G3327" i="5"/>
  <c r="G3368" i="5"/>
  <c r="G3535" i="5"/>
  <c r="G3808" i="5"/>
  <c r="G4054" i="5"/>
  <c r="G4083" i="5"/>
  <c r="G4336" i="5"/>
  <c r="G4265" i="5"/>
  <c r="G3572" i="5"/>
  <c r="G4132" i="5"/>
  <c r="G3688" i="5"/>
  <c r="G3814" i="5"/>
  <c r="G4258" i="5"/>
  <c r="G3994" i="5"/>
  <c r="G4095" i="5"/>
  <c r="G4321" i="5"/>
  <c r="G194" i="5"/>
  <c r="G610" i="5"/>
  <c r="G1138" i="5"/>
  <c r="G1362" i="5"/>
  <c r="G1573" i="5"/>
  <c r="G2002" i="5"/>
  <c r="G2162" i="5"/>
  <c r="G2335" i="5"/>
  <c r="G2735" i="5"/>
  <c r="G2862" i="5"/>
  <c r="G3319" i="5"/>
  <c r="G3443" i="5"/>
  <c r="G168" i="5"/>
  <c r="G459" i="5"/>
  <c r="G753" i="5"/>
  <c r="G922" i="5"/>
  <c r="G1045" i="5"/>
  <c r="G1884" i="5"/>
  <c r="G1957" i="5"/>
  <c r="G2132" i="5"/>
  <c r="G2227" i="5"/>
  <c r="G2371" i="5"/>
  <c r="G2760" i="5"/>
  <c r="G3020" i="5"/>
  <c r="G3230" i="5"/>
  <c r="G3550" i="5"/>
  <c r="G853" i="5"/>
  <c r="G1066" i="5"/>
  <c r="G1249" i="5"/>
  <c r="G1356" i="5"/>
  <c r="G1543" i="5"/>
  <c r="G1701" i="5"/>
  <c r="G1819" i="5"/>
  <c r="G1935" i="5"/>
  <c r="G2154" i="5"/>
  <c r="G2342" i="5"/>
  <c r="G3102" i="5"/>
  <c r="G3189" i="5"/>
  <c r="G3556" i="5"/>
  <c r="G75" i="5"/>
  <c r="G243" i="5"/>
  <c r="G947" i="5"/>
  <c r="G1208" i="5"/>
  <c r="G1612" i="5"/>
  <c r="G1779" i="5"/>
  <c r="G1956" i="5"/>
  <c r="G2153" i="5"/>
  <c r="G2382" i="5"/>
  <c r="G2899" i="5"/>
  <c r="G3299" i="5"/>
  <c r="G3374" i="5"/>
  <c r="G3820" i="5"/>
  <c r="G4002" i="5"/>
  <c r="G4419" i="5"/>
  <c r="G3794" i="5"/>
  <c r="G3952" i="5"/>
  <c r="G4184" i="5"/>
  <c r="G4394" i="5"/>
  <c r="G3898" i="5"/>
  <c r="G4003" i="5"/>
  <c r="G4294" i="5"/>
  <c r="G4580" i="5"/>
  <c r="G3860" i="5"/>
  <c r="G4461" i="5"/>
  <c r="G181" i="5"/>
  <c r="G398" i="5"/>
  <c r="G533" i="5"/>
  <c r="G802" i="5"/>
  <c r="G1073" i="5"/>
  <c r="G1229" i="5"/>
  <c r="G1343" i="5"/>
  <c r="G1772" i="5"/>
  <c r="G1837" i="5"/>
  <c r="G1985" i="5"/>
  <c r="G2201" i="5"/>
  <c r="G2341" i="5"/>
  <c r="G3194" i="5"/>
  <c r="G3615" i="5"/>
  <c r="G378" i="5"/>
  <c r="G208" i="5"/>
  <c r="G334" i="5"/>
  <c r="G458" i="5"/>
  <c r="G732" i="5"/>
  <c r="G1010" i="5"/>
  <c r="G1436" i="5"/>
  <c r="G1705" i="5"/>
  <c r="G2240" i="5"/>
  <c r="G3147" i="5"/>
  <c r="G3238" i="5"/>
  <c r="G3480" i="5"/>
  <c r="G978" i="5"/>
  <c r="G1125" i="5"/>
  <c r="G1355" i="5"/>
  <c r="G1647" i="5"/>
  <c r="G1829" i="5"/>
  <c r="G2146" i="5"/>
  <c r="G2699" i="5"/>
  <c r="G2999" i="5"/>
  <c r="G3195" i="5"/>
  <c r="G3258" i="5"/>
  <c r="G3384" i="5"/>
  <c r="G558" i="5"/>
  <c r="G109" i="5"/>
  <c r="G513" i="5"/>
  <c r="G740" i="5"/>
  <c r="G901" i="5"/>
  <c r="G1435" i="5"/>
  <c r="G1843" i="5"/>
  <c r="G2178" i="5"/>
  <c r="G2318" i="5"/>
  <c r="G3103" i="5"/>
  <c r="G3397" i="5"/>
  <c r="G4071" i="5"/>
  <c r="G4249" i="5"/>
  <c r="G3934" i="5"/>
  <c r="G4089" i="5"/>
  <c r="G4503" i="5"/>
  <c r="G4410" i="5"/>
  <c r="G3648" i="5"/>
  <c r="G4378" i="5"/>
  <c r="G4563" i="5"/>
  <c r="G90" i="5"/>
  <c r="G177" i="5"/>
  <c r="G491" i="5"/>
  <c r="G650" i="5"/>
  <c r="G959" i="5"/>
  <c r="G1067" i="5"/>
  <c r="G1305" i="5"/>
  <c r="G1669" i="5"/>
  <c r="G2076" i="5"/>
  <c r="G2241" i="5"/>
  <c r="G2792" i="5"/>
  <c r="G3060" i="5"/>
  <c r="G3171" i="5"/>
  <c r="G3564" i="5"/>
  <c r="G84" i="5"/>
  <c r="G163" i="5"/>
  <c r="G811" i="5"/>
  <c r="G895" i="5"/>
  <c r="G1349" i="5"/>
  <c r="G2161" i="5"/>
  <c r="G3012" i="5"/>
  <c r="G3418" i="5"/>
  <c r="G392" i="5"/>
  <c r="G801" i="5"/>
  <c r="G1808" i="5"/>
  <c r="G1945" i="5"/>
  <c r="G2375" i="5"/>
  <c r="G2914" i="5"/>
  <c r="G3210" i="5"/>
  <c r="G142" i="5"/>
  <c r="G514" i="5"/>
  <c r="G431" i="5"/>
  <c r="G1030" i="5"/>
  <c r="G1398" i="5"/>
  <c r="G1535" i="5"/>
  <c r="G3108" i="5"/>
  <c r="G3388" i="5"/>
  <c r="G3616" i="5"/>
  <c r="G3543" i="5"/>
  <c r="G3826" i="5"/>
  <c r="G4126" i="5"/>
  <c r="G3689" i="5"/>
  <c r="G3793" i="5"/>
  <c r="G4331" i="5"/>
  <c r="G4453" i="5"/>
  <c r="G4469" i="5"/>
  <c r="G35" i="5"/>
  <c r="G1595" i="5"/>
  <c r="G1977" i="5"/>
  <c r="G2989" i="5"/>
  <c r="G3589" i="5"/>
  <c r="G346" i="5"/>
  <c r="G1083" i="5"/>
  <c r="G1607" i="5"/>
  <c r="G2052" i="5"/>
  <c r="G2807" i="5"/>
  <c r="G830" i="5"/>
  <c r="G1363" i="5"/>
  <c r="G1896" i="5"/>
  <c r="G592" i="5"/>
  <c r="G967" i="5"/>
  <c r="G1757" i="5"/>
  <c r="G3508" i="5"/>
  <c r="G4539" i="5"/>
  <c r="G297" i="5"/>
  <c r="G100" i="5"/>
  <c r="G457" i="5"/>
  <c r="G658" i="5"/>
  <c r="G1020" i="5"/>
  <c r="G1193" i="5"/>
  <c r="G1618" i="5"/>
  <c r="G1654" i="5"/>
  <c r="G1879" i="5"/>
  <c r="G2075" i="5"/>
  <c r="G2100" i="5"/>
  <c r="G2780" i="5"/>
  <c r="G3045" i="5"/>
  <c r="G3265" i="5"/>
  <c r="G242" i="5"/>
  <c r="G420" i="5"/>
  <c r="G600" i="5"/>
  <c r="G1110" i="5"/>
  <c r="G1207" i="5"/>
  <c r="G1465" i="5"/>
  <c r="G1752" i="5"/>
  <c r="G1908" i="5"/>
  <c r="G2043" i="5"/>
  <c r="G2067" i="5"/>
  <c r="G2139" i="5"/>
  <c r="G2675" i="5"/>
  <c r="G3115" i="5"/>
  <c r="G3600" i="5"/>
  <c r="G288" i="5"/>
  <c r="G770" i="5"/>
  <c r="G894" i="5"/>
  <c r="G1420" i="5"/>
  <c r="G1640" i="5"/>
  <c r="G1742" i="5"/>
  <c r="G1823" i="5"/>
  <c r="G1940" i="5"/>
  <c r="G2028" i="5"/>
  <c r="G2193" i="5"/>
  <c r="G2356" i="5"/>
  <c r="G3679" i="5"/>
  <c r="G193" i="5"/>
  <c r="G271" i="5"/>
  <c r="G429" i="5"/>
  <c r="G640" i="5"/>
  <c r="G852" i="5"/>
  <c r="G973" i="5"/>
  <c r="G1158" i="5"/>
  <c r="G1891" i="5"/>
  <c r="G2008" i="5"/>
  <c r="G2687" i="5"/>
  <c r="G3114" i="5"/>
  <c r="G3244" i="5"/>
  <c r="G3488" i="5"/>
  <c r="G3624" i="5"/>
  <c r="G4125" i="5"/>
  <c r="G4304" i="5"/>
  <c r="G4579" i="5"/>
  <c r="G3666" i="5"/>
  <c r="G3867" i="5"/>
  <c r="G4112" i="5"/>
  <c r="G3778" i="5"/>
  <c r="G3916" i="5"/>
  <c r="G4037" i="5"/>
  <c r="G4314" i="5"/>
  <c r="G4463" i="5"/>
  <c r="G3795" i="5"/>
  <c r="G4010" i="5"/>
  <c r="G4155" i="5"/>
  <c r="G4389" i="5"/>
  <c r="G639" i="5"/>
  <c r="G989" i="5"/>
  <c r="G1201" i="5"/>
  <c r="G1394" i="5"/>
  <c r="G1631" i="5"/>
  <c r="G1809" i="5"/>
  <c r="G1878" i="5"/>
  <c r="G2020" i="5"/>
  <c r="G2170" i="5"/>
  <c r="G2351" i="5"/>
  <c r="G2744" i="5"/>
  <c r="G2904" i="5"/>
  <c r="G281" i="5"/>
  <c r="G946" i="5"/>
  <c r="G1144" i="5"/>
  <c r="G1173" i="5"/>
  <c r="G1915" i="5"/>
  <c r="G2036" i="5"/>
  <c r="G2924" i="5"/>
  <c r="G3245" i="5"/>
  <c r="G3348" i="5"/>
  <c r="G3585" i="5"/>
  <c r="G764" i="5"/>
  <c r="G1131" i="5"/>
  <c r="G1263" i="5"/>
  <c r="G1375" i="5"/>
  <c r="G1567" i="5"/>
  <c r="G1731" i="5"/>
  <c r="G2186" i="5"/>
  <c r="G2361" i="5"/>
  <c r="G3125" i="5"/>
  <c r="G3625" i="5"/>
  <c r="G273" i="5"/>
  <c r="G114" i="5"/>
  <c r="G583" i="5"/>
  <c r="G1236" i="5"/>
  <c r="G1451" i="5"/>
  <c r="G1679" i="5"/>
  <c r="G1885" i="5"/>
  <c r="G2027" i="5"/>
  <c r="G2185" i="5"/>
  <c r="G2310" i="5"/>
  <c r="G2396" i="5"/>
  <c r="G2934" i="5"/>
  <c r="G3138" i="5"/>
  <c r="G3313" i="5"/>
  <c r="G3407" i="5"/>
  <c r="G3517" i="5"/>
  <c r="G3859" i="5"/>
  <c r="G4029" i="5"/>
  <c r="G4441" i="5"/>
  <c r="G3819" i="5"/>
  <c r="G3972" i="5"/>
  <c r="G4211" i="5"/>
  <c r="G4405" i="5"/>
  <c r="G3722" i="5"/>
  <c r="G3951" i="5"/>
  <c r="G4021" i="5"/>
  <c r="G3915" i="5"/>
  <c r="G3960" i="5"/>
  <c r="G4481" i="5"/>
  <c r="G565" i="5"/>
  <c r="G847" i="5"/>
  <c r="G1099" i="5"/>
  <c r="G1250" i="5"/>
  <c r="G1399" i="5"/>
  <c r="G1786" i="5"/>
  <c r="G2015" i="5"/>
  <c r="G2209" i="5"/>
  <c r="G2797" i="5"/>
  <c r="G3290" i="5"/>
  <c r="G50" i="5"/>
  <c r="G825" i="5"/>
  <c r="G1152" i="5"/>
  <c r="G1235" i="5"/>
  <c r="G1842" i="5"/>
  <c r="G2317" i="5"/>
  <c r="G2974" i="5"/>
  <c r="G3252" i="5"/>
  <c r="G915" i="5"/>
  <c r="G990" i="5"/>
  <c r="G1137" i="5"/>
  <c r="G1242" i="5"/>
  <c r="G1406" i="5"/>
  <c r="G1848" i="5"/>
  <c r="G2169" i="5"/>
  <c r="G2242" i="5"/>
  <c r="G2812" i="5"/>
  <c r="G3050" i="5"/>
  <c r="G3217" i="5"/>
  <c r="G3266" i="5"/>
  <c r="G30" i="5"/>
  <c r="G128" i="5"/>
  <c r="G520" i="5"/>
  <c r="G785" i="5"/>
  <c r="G1165" i="5"/>
  <c r="G1579" i="5"/>
  <c r="G1909" i="5"/>
  <c r="G1962" i="5"/>
  <c r="G3007" i="5"/>
  <c r="G3204" i="5"/>
  <c r="G3427" i="5"/>
  <c r="G3777" i="5"/>
  <c r="G4117" i="5"/>
  <c r="G4489" i="5"/>
  <c r="G3719" i="5"/>
  <c r="G3980" i="5"/>
  <c r="G4411" i="5"/>
  <c r="G4530" i="5"/>
  <c r="G3758" i="5"/>
  <c r="G4347" i="5"/>
  <c r="G4418" i="5"/>
  <c r="G4552" i="5"/>
  <c r="G3529" i="5"/>
  <c r="G3665" i="5"/>
  <c r="G3843" i="5"/>
  <c r="G3933" i="5"/>
  <c r="G4145" i="5"/>
  <c r="G4589" i="5"/>
  <c r="G169" i="5"/>
  <c r="G203" i="5"/>
  <c r="G542" i="5"/>
  <c r="G701" i="5"/>
  <c r="G916" i="5"/>
  <c r="G1243" i="5"/>
  <c r="G1528" i="5"/>
  <c r="G1730" i="5"/>
  <c r="G2107" i="5"/>
  <c r="G2894" i="5"/>
  <c r="G3188" i="5"/>
  <c r="G312" i="5"/>
  <c r="G95" i="5"/>
  <c r="G186" i="5"/>
  <c r="G601" i="5"/>
  <c r="G1369" i="5"/>
  <c r="G2252" i="5"/>
  <c r="G2669" i="5"/>
  <c r="G3203" i="5"/>
  <c r="G3516" i="5"/>
  <c r="G526" i="5"/>
  <c r="G869" i="5"/>
  <c r="G1295" i="5"/>
  <c r="G1557" i="5"/>
  <c r="G1984" i="5"/>
  <c r="G2035" i="5"/>
  <c r="G3070" i="5"/>
  <c r="G3223" i="5"/>
  <c r="G335" i="5"/>
  <c r="G548" i="5"/>
  <c r="G443" i="5"/>
  <c r="G1046" i="5"/>
  <c r="G1601" i="5"/>
  <c r="G1867" i="5"/>
  <c r="G2114" i="5"/>
  <c r="G3396" i="5"/>
  <c r="G3503" i="5"/>
  <c r="G3673" i="5"/>
  <c r="G3842" i="5"/>
  <c r="G3744" i="5"/>
  <c r="G4070" i="5"/>
  <c r="G4482" i="5"/>
  <c r="G4151" i="5"/>
  <c r="G632" i="5"/>
  <c r="G1115" i="5"/>
  <c r="G1700" i="5"/>
  <c r="G2390" i="5"/>
  <c r="G3406" i="5"/>
  <c r="G129" i="5"/>
  <c r="G781" i="5"/>
  <c r="G1381" i="5"/>
  <c r="G1995" i="5"/>
  <c r="G2383" i="5"/>
  <c r="G741" i="5"/>
  <c r="G1180" i="5"/>
  <c r="G1692" i="5"/>
  <c r="G250" i="5"/>
  <c r="G842" i="5"/>
  <c r="G1481" i="5"/>
  <c r="G3479" i="5"/>
  <c r="G4106" i="5"/>
  <c r="G4077" i="5"/>
  <c r="G62" i="5"/>
  <c r="G123" i="5"/>
  <c r="G251" i="5"/>
  <c r="G549" i="5"/>
  <c r="G923" i="5"/>
  <c r="G1038" i="5"/>
  <c r="G1213" i="5"/>
  <c r="G1544" i="5"/>
  <c r="G1664" i="5"/>
  <c r="G2177" i="5"/>
  <c r="G2909" i="5"/>
  <c r="G3090" i="5"/>
  <c r="G3298" i="5"/>
  <c r="G3452" i="5"/>
  <c r="G133" i="5"/>
  <c r="G287" i="5"/>
  <c r="G486" i="5"/>
  <c r="G690" i="5"/>
  <c r="G966" i="5"/>
  <c r="G1126" i="5"/>
  <c r="G1368" i="5"/>
  <c r="G1527" i="5"/>
  <c r="G1764" i="5"/>
  <c r="G1793" i="5"/>
  <c r="G2099" i="5"/>
  <c r="G2194" i="5"/>
  <c r="G2734" i="5"/>
  <c r="G3161" i="5"/>
  <c r="G509" i="5"/>
  <c r="G1059" i="5"/>
  <c r="G1221" i="5"/>
  <c r="G1658" i="5"/>
  <c r="G1785" i="5"/>
  <c r="G1976" i="5"/>
  <c r="G2059" i="5"/>
  <c r="G2202" i="5"/>
  <c r="G2324" i="5"/>
  <c r="G2959" i="5"/>
  <c r="G3369" i="5"/>
  <c r="G199" i="5"/>
  <c r="G573" i="5"/>
  <c r="G691" i="5"/>
  <c r="G890" i="5"/>
  <c r="G1179" i="5"/>
  <c r="G1350" i="5"/>
  <c r="G1925" i="5"/>
  <c r="G2051" i="5"/>
  <c r="G2827" i="5"/>
  <c r="G3146" i="5"/>
  <c r="G3273" i="5"/>
  <c r="G3451" i="5"/>
  <c r="G3757" i="5"/>
  <c r="G4038" i="5"/>
  <c r="G4159" i="5"/>
  <c r="G4332" i="5"/>
  <c r="G3735" i="5"/>
  <c r="G3961" i="5"/>
  <c r="G3796" i="5"/>
  <c r="G3942" i="5"/>
  <c r="G4118" i="5"/>
  <c r="G4488" i="5"/>
  <c r="G3647" i="5"/>
  <c r="G3718" i="5"/>
  <c r="G4257" i="5"/>
  <c r="G99" i="5"/>
  <c r="G1074" i="5"/>
  <c r="G1222" i="5"/>
  <c r="G1421" i="5"/>
  <c r="G1706" i="5"/>
  <c r="G1830" i="5"/>
  <c r="G2068" i="5"/>
  <c r="G2761" i="5"/>
  <c r="G3259" i="5"/>
  <c r="G124" i="5"/>
  <c r="G353" i="5"/>
  <c r="G428" i="5"/>
  <c r="G559" i="5"/>
  <c r="G1200" i="5"/>
  <c r="G1480" i="5"/>
  <c r="G1800" i="5"/>
  <c r="G1919" i="5"/>
  <c r="G2060" i="5"/>
  <c r="G2939" i="5"/>
  <c r="G3065" i="5"/>
  <c r="G3354" i="5"/>
  <c r="G3636" i="5"/>
  <c r="G786" i="5"/>
  <c r="G979" i="5"/>
  <c r="G1157" i="5"/>
  <c r="G1283" i="5"/>
  <c r="G1393" i="5"/>
  <c r="G1574" i="5"/>
  <c r="G2083" i="5"/>
  <c r="G2233" i="5"/>
  <c r="G2370" i="5"/>
  <c r="G2878" i="5"/>
  <c r="G3131" i="5"/>
  <c r="G31" i="5"/>
  <c r="G673" i="5"/>
  <c r="G1552" i="5"/>
  <c r="G1897" i="5"/>
  <c r="G2213" i="5"/>
  <c r="G2711" i="5"/>
  <c r="G2984" i="5"/>
  <c r="G3237" i="5"/>
  <c r="G3339" i="5"/>
  <c r="G3428" i="5"/>
  <c r="G3602" i="5"/>
  <c r="G3943" i="5"/>
  <c r="G4043" i="5"/>
  <c r="G4274" i="5"/>
  <c r="G4551" i="5"/>
  <c r="G3732" i="5"/>
  <c r="G4303" i="5"/>
  <c r="G4042" i="5"/>
  <c r="G4509" i="5"/>
  <c r="G3925" i="5"/>
  <c r="G3990" i="5"/>
  <c r="G4239" i="5"/>
  <c r="G4495" i="5"/>
  <c r="G40" i="5"/>
  <c r="G222" i="5"/>
  <c r="G469" i="5"/>
  <c r="G624" i="5"/>
  <c r="G940" i="5"/>
  <c r="G1130" i="5"/>
  <c r="G1284" i="5"/>
  <c r="G1496" i="5"/>
  <c r="G1799" i="5"/>
  <c r="G1854" i="5"/>
  <c r="G2108" i="5"/>
  <c r="G2214" i="5"/>
  <c r="G2822" i="5"/>
  <c r="G3097" i="5"/>
  <c r="G3468" i="5"/>
  <c r="G85" i="5"/>
  <c r="G265" i="5"/>
  <c r="G646" i="5"/>
  <c r="G841" i="5"/>
  <c r="G1172" i="5"/>
  <c r="G1860" i="5"/>
  <c r="G2329" i="5"/>
  <c r="G3024" i="5"/>
  <c r="G3373" i="5"/>
  <c r="G152" i="5"/>
  <c r="G752" i="5"/>
  <c r="G941" i="5"/>
  <c r="G1039" i="5"/>
  <c r="G1257" i="5"/>
  <c r="G1450" i="5"/>
  <c r="G1720" i="5"/>
  <c r="G1758" i="5"/>
  <c r="G2220" i="5"/>
  <c r="G2849" i="5"/>
  <c r="G3130" i="5"/>
  <c r="G3306" i="5"/>
  <c r="G468" i="5"/>
  <c r="G45" i="5"/>
  <c r="G449" i="5"/>
  <c r="G1380" i="5"/>
  <c r="G1914" i="5"/>
  <c r="G2253" i="5"/>
  <c r="G2681" i="5"/>
  <c r="G3055" i="5"/>
  <c r="G3284" i="5"/>
  <c r="G3667" i="5"/>
  <c r="G3827" i="5"/>
  <c r="G3966" i="5"/>
  <c r="G4131" i="5"/>
  <c r="G4621" i="5"/>
  <c r="G4223" i="5"/>
  <c r="G4425" i="5"/>
  <c r="G4452" i="5"/>
  <c r="G4547" i="5"/>
  <c r="G3786" i="5"/>
  <c r="G4390" i="5"/>
  <c r="G4588" i="5"/>
  <c r="G3743" i="5"/>
  <c r="G3851" i="5"/>
  <c r="G4361" i="5"/>
  <c r="G270" i="5"/>
  <c r="G221" i="5"/>
  <c r="G391" i="5"/>
  <c r="G820" i="5"/>
  <c r="G1264" i="5"/>
  <c r="G1625" i="5"/>
  <c r="G1903" i="5"/>
  <c r="G2126" i="5"/>
  <c r="G2362" i="5"/>
  <c r="G2929" i="5"/>
  <c r="G3216" i="5"/>
  <c r="G419" i="5"/>
  <c r="G146" i="5"/>
  <c r="G654" i="5"/>
  <c r="G1386" i="5"/>
  <c r="G1611" i="5"/>
  <c r="G2021" i="5"/>
  <c r="G2705" i="5"/>
  <c r="G3272" i="5"/>
  <c r="G3562" i="5"/>
  <c r="G543" i="5"/>
  <c r="G1641" i="5"/>
  <c r="G2316" i="5"/>
  <c r="G2833" i="5"/>
  <c r="G3080" i="5"/>
  <c r="G3280" i="5"/>
  <c r="G413" i="5"/>
  <c r="G574" i="5"/>
  <c r="G829" i="5"/>
  <c r="G1084" i="5"/>
  <c r="G1186" i="5"/>
  <c r="G1512" i="5"/>
  <c r="G1624" i="5"/>
  <c r="G2016" i="5"/>
  <c r="G3279" i="5"/>
  <c r="G3361" i="5"/>
  <c r="G3419" i="5"/>
  <c r="G3502" i="5"/>
  <c r="G3785" i="5"/>
  <c r="G4020" i="5"/>
  <c r="G4011" i="5"/>
  <c r="G4283" i="5"/>
  <c r="G4105" i="5"/>
  <c r="G4352" i="5"/>
  <c r="G4522" i="5"/>
  <c r="G4171" i="5"/>
  <c r="G2663" i="5"/>
  <c r="G3039" i="5"/>
  <c r="G369" i="5"/>
  <c r="G3331" i="5"/>
  <c r="G3984" i="5"/>
  <c r="G49" i="5"/>
  <c r="G207" i="5"/>
  <c r="G56" i="5"/>
  <c r="G173" i="5"/>
  <c r="G296" i="5"/>
  <c r="G1950" i="5"/>
  <c r="G66" i="5"/>
  <c r="G323" i="5"/>
  <c r="G1951" i="5"/>
  <c r="G3995" i="5"/>
  <c r="G192" i="5"/>
  <c r="G257" i="5"/>
  <c r="G3601" i="5"/>
  <c r="G39" i="5"/>
  <c r="G104" i="5"/>
  <c r="G216" i="5"/>
  <c r="G12" i="5"/>
  <c r="G4231" i="5"/>
  <c r="G25" i="5"/>
  <c r="G8" i="5"/>
  <c r="G16" i="5"/>
  <c r="G113" i="5"/>
  <c r="G20" i="5"/>
  <c r="G79" i="5"/>
  <c r="G1924" i="5"/>
  <c r="G3707" i="5"/>
  <c r="G448" i="5"/>
  <c r="G272" i="5"/>
  <c r="G26" i="5"/>
  <c r="G108" i="5"/>
  <c r="G258" i="5"/>
  <c r="G3584" i="5"/>
  <c r="F14" i="7"/>
  <c r="F145" i="6"/>
  <c r="F290" i="6"/>
  <c r="F245" i="6"/>
  <c r="F283" i="6"/>
  <c r="F342" i="6"/>
  <c r="F282" i="6"/>
  <c r="F24" i="6"/>
  <c r="F139" i="6"/>
  <c r="F151" i="6"/>
  <c r="F73" i="6"/>
  <c r="G6177" i="5" l="1"/>
  <c r="H6027" i="5"/>
  <c r="E2603" i="8" s="1"/>
  <c r="F615" i="6"/>
  <c r="H5997" i="5"/>
  <c r="F616" i="6"/>
  <c r="H6047" i="5"/>
  <c r="E2606" i="8" s="1"/>
  <c r="F613" i="6"/>
  <c r="F609" i="6"/>
  <c r="F617" i="6"/>
  <c r="F614" i="6"/>
  <c r="F608" i="6"/>
  <c r="H5992" i="5"/>
  <c r="H6002" i="5"/>
  <c r="E2600" i="8" s="1"/>
  <c r="F619" i="6"/>
  <c r="F618" i="6"/>
  <c r="H6034" i="5"/>
  <c r="H5985" i="5"/>
  <c r="H6059" i="5"/>
  <c r="H6095" i="5"/>
  <c r="E2613" i="8" s="1"/>
  <c r="F98" i="7"/>
  <c r="F110" i="7"/>
  <c r="F102" i="7"/>
  <c r="F124" i="7"/>
  <c r="F116" i="7"/>
  <c r="F97" i="7"/>
  <c r="F111" i="7"/>
  <c r="F112" i="7"/>
  <c r="F96" i="7"/>
  <c r="F101" i="7"/>
  <c r="F115" i="7"/>
  <c r="F125" i="7"/>
  <c r="F100" i="7"/>
  <c r="F114" i="7"/>
  <c r="F99" i="7"/>
  <c r="F591" i="6"/>
  <c r="F560" i="6"/>
  <c r="F113" i="7"/>
  <c r="F600" i="6"/>
  <c r="F559" i="6"/>
  <c r="F485" i="6"/>
  <c r="F599" i="6"/>
  <c r="F590" i="6"/>
  <c r="F577" i="6"/>
  <c r="F545" i="6"/>
  <c r="F508" i="6"/>
  <c r="F597" i="6"/>
  <c r="F518" i="6"/>
  <c r="F507" i="6"/>
  <c r="F496" i="6"/>
  <c r="F596" i="6"/>
  <c r="F527" i="6"/>
  <c r="F517" i="6"/>
  <c r="F495" i="6"/>
  <c r="F488" i="6"/>
  <c r="F595" i="6"/>
  <c r="F583" i="6"/>
  <c r="F516" i="6"/>
  <c r="F494" i="6"/>
  <c r="F487" i="6"/>
  <c r="F551" i="6"/>
  <c r="F504" i="6"/>
  <c r="F493" i="6"/>
  <c r="F486" i="6"/>
  <c r="F533" i="6"/>
  <c r="F579" i="6"/>
  <c r="F546" i="6"/>
  <c r="F490" i="6"/>
  <c r="F567" i="6"/>
  <c r="F598" i="6"/>
  <c r="F491" i="6"/>
  <c r="F578" i="6"/>
  <c r="F492" i="6"/>
  <c r="F519" i="6"/>
  <c r="F558" i="6"/>
  <c r="F540" i="6"/>
  <c r="F506" i="6"/>
  <c r="F557" i="6"/>
  <c r="F534" i="6"/>
  <c r="F584" i="6"/>
  <c r="F539" i="6"/>
  <c r="F505" i="6"/>
  <c r="F529" i="6"/>
  <c r="F585" i="6"/>
  <c r="F528" i="6"/>
  <c r="F489" i="6"/>
  <c r="H6149" i="5"/>
  <c r="E2617" i="8" s="1"/>
  <c r="F547" i="6"/>
  <c r="F552" i="6"/>
  <c r="F553" i="6"/>
  <c r="H6158" i="5"/>
  <c r="E2618" i="8" s="1"/>
  <c r="H5316" i="5"/>
  <c r="E1395" i="8" s="1"/>
  <c r="F569" i="6"/>
  <c r="F568" i="6"/>
  <c r="F566" i="6"/>
  <c r="F565" i="6"/>
  <c r="F564" i="6"/>
  <c r="H6139" i="5"/>
  <c r="H6087" i="5"/>
  <c r="E2612" i="8" s="1"/>
  <c r="H5152" i="5"/>
  <c r="H5216" i="5"/>
  <c r="H5191" i="5"/>
  <c r="H5281" i="5"/>
  <c r="H5210" i="5"/>
  <c r="H5164" i="5"/>
  <c r="H5158" i="5"/>
  <c r="H5312" i="5"/>
  <c r="H5140" i="5"/>
  <c r="H5306" i="5"/>
  <c r="H5300" i="5"/>
  <c r="H5275" i="5"/>
  <c r="H5146" i="5"/>
  <c r="H5447" i="5"/>
  <c r="E1493" i="8" s="1"/>
  <c r="F21" i="7"/>
  <c r="F20" i="7"/>
  <c r="F22" i="7"/>
  <c r="F444" i="6"/>
  <c r="F74" i="7"/>
  <c r="F471" i="6"/>
  <c r="F87" i="7"/>
  <c r="H118" i="5"/>
  <c r="E29" i="8" s="1"/>
  <c r="G4137" i="5"/>
  <c r="F455" i="6"/>
  <c r="F442" i="6"/>
  <c r="F452" i="6"/>
  <c r="F474" i="6"/>
  <c r="F472" i="6"/>
  <c r="F76" i="7"/>
  <c r="F75" i="7"/>
  <c r="F473" i="6"/>
  <c r="F77" i="7"/>
  <c r="F84" i="7"/>
  <c r="F440" i="6"/>
  <c r="F441" i="6"/>
  <c r="F82" i="7"/>
  <c r="F85" i="7"/>
  <c r="F476" i="6"/>
  <c r="F83" i="7"/>
  <c r="F454" i="6"/>
  <c r="F477" i="6"/>
  <c r="F443" i="6"/>
  <c r="F475" i="6"/>
  <c r="F456" i="6"/>
  <c r="G4138" i="5"/>
  <c r="F88" i="7"/>
  <c r="F453" i="6"/>
  <c r="F86" i="7"/>
  <c r="H5543" i="5"/>
  <c r="H5495" i="5"/>
  <c r="H1351" i="8"/>
  <c r="I1351" i="8" s="1"/>
  <c r="H5483" i="5"/>
  <c r="H5511" i="5"/>
  <c r="H5475" i="5"/>
  <c r="H5523" i="5"/>
  <c r="H5507" i="5"/>
  <c r="H5487" i="5"/>
  <c r="H5519" i="5"/>
  <c r="H5471" i="5"/>
  <c r="H5499" i="5"/>
  <c r="H5531" i="5"/>
  <c r="H5535" i="5"/>
  <c r="H5459" i="5"/>
  <c r="H5463" i="5"/>
  <c r="G5559" i="5"/>
  <c r="G5555" i="5"/>
  <c r="G5945" i="5"/>
  <c r="G5567" i="5"/>
  <c r="G5547" i="5"/>
  <c r="G5571" i="5"/>
  <c r="G5946" i="5"/>
  <c r="G859" i="5"/>
  <c r="H5435" i="5"/>
  <c r="E1426" i="8" s="1"/>
  <c r="H5727" i="5"/>
  <c r="H5627" i="5"/>
  <c r="H5715" i="5"/>
  <c r="E1873" i="8" s="1"/>
  <c r="H5411" i="5"/>
  <c r="E1422" i="8" s="1"/>
  <c r="H5923" i="5"/>
  <c r="H5655" i="5"/>
  <c r="H5691" i="5"/>
  <c r="H5959" i="5"/>
  <c r="H5611" i="5"/>
  <c r="H5369" i="5"/>
  <c r="E1415" i="8" s="1"/>
  <c r="H5647" i="5"/>
  <c r="H5539" i="5"/>
  <c r="E1607" i="8" s="1"/>
  <c r="H5747" i="5"/>
  <c r="E1886" i="8" s="1"/>
  <c r="H5339" i="5"/>
  <c r="E1410" i="8" s="1"/>
  <c r="H2725" i="5"/>
  <c r="H5807" i="5"/>
  <c r="H5939" i="5"/>
  <c r="E2333" i="8" s="1"/>
  <c r="H5467" i="5"/>
  <c r="G5563" i="5"/>
  <c r="G5551" i="5"/>
  <c r="H5795" i="5"/>
  <c r="H5699" i="5"/>
  <c r="H5819" i="5"/>
  <c r="H2717" i="5"/>
  <c r="G5899" i="5"/>
  <c r="G5859" i="5"/>
  <c r="H5879" i="5"/>
  <c r="H5711" i="5"/>
  <c r="E1872" i="8" s="1"/>
  <c r="H5803" i="5"/>
  <c r="H5579" i="5"/>
  <c r="H5583" i="5"/>
  <c r="G5839" i="5"/>
  <c r="H5357" i="5"/>
  <c r="E1413" i="8" s="1"/>
  <c r="H5955" i="5"/>
  <c r="H5587" i="5"/>
  <c r="H5327" i="5"/>
  <c r="E1408" i="8" s="1"/>
  <c r="H5503" i="5"/>
  <c r="H5451" i="5"/>
  <c r="H5871" i="5"/>
  <c r="H5527" i="5"/>
  <c r="H5345" i="5"/>
  <c r="H5399" i="5"/>
  <c r="E1420" i="8" s="1"/>
  <c r="G5847" i="5"/>
  <c r="H5687" i="5"/>
  <c r="H5703" i="5"/>
  <c r="H5751" i="5"/>
  <c r="G5575" i="5"/>
  <c r="H5951" i="5"/>
  <c r="H5607" i="5"/>
  <c r="H5811" i="5"/>
  <c r="H5867" i="5"/>
  <c r="G5863" i="5"/>
  <c r="H5619" i="5"/>
  <c r="H5515" i="5"/>
  <c r="H5915" i="5"/>
  <c r="H5735" i="5"/>
  <c r="H5927" i="5"/>
  <c r="H5591" i="5"/>
  <c r="H5405" i="5"/>
  <c r="E1421" i="8" s="1"/>
  <c r="H5393" i="5"/>
  <c r="E1419" i="8" s="1"/>
  <c r="H5599" i="5"/>
  <c r="H5799" i="5"/>
  <c r="H5667" i="5"/>
  <c r="H5381" i="5"/>
  <c r="E1417" i="8" s="1"/>
  <c r="G5835" i="5"/>
  <c r="H5651" i="5"/>
  <c r="H5595" i="5"/>
  <c r="H5779" i="5"/>
  <c r="G5891" i="5"/>
  <c r="H5683" i="5"/>
  <c r="H5455" i="5"/>
  <c r="H5719" i="5"/>
  <c r="E1874" i="8" s="1"/>
  <c r="H5731" i="5"/>
  <c r="E1880" i="8" s="1"/>
  <c r="H5787" i="5"/>
  <c r="H5823" i="5"/>
  <c r="H5815" i="5"/>
  <c r="H5911" i="5"/>
  <c r="H5623" i="5"/>
  <c r="H5387" i="5"/>
  <c r="E1418" i="8" s="1"/>
  <c r="H5755" i="5"/>
  <c r="E1888" i="8" s="1"/>
  <c r="H5695" i="5"/>
  <c r="H5441" i="5"/>
  <c r="E1427" i="8" s="1"/>
  <c r="G5947" i="5"/>
  <c r="H5883" i="5"/>
  <c r="E2087" i="8" s="1"/>
  <c r="H5635" i="5"/>
  <c r="G5851" i="5"/>
  <c r="H5767" i="5"/>
  <c r="H5935" i="5"/>
  <c r="E2315" i="8" s="1"/>
  <c r="H5903" i="5"/>
  <c r="H5875" i="5"/>
  <c r="H5931" i="5"/>
  <c r="H5723" i="5"/>
  <c r="E1876" i="8" s="1"/>
  <c r="H5743" i="5"/>
  <c r="H5363" i="5"/>
  <c r="G5843" i="5"/>
  <c r="H5887" i="5"/>
  <c r="E2088" i="8" s="1"/>
  <c r="H5671" i="5"/>
  <c r="H5479" i="5"/>
  <c r="H5615" i="5"/>
  <c r="H5919" i="5"/>
  <c r="H5417" i="5"/>
  <c r="E1423" i="8" s="1"/>
  <c r="H5603" i="5"/>
  <c r="H5759" i="5"/>
  <c r="H5791" i="5"/>
  <c r="H5739" i="5"/>
  <c r="E1884" i="8" s="1"/>
  <c r="H5429" i="5"/>
  <c r="E1425" i="8" s="1"/>
  <c r="H5351" i="5"/>
  <c r="H5827" i="5"/>
  <c r="H5643" i="5"/>
  <c r="H5333" i="5"/>
  <c r="E1409" i="8" s="1"/>
  <c r="H5631" i="5"/>
  <c r="H5663" i="5"/>
  <c r="H5783" i="5"/>
  <c r="H5375" i="5"/>
  <c r="E1416" i="8" s="1"/>
  <c r="H5675" i="5"/>
  <c r="H5423" i="5"/>
  <c r="E1424" i="8" s="1"/>
  <c r="G5855" i="5"/>
  <c r="H5763" i="5"/>
  <c r="H5491" i="5"/>
  <c r="H5659" i="5"/>
  <c r="H5771" i="5"/>
  <c r="H5639" i="5"/>
  <c r="H5679" i="5"/>
  <c r="H2721" i="5"/>
  <c r="H5907" i="5"/>
  <c r="H5775" i="5"/>
  <c r="H5831" i="5"/>
  <c r="H5895" i="5"/>
  <c r="H5707" i="5"/>
  <c r="H2453" i="5"/>
  <c r="H2449" i="5"/>
  <c r="H2529" i="5"/>
  <c r="E517" i="8" s="1"/>
  <c r="H2473" i="5"/>
  <c r="H2505" i="5"/>
  <c r="H2509" i="5"/>
  <c r="E512" i="8" s="1"/>
  <c r="H2401" i="5"/>
  <c r="H2485" i="5"/>
  <c r="H2541" i="5"/>
  <c r="H2497" i="5"/>
  <c r="E509" i="8" s="1"/>
  <c r="H2545" i="5"/>
  <c r="H2549" i="5"/>
  <c r="H2653" i="5"/>
  <c r="H2513" i="5"/>
  <c r="E513" i="8" s="1"/>
  <c r="H2537" i="5"/>
  <c r="E519" i="8" s="1"/>
  <c r="H2489" i="5"/>
  <c r="E507" i="8" s="1"/>
  <c r="H2517" i="5"/>
  <c r="E514" i="8" s="1"/>
  <c r="H2469" i="5"/>
  <c r="H2417" i="5"/>
  <c r="H2425" i="5"/>
  <c r="H2525" i="5"/>
  <c r="E516" i="8" s="1"/>
  <c r="H2429" i="5"/>
  <c r="E421" i="8" s="1"/>
  <c r="H2533" i="5"/>
  <c r="E518" i="8" s="1"/>
  <c r="H2405" i="5"/>
  <c r="H2441" i="5"/>
  <c r="E473" i="8" s="1"/>
  <c r="H2521" i="5"/>
  <c r="E515" i="8" s="1"/>
  <c r="H2413" i="5"/>
  <c r="H2465" i="5"/>
  <c r="H2461" i="5"/>
  <c r="H2421" i="5"/>
  <c r="H2433" i="5"/>
  <c r="H2645" i="5"/>
  <c r="H2553" i="5"/>
  <c r="E567" i="8" s="1"/>
  <c r="H2477" i="5"/>
  <c r="H2481" i="5"/>
  <c r="E505" i="8" s="1"/>
  <c r="H2445" i="5"/>
  <c r="H2457" i="5"/>
  <c r="H2501" i="5"/>
  <c r="H2493" i="5"/>
  <c r="G5128" i="5"/>
  <c r="G5134" i="5"/>
  <c r="F429" i="6"/>
  <c r="F432" i="6"/>
  <c r="F430" i="6"/>
  <c r="F431" i="6"/>
  <c r="F362" i="6"/>
  <c r="F360" i="6"/>
  <c r="F361" i="6"/>
  <c r="F421" i="6"/>
  <c r="F419" i="6"/>
  <c r="F417" i="6"/>
  <c r="F418" i="6"/>
  <c r="F420" i="6"/>
  <c r="F386" i="6"/>
  <c r="F401" i="6"/>
  <c r="F65" i="7"/>
  <c r="H5026" i="5"/>
  <c r="E1324" i="8" s="1"/>
  <c r="H4816" i="5"/>
  <c r="H5052" i="5"/>
  <c r="E1332" i="8" s="1"/>
  <c r="F382" i="6"/>
  <c r="H4929" i="5"/>
  <c r="H5069" i="5"/>
  <c r="E1334" i="8" s="1"/>
  <c r="H4889" i="5"/>
  <c r="F369" i="6"/>
  <c r="F398" i="6"/>
  <c r="F63" i="7"/>
  <c r="F64" i="7"/>
  <c r="H5115" i="5"/>
  <c r="F41" i="7"/>
  <c r="H4847" i="5"/>
  <c r="F399" i="6"/>
  <c r="H4960" i="5"/>
  <c r="E1315" i="8" s="1"/>
  <c r="H5082" i="5"/>
  <c r="H4990" i="5"/>
  <c r="E1319" i="8" s="1"/>
  <c r="H4804" i="5"/>
  <c r="E1269" i="8" s="1"/>
  <c r="H4840" i="5"/>
  <c r="F405" i="6"/>
  <c r="H5042" i="5"/>
  <c r="F367" i="6"/>
  <c r="F408" i="6"/>
  <c r="F409" i="6"/>
  <c r="H4876" i="5"/>
  <c r="H5012" i="5"/>
  <c r="H4866" i="5"/>
  <c r="H4685" i="5"/>
  <c r="H4998" i="5"/>
  <c r="F375" i="6"/>
  <c r="H4834" i="5"/>
  <c r="E1274" i="8" s="1"/>
  <c r="H4828" i="5"/>
  <c r="H4651" i="5"/>
  <c r="H4797" i="5"/>
  <c r="E1268" i="8" s="1"/>
  <c r="H4790" i="5"/>
  <c r="H4661" i="5"/>
  <c r="F49" i="7"/>
  <c r="F51" i="7"/>
  <c r="F366" i="6"/>
  <c r="F395" i="6"/>
  <c r="F368" i="6"/>
  <c r="F50" i="7"/>
  <c r="H4771" i="5"/>
  <c r="E1264" i="8" s="1"/>
  <c r="H4757" i="5"/>
  <c r="E1262" i="8" s="1"/>
  <c r="H4677" i="5"/>
  <c r="H4982" i="5"/>
  <c r="E1318" i="8" s="1"/>
  <c r="H4974" i="5"/>
  <c r="E1317" i="8" s="1"/>
  <c r="H4750" i="5"/>
  <c r="E1261" i="8" s="1"/>
  <c r="H5062" i="5"/>
  <c r="E1333" i="8" s="1"/>
  <c r="F407" i="6"/>
  <c r="H4882" i="5"/>
  <c r="E1286" i="8" s="1"/>
  <c r="F48" i="7"/>
  <c r="H4743" i="5"/>
  <c r="H4966" i="5"/>
  <c r="E1316" i="8" s="1"/>
  <c r="F52" i="7"/>
  <c r="F400" i="6"/>
  <c r="F396" i="6"/>
  <c r="H4903" i="5"/>
  <c r="F39" i="7"/>
  <c r="F390" i="6"/>
  <c r="H4693" i="5"/>
  <c r="H5076" i="5"/>
  <c r="F42" i="7"/>
  <c r="F397" i="6"/>
  <c r="H4709" i="5"/>
  <c r="H5018" i="5"/>
  <c r="E1323" i="8" s="1"/>
  <c r="H5034" i="5"/>
  <c r="E1330" i="8" s="1"/>
  <c r="H4764" i="5"/>
  <c r="E1263" i="8" s="1"/>
  <c r="H4942" i="5"/>
  <c r="E1300" i="8" s="1"/>
  <c r="F387" i="6"/>
  <c r="H4669" i="5"/>
  <c r="H4870" i="5"/>
  <c r="H4935" i="5"/>
  <c r="H4860" i="5"/>
  <c r="E1278" i="8" s="1"/>
  <c r="H4717" i="5"/>
  <c r="H4811" i="5"/>
  <c r="H4896" i="5"/>
  <c r="H4822" i="5"/>
  <c r="H4923" i="5"/>
  <c r="F38" i="7"/>
  <c r="F40" i="7"/>
  <c r="F376" i="6"/>
  <c r="H4778" i="5"/>
  <c r="F406" i="6"/>
  <c r="H5004" i="5"/>
  <c r="E1321" i="8" s="1"/>
  <c r="H4701" i="5"/>
  <c r="H4656" i="5"/>
  <c r="F381" i="6"/>
  <c r="F61" i="7"/>
  <c r="F43" i="7"/>
  <c r="F44" i="7"/>
  <c r="F62" i="7"/>
  <c r="G18" i="6"/>
  <c r="F388" i="6"/>
  <c r="G2245" i="5"/>
  <c r="G4953" i="5"/>
  <c r="G2271" i="5"/>
  <c r="G2291" i="5"/>
  <c r="G2301" i="5"/>
  <c r="G2281" i="5"/>
  <c r="G2261" i="5"/>
  <c r="H3344" i="5"/>
  <c r="G4911" i="5"/>
  <c r="G4917" i="5"/>
  <c r="G708" i="5"/>
  <c r="G4852" i="5"/>
  <c r="H3392" i="5"/>
  <c r="G4783" i="5"/>
  <c r="G680" i="5"/>
  <c r="H3152" i="5"/>
  <c r="H3157" i="5"/>
  <c r="E924" i="8" s="1"/>
  <c r="H3373" i="5"/>
  <c r="H192" i="5"/>
  <c r="H3990" i="5"/>
  <c r="H3020" i="5"/>
  <c r="H1813" i="5"/>
  <c r="H30" i="5"/>
  <c r="H2657" i="5"/>
  <c r="H2346" i="5"/>
  <c r="E377" i="8" s="1"/>
  <c r="H3388" i="5"/>
  <c r="H2705" i="5"/>
  <c r="H4621" i="5"/>
  <c r="H2208" i="5"/>
  <c r="H2750" i="5"/>
  <c r="H2755" i="5"/>
  <c r="H58" i="8"/>
  <c r="I58" i="8"/>
  <c r="F58" i="8"/>
  <c r="H642" i="8"/>
  <c r="I642" i="8"/>
  <c r="F642" i="8"/>
  <c r="H405" i="8"/>
  <c r="I405" i="8"/>
  <c r="F405" i="8"/>
  <c r="I626" i="8"/>
  <c r="F626" i="8"/>
  <c r="H626" i="8"/>
  <c r="H66" i="8"/>
  <c r="I66" i="8"/>
  <c r="F66" i="8"/>
  <c r="F765" i="8"/>
  <c r="I765" i="8"/>
  <c r="H765" i="8"/>
  <c r="F735" i="8"/>
  <c r="H735" i="8"/>
  <c r="I735" i="8"/>
  <c r="H60" i="8"/>
  <c r="I60" i="8"/>
  <c r="F60" i="8"/>
  <c r="H409" i="8"/>
  <c r="I409" i="8"/>
  <c r="F409" i="8"/>
  <c r="I294" i="8"/>
  <c r="F294" i="8"/>
  <c r="H294" i="8"/>
  <c r="H666" i="8"/>
  <c r="I666" i="8"/>
  <c r="F666" i="8"/>
  <c r="H738" i="8"/>
  <c r="I738" i="8"/>
  <c r="F738" i="8"/>
  <c r="H484" i="8"/>
  <c r="I484" i="8"/>
  <c r="F484" i="8"/>
  <c r="H140" i="8"/>
  <c r="F140" i="8"/>
  <c r="I140" i="8"/>
  <c r="H542" i="8"/>
  <c r="I542" i="8"/>
  <c r="F542" i="8"/>
  <c r="H1015" i="8"/>
  <c r="I1015" i="8"/>
  <c r="F1015" i="8"/>
  <c r="I1200" i="8"/>
  <c r="F1200" i="8"/>
  <c r="H1200" i="8"/>
  <c r="F811" i="8"/>
  <c r="H811" i="8"/>
  <c r="I811" i="8"/>
  <c r="I426" i="8"/>
  <c r="H426" i="8"/>
  <c r="F426" i="8"/>
  <c r="I402" i="8"/>
  <c r="F402" i="8"/>
  <c r="H402" i="8"/>
  <c r="H706" i="8"/>
  <c r="I706" i="8"/>
  <c r="F706" i="8"/>
  <c r="I1234" i="8"/>
  <c r="F1234" i="8"/>
  <c r="H1234" i="8"/>
  <c r="I1192" i="8"/>
  <c r="F1192" i="8"/>
  <c r="H1192" i="8"/>
  <c r="H1029" i="8"/>
  <c r="I1029" i="8"/>
  <c r="F1029" i="8"/>
  <c r="H638" i="8"/>
  <c r="I638" i="8"/>
  <c r="F638" i="8"/>
  <c r="I606" i="8"/>
  <c r="F606" i="8"/>
  <c r="H606" i="8"/>
  <c r="H482" i="8"/>
  <c r="I482" i="8"/>
  <c r="F482" i="8"/>
  <c r="H415" i="8"/>
  <c r="I415" i="8"/>
  <c r="F415" i="8"/>
  <c r="I602" i="8"/>
  <c r="F602" i="8"/>
  <c r="H602" i="8"/>
  <c r="H486" i="8"/>
  <c r="I486" i="8"/>
  <c r="F486" i="8"/>
  <c r="I596" i="8"/>
  <c r="F596" i="8"/>
  <c r="H596" i="8"/>
  <c r="H480" i="8"/>
  <c r="I480" i="8"/>
  <c r="F480" i="8"/>
  <c r="H76" i="8"/>
  <c r="I76" i="8"/>
  <c r="F76" i="8"/>
  <c r="I428" i="8"/>
  <c r="H428" i="8"/>
  <c r="F428" i="8"/>
  <c r="I396" i="8"/>
  <c r="F396" i="8"/>
  <c r="H396" i="8"/>
  <c r="H672" i="8"/>
  <c r="I672" i="8"/>
  <c r="F672" i="8"/>
  <c r="I616" i="8"/>
  <c r="H616" i="8"/>
  <c r="F616" i="8"/>
  <c r="I450" i="8"/>
  <c r="F450" i="8"/>
  <c r="H450" i="8"/>
  <c r="F783" i="8"/>
  <c r="H783" i="8"/>
  <c r="I783" i="8"/>
  <c r="F1028" i="8"/>
  <c r="H1028" i="8"/>
  <c r="I1028" i="8"/>
  <c r="I624" i="8"/>
  <c r="H624" i="8"/>
  <c r="F624" i="8"/>
  <c r="H774" i="8"/>
  <c r="I774" i="8"/>
  <c r="F774" i="8"/>
  <c r="F1060" i="8"/>
  <c r="H1060" i="8"/>
  <c r="I1060" i="8"/>
  <c r="H818" i="8"/>
  <c r="I818" i="8"/>
  <c r="F818" i="8"/>
  <c r="H646" i="8"/>
  <c r="I646" i="8"/>
  <c r="F646" i="8"/>
  <c r="I598" i="8"/>
  <c r="F598" i="8"/>
  <c r="H598" i="8"/>
  <c r="H490" i="8"/>
  <c r="I490" i="8"/>
  <c r="F490" i="8"/>
  <c r="I1211" i="8"/>
  <c r="F1211" i="8"/>
  <c r="H1211" i="8"/>
  <c r="I436" i="8"/>
  <c r="F436" i="8"/>
  <c r="H436" i="8"/>
  <c r="F1042" i="8"/>
  <c r="H1042" i="8"/>
  <c r="I1042" i="8"/>
  <c r="H676" i="8"/>
  <c r="I676" i="8"/>
  <c r="F676" i="8"/>
  <c r="H660" i="8"/>
  <c r="I660" i="8"/>
  <c r="F660" i="8"/>
  <c r="H644" i="8"/>
  <c r="I644" i="8"/>
  <c r="F644" i="8"/>
  <c r="I628" i="8"/>
  <c r="H628" i="8"/>
  <c r="F628" i="8"/>
  <c r="I612" i="8"/>
  <c r="H612" i="8"/>
  <c r="F612" i="8"/>
  <c r="H544" i="8"/>
  <c r="I544" i="8"/>
  <c r="F544" i="8"/>
  <c r="H470" i="8"/>
  <c r="I470" i="8"/>
  <c r="F470" i="8"/>
  <c r="H710" i="8"/>
  <c r="I710" i="8"/>
  <c r="F710" i="8"/>
  <c r="H1047" i="8"/>
  <c r="I1047" i="8"/>
  <c r="F1047" i="8"/>
  <c r="I600" i="8"/>
  <c r="F600" i="8"/>
  <c r="H600" i="8"/>
  <c r="I292" i="8"/>
  <c r="F292" i="8"/>
  <c r="H292" i="8"/>
  <c r="H634" i="8"/>
  <c r="I634" i="8"/>
  <c r="F634" i="8"/>
  <c r="H468" i="8"/>
  <c r="I468" i="8"/>
  <c r="F468" i="8"/>
  <c r="H664" i="8"/>
  <c r="I664" i="8"/>
  <c r="F664" i="8"/>
  <c r="H532" i="8"/>
  <c r="I532" i="8"/>
  <c r="F532" i="8"/>
  <c r="F785" i="8"/>
  <c r="H785" i="8"/>
  <c r="I785" i="8"/>
  <c r="H670" i="8"/>
  <c r="I670" i="8"/>
  <c r="F670" i="8"/>
  <c r="H538" i="8"/>
  <c r="I538" i="8"/>
  <c r="F538" i="8"/>
  <c r="H464" i="8"/>
  <c r="I464" i="8"/>
  <c r="F464" i="8"/>
  <c r="H702" i="8"/>
  <c r="I702" i="8"/>
  <c r="F702" i="8"/>
  <c r="H138" i="8"/>
  <c r="F138" i="8"/>
  <c r="I138" i="8"/>
  <c r="H558" i="8"/>
  <c r="I558" i="8"/>
  <c r="F558" i="8"/>
  <c r="H1041" i="8"/>
  <c r="I1041" i="8"/>
  <c r="F1041" i="8"/>
  <c r="H536" i="8"/>
  <c r="I536" i="8"/>
  <c r="F536" i="8"/>
  <c r="I422" i="8"/>
  <c r="F422" i="8"/>
  <c r="H422" i="8"/>
  <c r="I406" i="8"/>
  <c r="F406" i="8"/>
  <c r="H406" i="8"/>
  <c r="I390" i="8"/>
  <c r="F390" i="8"/>
  <c r="H390" i="8"/>
  <c r="I168" i="8"/>
  <c r="F168" i="8"/>
  <c r="H168" i="8"/>
  <c r="I1205" i="8"/>
  <c r="F1205" i="8"/>
  <c r="H1205" i="8"/>
  <c r="F791" i="8"/>
  <c r="H791" i="8"/>
  <c r="I791" i="8"/>
  <c r="H550" i="8"/>
  <c r="I550" i="8"/>
  <c r="F550" i="8"/>
  <c r="I452" i="8"/>
  <c r="F452" i="8"/>
  <c r="H452" i="8"/>
  <c r="F984" i="8"/>
  <c r="H984" i="8"/>
  <c r="I984" i="8"/>
  <c r="H640" i="8"/>
  <c r="I640" i="8"/>
  <c r="F640" i="8"/>
  <c r="H840" i="8"/>
  <c r="I840" i="8"/>
  <c r="F840" i="8"/>
  <c r="H594" i="8"/>
  <c r="I594" i="8"/>
  <c r="F594" i="8"/>
  <c r="I1215" i="8"/>
  <c r="F1215" i="8"/>
  <c r="H1215" i="8"/>
  <c r="H648" i="8"/>
  <c r="I648" i="8"/>
  <c r="F648" i="8"/>
  <c r="H592" i="8"/>
  <c r="I592" i="8"/>
  <c r="F592" i="8"/>
  <c r="H540" i="8"/>
  <c r="I540" i="8"/>
  <c r="F540" i="8"/>
  <c r="I442" i="8"/>
  <c r="F442" i="8"/>
  <c r="H442" i="8"/>
  <c r="H20" i="8"/>
  <c r="I20" i="8" s="1"/>
  <c r="F20" i="8"/>
  <c r="H662" i="8"/>
  <c r="I662" i="8"/>
  <c r="F662" i="8"/>
  <c r="I614" i="8"/>
  <c r="F614" i="8"/>
  <c r="H614" i="8"/>
  <c r="H546" i="8"/>
  <c r="I546" i="8"/>
  <c r="F546" i="8"/>
  <c r="I440" i="8"/>
  <c r="F440" i="8"/>
  <c r="H440" i="8"/>
  <c r="I424" i="8"/>
  <c r="H424" i="8"/>
  <c r="F424" i="8"/>
  <c r="I408" i="8"/>
  <c r="F408" i="8"/>
  <c r="H408" i="8"/>
  <c r="H726" i="8"/>
  <c r="I726" i="8"/>
  <c r="F726" i="8"/>
  <c r="F831" i="8"/>
  <c r="H831" i="8"/>
  <c r="I831" i="8"/>
  <c r="F813" i="8"/>
  <c r="H813" i="8"/>
  <c r="I813" i="8"/>
  <c r="F1000" i="8"/>
  <c r="H1000" i="8"/>
  <c r="I1000" i="8"/>
  <c r="F819" i="8"/>
  <c r="H819" i="8"/>
  <c r="I819" i="8"/>
  <c r="H802" i="8"/>
  <c r="I802" i="8"/>
  <c r="F802" i="8"/>
  <c r="I462" i="8"/>
  <c r="F462" i="8"/>
  <c r="H462" i="8"/>
  <c r="I446" i="8"/>
  <c r="F446" i="8"/>
  <c r="H446" i="8"/>
  <c r="H812" i="8"/>
  <c r="I812" i="8"/>
  <c r="F812" i="8"/>
  <c r="H832" i="8"/>
  <c r="I832" i="8"/>
  <c r="F832" i="8"/>
  <c r="F821" i="8"/>
  <c r="H821" i="8"/>
  <c r="I821" i="8"/>
  <c r="H52" i="8"/>
  <c r="I52" i="8"/>
  <c r="F52" i="8"/>
  <c r="H64" i="8"/>
  <c r="I64" i="8"/>
  <c r="F64" i="8"/>
  <c r="H68" i="8"/>
  <c r="I68" i="8"/>
  <c r="F68" i="8"/>
  <c r="F687" i="8"/>
  <c r="H687" i="8"/>
  <c r="I687" i="8"/>
  <c r="I610" i="8"/>
  <c r="F610" i="8"/>
  <c r="H610" i="8"/>
  <c r="I1183" i="8"/>
  <c r="F1183" i="8"/>
  <c r="H1183" i="8"/>
  <c r="I358" i="8"/>
  <c r="F358" i="8"/>
  <c r="H358" i="8"/>
  <c r="H389" i="8"/>
  <c r="I389" i="8"/>
  <c r="F389" i="8"/>
  <c r="H658" i="8"/>
  <c r="I658" i="8"/>
  <c r="F658" i="8"/>
  <c r="H74" i="8"/>
  <c r="I74" i="8"/>
  <c r="F74" i="8"/>
  <c r="F767" i="8"/>
  <c r="I767" i="8"/>
  <c r="H767" i="8"/>
  <c r="F733" i="8"/>
  <c r="H733" i="8"/>
  <c r="I733" i="8"/>
  <c r="F759" i="8"/>
  <c r="H759" i="8"/>
  <c r="I759" i="8"/>
  <c r="H70" i="8"/>
  <c r="I70" i="8"/>
  <c r="F70" i="8"/>
  <c r="H397" i="8"/>
  <c r="I397" i="8"/>
  <c r="F397" i="8"/>
  <c r="H674" i="8"/>
  <c r="I674" i="8"/>
  <c r="F674" i="8"/>
  <c r="H417" i="8"/>
  <c r="I417" i="8"/>
  <c r="F417" i="8"/>
  <c r="H478" i="8"/>
  <c r="I478" i="8"/>
  <c r="F478" i="8"/>
  <c r="H500" i="8"/>
  <c r="I500" i="8"/>
  <c r="F500" i="8"/>
  <c r="H758" i="8"/>
  <c r="I758" i="8"/>
  <c r="F758" i="8"/>
  <c r="H391" i="8"/>
  <c r="I391" i="8"/>
  <c r="F391" i="8"/>
  <c r="I1186" i="8"/>
  <c r="F1186" i="8"/>
  <c r="H1186" i="8"/>
  <c r="F1092" i="8"/>
  <c r="H1092" i="8"/>
  <c r="I1092" i="8"/>
  <c r="I458" i="8"/>
  <c r="F458" i="8"/>
  <c r="H458" i="8"/>
  <c r="I418" i="8"/>
  <c r="F418" i="8"/>
  <c r="H418" i="8"/>
  <c r="I386" i="8"/>
  <c r="F386" i="8"/>
  <c r="H386" i="8"/>
  <c r="F795" i="8"/>
  <c r="H795" i="8"/>
  <c r="I795" i="8"/>
  <c r="I1201" i="8"/>
  <c r="F1201" i="8"/>
  <c r="H1201" i="8"/>
  <c r="H1105" i="8"/>
  <c r="I1105" i="8"/>
  <c r="F1105" i="8"/>
  <c r="H1057" i="8"/>
  <c r="I1057" i="8"/>
  <c r="F1057" i="8"/>
  <c r="I622" i="8"/>
  <c r="F622" i="8"/>
  <c r="H622" i="8"/>
  <c r="H474" i="8"/>
  <c r="I474" i="8"/>
  <c r="F474" i="8"/>
  <c r="H1031" i="8"/>
  <c r="I1031" i="8"/>
  <c r="F1031" i="8"/>
  <c r="F833" i="8"/>
  <c r="H833" i="8"/>
  <c r="I833" i="8"/>
  <c r="H520" i="8"/>
  <c r="I520" i="8"/>
  <c r="F520" i="8"/>
  <c r="H504" i="8"/>
  <c r="I504" i="8"/>
  <c r="F504" i="8"/>
  <c r="H488" i="8"/>
  <c r="I488" i="8"/>
  <c r="F488" i="8"/>
  <c r="H142" i="8"/>
  <c r="F142" i="8"/>
  <c r="I142" i="8"/>
  <c r="H502" i="8"/>
  <c r="I502" i="8"/>
  <c r="F502" i="8"/>
  <c r="I404" i="8"/>
  <c r="F404" i="8"/>
  <c r="H404" i="8"/>
  <c r="I1231" i="8"/>
  <c r="F1231" i="8"/>
  <c r="H1231" i="8"/>
  <c r="H632" i="8"/>
  <c r="I632" i="8"/>
  <c r="F632" i="8"/>
  <c r="H466" i="8"/>
  <c r="I466" i="8"/>
  <c r="F466" i="8"/>
  <c r="H1063" i="8"/>
  <c r="I1063" i="8"/>
  <c r="F1063" i="8"/>
  <c r="F1002" i="8"/>
  <c r="H1002" i="8"/>
  <c r="I1002" i="8"/>
  <c r="F799" i="8"/>
  <c r="H799" i="8"/>
  <c r="I799" i="8"/>
  <c r="H72" i="8"/>
  <c r="I72" i="8"/>
  <c r="F72" i="8"/>
  <c r="F1008" i="8"/>
  <c r="H1008" i="8"/>
  <c r="I1008" i="8"/>
  <c r="H678" i="8"/>
  <c r="I678" i="8"/>
  <c r="F678" i="8"/>
  <c r="I630" i="8"/>
  <c r="F630" i="8"/>
  <c r="H630" i="8"/>
  <c r="H590" i="8"/>
  <c r="I590" i="8"/>
  <c r="F590" i="8"/>
  <c r="I456" i="8"/>
  <c r="F456" i="8"/>
  <c r="H456" i="8"/>
  <c r="I1209" i="8"/>
  <c r="F1209" i="8"/>
  <c r="H1209" i="8"/>
  <c r="H460" i="8"/>
  <c r="I460" i="8"/>
  <c r="F460" i="8"/>
  <c r="H684" i="8"/>
  <c r="I684" i="8"/>
  <c r="F684" i="8"/>
  <c r="H668" i="8"/>
  <c r="I668" i="8"/>
  <c r="F668" i="8"/>
  <c r="H652" i="8"/>
  <c r="I652" i="8"/>
  <c r="F652" i="8"/>
  <c r="H636" i="8"/>
  <c r="I636" i="8"/>
  <c r="F636" i="8"/>
  <c r="I620" i="8"/>
  <c r="H620" i="8"/>
  <c r="F620" i="8"/>
  <c r="I604" i="8"/>
  <c r="H604" i="8"/>
  <c r="F604" i="8"/>
  <c r="H552" i="8"/>
  <c r="I552" i="8"/>
  <c r="F552" i="8"/>
  <c r="H528" i="8"/>
  <c r="I528" i="8"/>
  <c r="F528" i="8"/>
  <c r="I438" i="8"/>
  <c r="F438" i="8"/>
  <c r="H438" i="8"/>
  <c r="H357" i="8"/>
  <c r="I357" i="8"/>
  <c r="F357" i="8"/>
  <c r="I1207" i="8"/>
  <c r="F1207" i="8"/>
  <c r="H1207" i="8"/>
  <c r="I434" i="8"/>
  <c r="F434" i="8"/>
  <c r="H434" i="8"/>
  <c r="I394" i="8"/>
  <c r="F394" i="8"/>
  <c r="H394" i="8"/>
  <c r="H650" i="8"/>
  <c r="I650" i="8"/>
  <c r="F650" i="8"/>
  <c r="I618" i="8"/>
  <c r="F618" i="8"/>
  <c r="H618" i="8"/>
  <c r="H548" i="8"/>
  <c r="I548" i="8"/>
  <c r="F548" i="8"/>
  <c r="H492" i="8"/>
  <c r="I492" i="8"/>
  <c r="F492" i="8"/>
  <c r="H766" i="8"/>
  <c r="F766" i="8"/>
  <c r="I766" i="8"/>
  <c r="F753" i="8"/>
  <c r="H753" i="8"/>
  <c r="I753" i="8"/>
  <c r="H554" i="8"/>
  <c r="I554" i="8"/>
  <c r="F554" i="8"/>
  <c r="H522" i="8"/>
  <c r="I522" i="8"/>
  <c r="F522" i="8"/>
  <c r="H734" i="8"/>
  <c r="I734" i="8"/>
  <c r="F734" i="8"/>
  <c r="H742" i="8"/>
  <c r="I742" i="8"/>
  <c r="F742" i="8"/>
  <c r="I57" i="8"/>
  <c r="F57" i="8"/>
  <c r="H57" i="8"/>
  <c r="H407" i="8"/>
  <c r="I407" i="8"/>
  <c r="F407" i="8"/>
  <c r="F689" i="8"/>
  <c r="H689" i="8"/>
  <c r="I689" i="8"/>
  <c r="I430" i="8"/>
  <c r="H430" i="8"/>
  <c r="F430" i="8"/>
  <c r="I398" i="8"/>
  <c r="F398" i="8"/>
  <c r="H398" i="8"/>
  <c r="I296" i="8"/>
  <c r="F296" i="8"/>
  <c r="H296" i="8"/>
  <c r="H694" i="8"/>
  <c r="I694" i="8"/>
  <c r="F694" i="8"/>
  <c r="F954" i="8"/>
  <c r="H954" i="8"/>
  <c r="I954" i="8"/>
  <c r="H682" i="8"/>
  <c r="I682" i="8"/>
  <c r="F682" i="8"/>
  <c r="H526" i="8"/>
  <c r="I526" i="8"/>
  <c r="F526" i="8"/>
  <c r="I1224" i="8"/>
  <c r="F1224" i="8"/>
  <c r="H1224" i="8"/>
  <c r="H656" i="8"/>
  <c r="I656" i="8"/>
  <c r="F656" i="8"/>
  <c r="F835" i="8"/>
  <c r="H835" i="8"/>
  <c r="I835" i="8"/>
  <c r="I444" i="8"/>
  <c r="F444" i="8"/>
  <c r="H444" i="8"/>
  <c r="I388" i="8"/>
  <c r="F388" i="8"/>
  <c r="H388" i="8"/>
  <c r="H680" i="8"/>
  <c r="I680" i="8"/>
  <c r="F680" i="8"/>
  <c r="I608" i="8"/>
  <c r="H608" i="8"/>
  <c r="F608" i="8"/>
  <c r="H556" i="8"/>
  <c r="I556" i="8"/>
  <c r="F556" i="8"/>
  <c r="H524" i="8"/>
  <c r="I524" i="8"/>
  <c r="F524" i="8"/>
  <c r="F681" i="8"/>
  <c r="H681" i="8"/>
  <c r="I681" i="8"/>
  <c r="H1021" i="8"/>
  <c r="I1021" i="8"/>
  <c r="F1021" i="8"/>
  <c r="H654" i="8"/>
  <c r="I654" i="8"/>
  <c r="F654" i="8"/>
  <c r="H530" i="8"/>
  <c r="I530" i="8"/>
  <c r="F530" i="8"/>
  <c r="H498" i="8"/>
  <c r="I498" i="8"/>
  <c r="F498" i="8"/>
  <c r="I432" i="8"/>
  <c r="H432" i="8"/>
  <c r="F432" i="8"/>
  <c r="I400" i="8"/>
  <c r="F400" i="8"/>
  <c r="H400" i="8"/>
  <c r="I170" i="8"/>
  <c r="F170" i="8"/>
  <c r="H170" i="8"/>
  <c r="F1050" i="8"/>
  <c r="H1050" i="8"/>
  <c r="I1050" i="8"/>
  <c r="H534" i="8"/>
  <c r="I534" i="8"/>
  <c r="F534" i="8"/>
  <c r="F815" i="8"/>
  <c r="H815" i="8"/>
  <c r="I815" i="8"/>
  <c r="H1043" i="8"/>
  <c r="I1043" i="8"/>
  <c r="F1043" i="8"/>
  <c r="H824" i="8"/>
  <c r="I824" i="8"/>
  <c r="F824" i="8"/>
  <c r="H808" i="8"/>
  <c r="I808" i="8"/>
  <c r="F808" i="8"/>
  <c r="H560" i="8"/>
  <c r="I560" i="8"/>
  <c r="F560" i="8"/>
  <c r="I454" i="8"/>
  <c r="F454" i="8"/>
  <c r="H454" i="8"/>
  <c r="H770" i="8"/>
  <c r="I770" i="8"/>
  <c r="F770" i="8"/>
  <c r="F803" i="8"/>
  <c r="H803" i="8"/>
  <c r="I803" i="8"/>
  <c r="F805" i="8"/>
  <c r="H805" i="8"/>
  <c r="I805" i="8"/>
  <c r="H94" i="5"/>
  <c r="H79" i="5"/>
  <c r="H2675" i="5"/>
  <c r="H123" i="5"/>
  <c r="F15" i="7"/>
  <c r="H1919" i="5"/>
  <c r="F10" i="6"/>
  <c r="H221" i="5"/>
  <c r="E50" i="8" s="1"/>
  <c r="H654" i="5"/>
  <c r="H1818" i="5"/>
  <c r="H61" i="5"/>
  <c r="E17" i="8" s="1"/>
  <c r="H185" i="5"/>
  <c r="E43" i="8" s="1"/>
  <c r="H3589" i="5"/>
  <c r="H3331" i="5"/>
  <c r="H829" i="5"/>
  <c r="H3571" i="5"/>
  <c r="H156" i="5"/>
  <c r="E37" i="8" s="1"/>
  <c r="H2663" i="5"/>
  <c r="H3378" i="5"/>
  <c r="H3984" i="5"/>
  <c r="H3348" i="5"/>
  <c r="E957" i="8" s="1"/>
  <c r="H163" i="5"/>
  <c r="E38" i="8" s="1"/>
  <c r="H151" i="5"/>
  <c r="E36" i="8" s="1"/>
  <c r="H99" i="5"/>
  <c r="H2681" i="5"/>
  <c r="H181" i="5"/>
  <c r="H199" i="5"/>
  <c r="H203" i="5"/>
  <c r="H658" i="5"/>
  <c r="H35" i="5"/>
  <c r="H177" i="5"/>
  <c r="H901" i="5"/>
  <c r="H137" i="5"/>
  <c r="H646" i="5"/>
  <c r="H128" i="5"/>
  <c r="H825" i="5"/>
  <c r="E153" i="8" s="1"/>
  <c r="H1130" i="5"/>
  <c r="E201" i="8" s="1"/>
  <c r="H3305" i="5"/>
  <c r="H39" i="5"/>
  <c r="H108" i="5"/>
  <c r="H216" i="5"/>
  <c r="H49" i="5"/>
  <c r="H146" i="5"/>
  <c r="H650" i="5"/>
  <c r="H44" i="5"/>
  <c r="E14" i="8" s="1"/>
  <c r="H212" i="5"/>
  <c r="H84" i="5"/>
  <c r="H133" i="5"/>
  <c r="H2687" i="5"/>
  <c r="H2699" i="5"/>
  <c r="H226" i="5"/>
  <c r="H141" i="5"/>
  <c r="E34" i="8" s="1"/>
  <c r="H2669" i="5"/>
  <c r="H2711" i="5"/>
  <c r="H889" i="5"/>
  <c r="H1924" i="5"/>
  <c r="H1914" i="5"/>
  <c r="H89" i="5"/>
  <c r="H113" i="5"/>
  <c r="H12" i="5"/>
  <c r="H168" i="5"/>
  <c r="H2693" i="5"/>
  <c r="H3090" i="5"/>
  <c r="E913" i="8" s="1"/>
  <c r="H3707" i="5"/>
  <c r="H16" i="5"/>
  <c r="H25" i="5"/>
  <c r="H104" i="5"/>
  <c r="H66" i="5"/>
  <c r="H207" i="5"/>
  <c r="H8" i="5"/>
  <c r="H173" i="5"/>
  <c r="E10" i="8" l="1"/>
  <c r="E23" i="8"/>
  <c r="E720" i="8"/>
  <c r="E15" i="8"/>
  <c r="E122" i="8"/>
  <c r="E42" i="8"/>
  <c r="E714" i="8"/>
  <c r="E299" i="8"/>
  <c r="E21" i="8"/>
  <c r="E713" i="8"/>
  <c r="E1289" i="8"/>
  <c r="E1322" i="8"/>
  <c r="E414" i="8"/>
  <c r="E416" i="8"/>
  <c r="E564" i="8"/>
  <c r="E2217" i="8"/>
  <c r="E1849" i="8"/>
  <c r="E1885" i="8"/>
  <c r="E1847" i="8"/>
  <c r="E2218" i="8"/>
  <c r="E1836" i="8"/>
  <c r="E1842" i="8"/>
  <c r="E1869" i="8"/>
  <c r="E1572" i="8"/>
  <c r="E1900" i="8"/>
  <c r="E1898" i="8"/>
  <c r="E2290" i="8"/>
  <c r="E1606" i="8"/>
  <c r="E1551" i="8"/>
  <c r="E1392" i="8"/>
  <c r="E1365" i="8"/>
  <c r="E315" i="8"/>
  <c r="E33" i="8"/>
  <c r="E717" i="8"/>
  <c r="E124" i="8"/>
  <c r="E24" i="8"/>
  <c r="E853" i="8"/>
  <c r="E11" i="8"/>
  <c r="E923" i="8"/>
  <c r="E1294" i="8"/>
  <c r="E1254" i="8"/>
  <c r="E1246" i="8"/>
  <c r="E1285" i="8"/>
  <c r="E1271" i="8"/>
  <c r="E503" i="8"/>
  <c r="E499" i="8"/>
  <c r="E476" i="8"/>
  <c r="E845" i="8"/>
  <c r="E1906" i="8"/>
  <c r="E2255" i="8"/>
  <c r="E1903" i="8"/>
  <c r="E1894" i="8"/>
  <c r="E1864" i="8"/>
  <c r="E1605" i="8"/>
  <c r="E1574" i="8"/>
  <c r="E1352" i="8"/>
  <c r="E1354" i="8"/>
  <c r="E2598" i="8"/>
  <c r="E2599" i="8"/>
  <c r="E1284" i="8"/>
  <c r="E1273" i="8"/>
  <c r="E1337" i="8"/>
  <c r="E562" i="8"/>
  <c r="E477" i="8"/>
  <c r="E1862" i="8"/>
  <c r="E1861" i="8"/>
  <c r="E1412" i="8"/>
  <c r="E1841" i="8"/>
  <c r="E2299" i="8"/>
  <c r="E1905" i="8"/>
  <c r="E1834" i="8"/>
  <c r="E1933" i="8"/>
  <c r="E1832" i="8"/>
  <c r="E1954" i="8"/>
  <c r="E1571" i="8"/>
  <c r="E1566" i="8"/>
  <c r="E1393" i="8"/>
  <c r="E49" i="8"/>
  <c r="E164" i="8"/>
  <c r="E22" i="8"/>
  <c r="E13" i="8"/>
  <c r="E41" i="8"/>
  <c r="E154" i="8"/>
  <c r="E359" i="8"/>
  <c r="E900" i="8"/>
  <c r="E1247" i="8"/>
  <c r="E1292" i="8"/>
  <c r="E1249" i="8"/>
  <c r="E588" i="8"/>
  <c r="E412" i="8"/>
  <c r="E506" i="8"/>
  <c r="E1848" i="8"/>
  <c r="E1552" i="8"/>
  <c r="E1953" i="8"/>
  <c r="E1896" i="8"/>
  <c r="E1852" i="8"/>
  <c r="E1833" i="8"/>
  <c r="E1902" i="8"/>
  <c r="E2504" i="8"/>
  <c r="E1548" i="8"/>
  <c r="E1844" i="8"/>
  <c r="E1549" i="8"/>
  <c r="E1355" i="8"/>
  <c r="E2616" i="8"/>
  <c r="E2608" i="8"/>
  <c r="E1046" i="8"/>
  <c r="E317" i="8"/>
  <c r="E32" i="8"/>
  <c r="E27" i="8"/>
  <c r="E166" i="8"/>
  <c r="E25" i="8"/>
  <c r="E988" i="8"/>
  <c r="E852" i="8"/>
  <c r="E298" i="8"/>
  <c r="E40" i="8"/>
  <c r="E6" i="8"/>
  <c r="E719" i="8"/>
  <c r="E722" i="8"/>
  <c r="E48" i="8"/>
  <c r="E947" i="8"/>
  <c r="E12" i="8"/>
  <c r="E952" i="8"/>
  <c r="E316" i="8"/>
  <c r="E1238" i="8"/>
  <c r="E1109" i="8"/>
  <c r="E956" i="8"/>
  <c r="E1253" i="8"/>
  <c r="E1272" i="8"/>
  <c r="E1336" i="8"/>
  <c r="E1287" i="8"/>
  <c r="E508" i="8"/>
  <c r="E448" i="8"/>
  <c r="E410" i="8"/>
  <c r="E1871" i="8"/>
  <c r="E1892" i="8"/>
  <c r="E1895" i="8"/>
  <c r="E1859" i="8"/>
  <c r="E2104" i="8"/>
  <c r="E1867" i="8"/>
  <c r="E2295" i="8"/>
  <c r="E1838" i="8"/>
  <c r="E1411" i="8"/>
  <c r="E1839" i="8"/>
  <c r="E1878" i="8"/>
  <c r="E1576" i="8"/>
  <c r="E1570" i="8"/>
  <c r="E1356" i="8"/>
  <c r="E2597" i="8"/>
  <c r="E125" i="8"/>
  <c r="E992" i="8"/>
  <c r="E721" i="8"/>
  <c r="E44" i="8"/>
  <c r="E1288" i="8"/>
  <c r="E1252" i="8"/>
  <c r="E1260" i="8"/>
  <c r="E1250" i="8"/>
  <c r="E1320" i="8"/>
  <c r="E1331" i="8"/>
  <c r="E1276" i="8"/>
  <c r="E510" i="8"/>
  <c r="E419" i="8"/>
  <c r="E2099" i="8"/>
  <c r="E1854" i="8"/>
  <c r="E1856" i="8"/>
  <c r="E1897" i="8"/>
  <c r="E1882" i="8"/>
  <c r="E2394" i="8"/>
  <c r="E1604" i="8"/>
  <c r="E834" i="8"/>
  <c r="E1901" i="8"/>
  <c r="E2593" i="8"/>
  <c r="E1568" i="8"/>
  <c r="E1608" i="8"/>
  <c r="E1353" i="8"/>
  <c r="E1364" i="8"/>
  <c r="E2604" i="8"/>
  <c r="E8" i="8"/>
  <c r="E718" i="8"/>
  <c r="E964" i="8"/>
  <c r="E961" i="8"/>
  <c r="E1270" i="8"/>
  <c r="E1248" i="8"/>
  <c r="E1251" i="8"/>
  <c r="E1293" i="8"/>
  <c r="E494" i="8"/>
  <c r="E495" i="8"/>
  <c r="E597" i="8"/>
  <c r="E511" i="8"/>
  <c r="E1907" i="8"/>
  <c r="E1569" i="8"/>
  <c r="E1846" i="8"/>
  <c r="E1889" i="8"/>
  <c r="E1891" i="8"/>
  <c r="E1545" i="8"/>
  <c r="E1858" i="8"/>
  <c r="E2219" i="8"/>
  <c r="E1951" i="8"/>
  <c r="E1831" i="8"/>
  <c r="E1904" i="8"/>
  <c r="E1866" i="8"/>
  <c r="E1547" i="8"/>
  <c r="E1573" i="8"/>
  <c r="E1380" i="8"/>
  <c r="E1381" i="8"/>
  <c r="E47" i="8"/>
  <c r="E39" i="8"/>
  <c r="E715" i="8"/>
  <c r="E18" i="8"/>
  <c r="E7" i="8"/>
  <c r="E123" i="8"/>
  <c r="E46" i="8"/>
  <c r="E1107" i="8"/>
  <c r="E30" i="8"/>
  <c r="E26" i="8"/>
  <c r="E28" i="8"/>
  <c r="E51" i="8"/>
  <c r="E35" i="8"/>
  <c r="E31" i="8"/>
  <c r="E45" i="8"/>
  <c r="E962" i="8"/>
  <c r="E716" i="8"/>
  <c r="E965" i="8"/>
  <c r="E1265" i="8"/>
  <c r="E1255" i="8"/>
  <c r="E1267" i="8"/>
  <c r="E1283" i="8"/>
  <c r="E1275" i="8"/>
  <c r="E1341" i="8"/>
  <c r="E475" i="8"/>
  <c r="E496" i="8"/>
  <c r="E420" i="8"/>
  <c r="E566" i="8"/>
  <c r="E501" i="8"/>
  <c r="E1893" i="8"/>
  <c r="E1890" i="8"/>
  <c r="E1837" i="8"/>
  <c r="E1414" i="8"/>
  <c r="E1843" i="8"/>
  <c r="E1863" i="8"/>
  <c r="E1899" i="8"/>
  <c r="E1575" i="8"/>
  <c r="E1887" i="8"/>
  <c r="E1499" i="8"/>
  <c r="E1829" i="8"/>
  <c r="E1868" i="8"/>
  <c r="E1853" i="8"/>
  <c r="E1546" i="8"/>
  <c r="E1577" i="8"/>
  <c r="E1391" i="8"/>
  <c r="E1360" i="8"/>
  <c r="G608" i="6"/>
  <c r="G590" i="6"/>
  <c r="G557" i="6"/>
  <c r="G527" i="6"/>
  <c r="G577" i="6"/>
  <c r="G551" i="6"/>
  <c r="G545" i="6"/>
  <c r="G124" i="7"/>
  <c r="G5223" i="5"/>
  <c r="G5205" i="5"/>
  <c r="G5289" i="5"/>
  <c r="H5559" i="5"/>
  <c r="G3119" i="5"/>
  <c r="H5547" i="5"/>
  <c r="H5555" i="5"/>
  <c r="H5571" i="5"/>
  <c r="H5567" i="5"/>
  <c r="H5891" i="5"/>
  <c r="H5835" i="5"/>
  <c r="H5851" i="5"/>
  <c r="H5575" i="5"/>
  <c r="H5859" i="5"/>
  <c r="H5551" i="5"/>
  <c r="H5943" i="5"/>
  <c r="H5847" i="5"/>
  <c r="H5899" i="5"/>
  <c r="H5563" i="5"/>
  <c r="H5855" i="5"/>
  <c r="H5843" i="5"/>
  <c r="H5863" i="5"/>
  <c r="H5839" i="5"/>
  <c r="H5134" i="5"/>
  <c r="H5128" i="5"/>
  <c r="G5111" i="5"/>
  <c r="G38" i="7"/>
  <c r="G395" i="6"/>
  <c r="H716" i="5"/>
  <c r="E133" i="8" s="1"/>
  <c r="H2268" i="5"/>
  <c r="H4949" i="5"/>
  <c r="E1301" i="8" s="1"/>
  <c r="H4911" i="5"/>
  <c r="H4917" i="5"/>
  <c r="H2258" i="5"/>
  <c r="H2278" i="5"/>
  <c r="H2298" i="5"/>
  <c r="H2288" i="5"/>
  <c r="H706" i="5"/>
  <c r="E132" i="8" s="1"/>
  <c r="H4852" i="5"/>
  <c r="H678" i="5"/>
  <c r="G4647" i="5"/>
  <c r="G4638" i="5"/>
  <c r="I769" i="8"/>
  <c r="H769" i="8"/>
  <c r="F769" i="8"/>
  <c r="I63" i="8"/>
  <c r="F63" i="8"/>
  <c r="H63" i="8"/>
  <c r="H403" i="8"/>
  <c r="I403" i="8"/>
  <c r="F403" i="8"/>
  <c r="I589" i="8"/>
  <c r="F589" i="8"/>
  <c r="H589" i="8"/>
  <c r="H1089" i="8"/>
  <c r="I1089" i="8"/>
  <c r="F1089" i="8"/>
  <c r="I1232" i="8"/>
  <c r="F1232" i="8"/>
  <c r="H1232" i="8"/>
  <c r="F491" i="8"/>
  <c r="H491" i="8"/>
  <c r="I491" i="8" s="1"/>
  <c r="I451" i="8"/>
  <c r="F451" i="8"/>
  <c r="H451" i="8"/>
  <c r="H1045" i="8"/>
  <c r="I1045" i="8"/>
  <c r="F1045" i="8"/>
  <c r="F693" i="8"/>
  <c r="H693" i="8"/>
  <c r="I693" i="8"/>
  <c r="I71" i="8"/>
  <c r="F71" i="8"/>
  <c r="H71" i="8"/>
  <c r="H830" i="8"/>
  <c r="I830" i="8"/>
  <c r="F830" i="8"/>
  <c r="H167" i="8"/>
  <c r="I167" i="8"/>
  <c r="F167" i="8"/>
  <c r="I481" i="8"/>
  <c r="F481" i="8"/>
  <c r="H481" i="8"/>
  <c r="I69" i="8"/>
  <c r="F69" i="8"/>
  <c r="H69" i="8"/>
  <c r="I487" i="8"/>
  <c r="F487" i="8"/>
  <c r="H487" i="8"/>
  <c r="F1010" i="8"/>
  <c r="H1010" i="8"/>
  <c r="I1010" i="8"/>
  <c r="H613" i="8"/>
  <c r="I613" i="8"/>
  <c r="F613" i="8"/>
  <c r="F793" i="8"/>
  <c r="H793" i="8"/>
  <c r="I793" i="8"/>
  <c r="F677" i="8"/>
  <c r="H677" i="8"/>
  <c r="I677" i="8"/>
  <c r="H688" i="8"/>
  <c r="I688" i="8"/>
  <c r="F688" i="8"/>
  <c r="H804" i="8"/>
  <c r="I804" i="8"/>
  <c r="F804" i="8"/>
  <c r="H816" i="8"/>
  <c r="I816" i="8"/>
  <c r="F816" i="8"/>
  <c r="F809" i="8"/>
  <c r="H809" i="8"/>
  <c r="I809" i="8"/>
  <c r="I1195" i="8"/>
  <c r="F1195" i="8"/>
  <c r="H1195" i="8"/>
  <c r="F649" i="8"/>
  <c r="H649" i="8"/>
  <c r="I649" i="8"/>
  <c r="I1218" i="8"/>
  <c r="F1218" i="8"/>
  <c r="H1218" i="8"/>
  <c r="F761" i="8"/>
  <c r="I761" i="8"/>
  <c r="H761" i="8"/>
  <c r="F665" i="8"/>
  <c r="H665" i="8"/>
  <c r="I665" i="8"/>
  <c r="I1208" i="8"/>
  <c r="F1208" i="8"/>
  <c r="H1208" i="8"/>
  <c r="H750" i="8"/>
  <c r="I750" i="8"/>
  <c r="F750" i="8"/>
  <c r="H736" i="8"/>
  <c r="I736" i="8"/>
  <c r="F736" i="8"/>
  <c r="I1235" i="8"/>
  <c r="F1235" i="8"/>
  <c r="H1235" i="8"/>
  <c r="H387" i="8"/>
  <c r="I387" i="8"/>
  <c r="F387" i="8"/>
  <c r="I545" i="8"/>
  <c r="F545" i="8"/>
  <c r="H545" i="8"/>
  <c r="F843" i="8"/>
  <c r="H843" i="8"/>
  <c r="I843" i="8"/>
  <c r="I527" i="8"/>
  <c r="F527" i="8"/>
  <c r="H527" i="8"/>
  <c r="F141" i="8"/>
  <c r="H141" i="8"/>
  <c r="I141" i="8"/>
  <c r="F647" i="8"/>
  <c r="H647" i="8"/>
  <c r="I647" i="8"/>
  <c r="I77" i="8"/>
  <c r="F77" i="8"/>
  <c r="H77" i="8"/>
  <c r="I555" i="8"/>
  <c r="F555" i="8"/>
  <c r="H555" i="8"/>
  <c r="H599" i="8"/>
  <c r="I599" i="8"/>
  <c r="F599" i="8"/>
  <c r="I539" i="8"/>
  <c r="F539" i="8"/>
  <c r="H539" i="8"/>
  <c r="I611" i="8"/>
  <c r="F611" i="8"/>
  <c r="H611" i="8"/>
  <c r="F651" i="8"/>
  <c r="H651" i="8"/>
  <c r="I651" i="8"/>
  <c r="F667" i="8"/>
  <c r="H667" i="8"/>
  <c r="I667" i="8"/>
  <c r="F683" i="8"/>
  <c r="H683" i="8"/>
  <c r="I683" i="8"/>
  <c r="I587" i="8"/>
  <c r="F587" i="8"/>
  <c r="H587" i="8"/>
  <c r="I607" i="8"/>
  <c r="F607" i="8"/>
  <c r="H607" i="8"/>
  <c r="I631" i="8"/>
  <c r="F631" i="8"/>
  <c r="H631" i="8"/>
  <c r="I531" i="8"/>
  <c r="F531" i="8"/>
  <c r="H531" i="8"/>
  <c r="I615" i="8"/>
  <c r="F615" i="8"/>
  <c r="H615" i="8"/>
  <c r="F595" i="8"/>
  <c r="H595" i="8"/>
  <c r="I595" i="8"/>
  <c r="F635" i="8"/>
  <c r="H635" i="8"/>
  <c r="I635" i="8"/>
  <c r="F655" i="8"/>
  <c r="H655" i="8"/>
  <c r="I655" i="8"/>
  <c r="F671" i="8"/>
  <c r="H671" i="8"/>
  <c r="I671" i="8"/>
  <c r="I441" i="8"/>
  <c r="F441" i="8"/>
  <c r="H441" i="8"/>
  <c r="F749" i="8"/>
  <c r="H749" i="8"/>
  <c r="I749" i="8"/>
  <c r="F701" i="8"/>
  <c r="H701" i="8"/>
  <c r="I701" i="8"/>
  <c r="I1151" i="8"/>
  <c r="H1151" i="8"/>
  <c r="F1151" i="8"/>
  <c r="I445" i="8"/>
  <c r="F445" i="8"/>
  <c r="H445" i="8"/>
  <c r="I433" i="8"/>
  <c r="F433" i="8"/>
  <c r="H433" i="8"/>
  <c r="H1091" i="8"/>
  <c r="I1091" i="8"/>
  <c r="F1091" i="8"/>
  <c r="H401" i="8"/>
  <c r="I401" i="8"/>
  <c r="F401" i="8"/>
  <c r="H744" i="8"/>
  <c r="I744" i="8"/>
  <c r="F744" i="8"/>
  <c r="I457" i="8"/>
  <c r="F457" i="8"/>
  <c r="H457" i="8"/>
  <c r="H704" i="8"/>
  <c r="I704" i="8"/>
  <c r="F704" i="8"/>
  <c r="F1080" i="8"/>
  <c r="H1080" i="8"/>
  <c r="I1080" i="8"/>
  <c r="H1101" i="8"/>
  <c r="I1101" i="8"/>
  <c r="F1101" i="8"/>
  <c r="I529" i="8"/>
  <c r="F529" i="8"/>
  <c r="H529" i="8"/>
  <c r="I1204" i="8"/>
  <c r="F1204" i="8"/>
  <c r="H1204" i="8"/>
  <c r="I455" i="8"/>
  <c r="F455" i="8"/>
  <c r="H455" i="8"/>
  <c r="I469" i="8"/>
  <c r="F469" i="8"/>
  <c r="H469" i="8"/>
  <c r="F817" i="8"/>
  <c r="H817" i="8"/>
  <c r="I817" i="8"/>
  <c r="I537" i="8"/>
  <c r="F537" i="8"/>
  <c r="H537" i="8"/>
  <c r="H692" i="8"/>
  <c r="I692" i="8"/>
  <c r="F692" i="8"/>
  <c r="H601" i="8"/>
  <c r="I601" i="8"/>
  <c r="F601" i="8"/>
  <c r="I1223" i="8"/>
  <c r="F1223" i="8"/>
  <c r="H1223" i="8"/>
  <c r="I55" i="8"/>
  <c r="F55" i="8"/>
  <c r="H55" i="8"/>
  <c r="H621" i="8"/>
  <c r="I621" i="8"/>
  <c r="F621" i="8"/>
  <c r="F847" i="8"/>
  <c r="H847" i="8"/>
  <c r="I847" i="8"/>
  <c r="I1216" i="8"/>
  <c r="F1216" i="8"/>
  <c r="H1216" i="8"/>
  <c r="H826" i="8"/>
  <c r="I826" i="8"/>
  <c r="F826" i="8"/>
  <c r="I493" i="8"/>
  <c r="F493" i="8"/>
  <c r="H493" i="8"/>
  <c r="H788" i="8"/>
  <c r="I788" i="8"/>
  <c r="F788" i="8"/>
  <c r="F787" i="8"/>
  <c r="H787" i="8"/>
  <c r="I787" i="8"/>
  <c r="F1090" i="8"/>
  <c r="H1090" i="8"/>
  <c r="I1090" i="8"/>
  <c r="I1203" i="8"/>
  <c r="F1203" i="8"/>
  <c r="H1203" i="8"/>
  <c r="H629" i="8"/>
  <c r="I629" i="8"/>
  <c r="F629" i="8"/>
  <c r="I1227" i="8"/>
  <c r="F1227" i="8"/>
  <c r="H1227" i="8"/>
  <c r="H810" i="8"/>
  <c r="I810" i="8"/>
  <c r="F810" i="8"/>
  <c r="I768" i="8"/>
  <c r="F768" i="8"/>
  <c r="H768" i="8"/>
  <c r="H696" i="8"/>
  <c r="I696" i="8"/>
  <c r="F696" i="8"/>
  <c r="H746" i="8"/>
  <c r="I746" i="8"/>
  <c r="F746" i="8"/>
  <c r="H686" i="8"/>
  <c r="I686" i="8"/>
  <c r="F686" i="8"/>
  <c r="F661" i="8"/>
  <c r="H661" i="8"/>
  <c r="I661" i="8"/>
  <c r="I1214" i="8"/>
  <c r="F1214" i="8"/>
  <c r="H1214" i="8"/>
  <c r="H295" i="8"/>
  <c r="I295" i="8"/>
  <c r="F295" i="8"/>
  <c r="H411" i="8"/>
  <c r="I411" i="8"/>
  <c r="F411" i="8"/>
  <c r="H609" i="8"/>
  <c r="I609" i="8"/>
  <c r="F609" i="8"/>
  <c r="F637" i="8"/>
  <c r="H637" i="8"/>
  <c r="I637" i="8"/>
  <c r="F669" i="8"/>
  <c r="H669" i="8"/>
  <c r="I669" i="8"/>
  <c r="F1096" i="8"/>
  <c r="H1096" i="8"/>
  <c r="I1096" i="8"/>
  <c r="I1222" i="8"/>
  <c r="F1222" i="8"/>
  <c r="H1222" i="8"/>
  <c r="F950" i="8"/>
  <c r="H950" i="8"/>
  <c r="I950" i="8"/>
  <c r="F827" i="8"/>
  <c r="H827" i="8"/>
  <c r="I827" i="8"/>
  <c r="H169" i="8"/>
  <c r="I169" i="8"/>
  <c r="F169" i="8"/>
  <c r="I449" i="8"/>
  <c r="F449" i="8"/>
  <c r="H449" i="8"/>
  <c r="F741" i="8"/>
  <c r="H741" i="8"/>
  <c r="I741" i="8"/>
  <c r="I1188" i="8"/>
  <c r="F1188" i="8"/>
  <c r="H1188" i="8"/>
  <c r="F745" i="8"/>
  <c r="H745" i="8"/>
  <c r="I745" i="8"/>
  <c r="I561" i="8"/>
  <c r="F561" i="8"/>
  <c r="H561" i="8"/>
  <c r="H732" i="8"/>
  <c r="I732" i="8"/>
  <c r="F732" i="8"/>
  <c r="F673" i="8"/>
  <c r="H673" i="8"/>
  <c r="I673" i="8"/>
  <c r="I427" i="8"/>
  <c r="F427" i="8"/>
  <c r="H427" i="8"/>
  <c r="I459" i="8"/>
  <c r="H459" i="8"/>
  <c r="F459" i="8"/>
  <c r="H1027" i="8"/>
  <c r="I1027" i="8"/>
  <c r="F1027" i="8"/>
  <c r="H1033" i="8"/>
  <c r="I1033" i="8"/>
  <c r="F1033" i="8"/>
  <c r="H1001" i="8"/>
  <c r="I1001" i="8"/>
  <c r="F1001" i="8"/>
  <c r="F773" i="8"/>
  <c r="H773" i="8"/>
  <c r="I773" i="8"/>
  <c r="F1056" i="8"/>
  <c r="H1056" i="8"/>
  <c r="I1056" i="8"/>
  <c r="F1052" i="8"/>
  <c r="H1052" i="8"/>
  <c r="I1052" i="8"/>
  <c r="H754" i="8"/>
  <c r="I754" i="8"/>
  <c r="F754" i="8"/>
  <c r="H848" i="8"/>
  <c r="I848" i="8"/>
  <c r="F848" i="8"/>
  <c r="I1225" i="8"/>
  <c r="F1225" i="8"/>
  <c r="H1225" i="8"/>
  <c r="I1191" i="8"/>
  <c r="F1191" i="8"/>
  <c r="H1191" i="8"/>
  <c r="I1229" i="8"/>
  <c r="F1229" i="8"/>
  <c r="H1229" i="8"/>
  <c r="I1199" i="8"/>
  <c r="F1199" i="8"/>
  <c r="H1199" i="8"/>
  <c r="H617" i="8"/>
  <c r="I617" i="8"/>
  <c r="F617" i="8"/>
  <c r="I549" i="8"/>
  <c r="F549" i="8"/>
  <c r="H549" i="8"/>
  <c r="H708" i="8"/>
  <c r="I708" i="8"/>
  <c r="F708" i="8"/>
  <c r="H1011" i="8"/>
  <c r="I1011" i="8"/>
  <c r="F1011" i="8"/>
  <c r="I461" i="8"/>
  <c r="F461" i="8"/>
  <c r="H461" i="8"/>
  <c r="F729" i="8"/>
  <c r="H729" i="8"/>
  <c r="I729" i="8"/>
  <c r="F1233" i="8"/>
  <c r="H1233" i="8"/>
  <c r="H814" i="8"/>
  <c r="I814" i="8"/>
  <c r="F814" i="8"/>
  <c r="I485" i="8"/>
  <c r="F485" i="8"/>
  <c r="H485" i="8"/>
  <c r="H730" i="8"/>
  <c r="I730" i="8"/>
  <c r="F730" i="8"/>
  <c r="F1020" i="8"/>
  <c r="H1020" i="8"/>
  <c r="I1020" i="8"/>
  <c r="F777" i="8"/>
  <c r="H777" i="8"/>
  <c r="I777" i="8"/>
  <c r="F1030" i="8"/>
  <c r="H1030" i="8"/>
  <c r="I1030" i="8"/>
  <c r="H806" i="8"/>
  <c r="I806" i="8"/>
  <c r="F806" i="8"/>
  <c r="F1038" i="8"/>
  <c r="H1038" i="8"/>
  <c r="I1038" i="8"/>
  <c r="F1032" i="8"/>
  <c r="H1032" i="8"/>
  <c r="I1032" i="8"/>
  <c r="H790" i="8"/>
  <c r="I790" i="8"/>
  <c r="F790" i="8"/>
  <c r="F1048" i="8"/>
  <c r="H1048" i="8"/>
  <c r="I1048" i="8"/>
  <c r="F1012" i="8"/>
  <c r="H1012" i="8"/>
  <c r="I1012" i="8"/>
  <c r="H794" i="8"/>
  <c r="I794" i="8"/>
  <c r="F794" i="8"/>
  <c r="F990" i="8"/>
  <c r="H990" i="8"/>
  <c r="I990" i="8"/>
  <c r="F998" i="8"/>
  <c r="H998" i="8"/>
  <c r="I998" i="8" s="1"/>
  <c r="H842" i="8"/>
  <c r="I842" i="8"/>
  <c r="F842" i="8"/>
  <c r="F825" i="8"/>
  <c r="H825" i="8"/>
  <c r="I825" i="8"/>
  <c r="F1040" i="8"/>
  <c r="H1040" i="8"/>
  <c r="I1040" i="8"/>
  <c r="F1054" i="8"/>
  <c r="H1054" i="8"/>
  <c r="I1054" i="8"/>
  <c r="H792" i="8"/>
  <c r="I792" i="8"/>
  <c r="F792" i="8"/>
  <c r="I1196" i="8"/>
  <c r="F1196" i="8"/>
  <c r="H1196" i="8"/>
  <c r="I1206" i="8"/>
  <c r="F1206" i="8"/>
  <c r="H1206" i="8"/>
  <c r="I1194" i="8"/>
  <c r="F1194" i="8"/>
  <c r="H1194" i="8"/>
  <c r="I435" i="8"/>
  <c r="F435" i="8"/>
  <c r="H435" i="8"/>
  <c r="I467" i="8"/>
  <c r="F467" i="8"/>
  <c r="H467" i="8"/>
  <c r="H786" i="8"/>
  <c r="I786" i="8"/>
  <c r="F786" i="8"/>
  <c r="I465" i="8"/>
  <c r="F465" i="8"/>
  <c r="H465" i="8"/>
  <c r="F757" i="8"/>
  <c r="H757" i="8"/>
  <c r="I757" i="8"/>
  <c r="I497" i="8"/>
  <c r="F497" i="8"/>
  <c r="H497" i="8"/>
  <c r="F801" i="8"/>
  <c r="H801" i="8"/>
  <c r="I801" i="8"/>
  <c r="H752" i="8"/>
  <c r="I752" i="8"/>
  <c r="F752" i="8"/>
  <c r="I479" i="8"/>
  <c r="F479" i="8"/>
  <c r="H479" i="8"/>
  <c r="I471" i="8"/>
  <c r="F471" i="8"/>
  <c r="H471" i="8"/>
  <c r="F944" i="8"/>
  <c r="H944" i="8"/>
  <c r="I944" i="8"/>
  <c r="H836" i="8"/>
  <c r="I836" i="8"/>
  <c r="F836" i="8"/>
  <c r="H772" i="8"/>
  <c r="I772" i="8"/>
  <c r="F772" i="8"/>
  <c r="F709" i="8"/>
  <c r="H709" i="8"/>
  <c r="I709" i="8"/>
  <c r="F1024" i="8"/>
  <c r="H1024" i="8"/>
  <c r="I1024" i="8"/>
  <c r="H820" i="8"/>
  <c r="I820" i="8"/>
  <c r="F820" i="8"/>
  <c r="F1022" i="8"/>
  <c r="H1022" i="8"/>
  <c r="I1022" i="8"/>
  <c r="I293" i="8"/>
  <c r="F293" i="8"/>
  <c r="H293" i="8"/>
  <c r="I65" i="8"/>
  <c r="F65" i="8"/>
  <c r="H65" i="8"/>
  <c r="H748" i="8"/>
  <c r="I748" i="8"/>
  <c r="F748" i="8"/>
  <c r="I1187" i="8"/>
  <c r="F1187" i="8"/>
  <c r="H1187" i="8"/>
  <c r="I1213" i="8"/>
  <c r="F1213" i="8"/>
  <c r="H1213" i="8"/>
  <c r="F1086" i="8"/>
  <c r="H1086" i="8"/>
  <c r="I1086" i="8"/>
  <c r="F1014" i="8"/>
  <c r="H1014" i="8"/>
  <c r="I1014" i="8"/>
  <c r="H760" i="8"/>
  <c r="I760" i="8"/>
  <c r="F760" i="8"/>
  <c r="I543" i="8"/>
  <c r="F543" i="8"/>
  <c r="H543" i="8"/>
  <c r="I603" i="8"/>
  <c r="F603" i="8"/>
  <c r="H603" i="8"/>
  <c r="I623" i="8"/>
  <c r="F623" i="8"/>
  <c r="H623" i="8"/>
  <c r="I591" i="8"/>
  <c r="F591" i="8"/>
  <c r="H591" i="8"/>
  <c r="I563" i="8"/>
  <c r="F563" i="8"/>
  <c r="H563" i="8"/>
  <c r="F639" i="8"/>
  <c r="H639" i="8"/>
  <c r="I639" i="8"/>
  <c r="F659" i="8"/>
  <c r="H659" i="8"/>
  <c r="I659" i="8"/>
  <c r="F675" i="8"/>
  <c r="H675" i="8"/>
  <c r="I675" i="8"/>
  <c r="F139" i="8"/>
  <c r="H139" i="8"/>
  <c r="I139" i="8"/>
  <c r="I619" i="8"/>
  <c r="F619" i="8"/>
  <c r="H619" i="8"/>
  <c r="I551" i="8"/>
  <c r="F551" i="8"/>
  <c r="H551" i="8"/>
  <c r="I559" i="8"/>
  <c r="F559" i="8"/>
  <c r="H559" i="8"/>
  <c r="I547" i="8"/>
  <c r="F547" i="8"/>
  <c r="H547" i="8"/>
  <c r="I627" i="8"/>
  <c r="F627" i="8"/>
  <c r="H627" i="8"/>
  <c r="F643" i="8"/>
  <c r="H643" i="8"/>
  <c r="I643" i="8"/>
  <c r="F663" i="8"/>
  <c r="H663" i="8"/>
  <c r="I663" i="8"/>
  <c r="I439" i="8"/>
  <c r="F439" i="8"/>
  <c r="H439" i="8"/>
  <c r="I429" i="8"/>
  <c r="F429" i="8"/>
  <c r="H429" i="8"/>
  <c r="I521" i="8"/>
  <c r="F521" i="8"/>
  <c r="H521" i="8"/>
  <c r="I535" i="8"/>
  <c r="F535" i="8"/>
  <c r="H535" i="8"/>
  <c r="F679" i="8"/>
  <c r="H679" i="8"/>
  <c r="I679" i="8"/>
  <c r="I523" i="8"/>
  <c r="F523" i="8"/>
  <c r="H523" i="8"/>
  <c r="I443" i="8"/>
  <c r="F443" i="8"/>
  <c r="H443" i="8"/>
  <c r="I425" i="8"/>
  <c r="F425" i="8"/>
  <c r="H425" i="8"/>
  <c r="I437" i="8"/>
  <c r="F437" i="8"/>
  <c r="H437" i="8"/>
  <c r="H393" i="8"/>
  <c r="I393" i="8"/>
  <c r="F393" i="8"/>
  <c r="H782" i="8"/>
  <c r="I782" i="8"/>
  <c r="F782" i="8"/>
  <c r="I1217" i="8"/>
  <c r="F1217" i="8"/>
  <c r="H1217" i="8"/>
  <c r="I525" i="8"/>
  <c r="F525" i="8"/>
  <c r="H525" i="8"/>
  <c r="I431" i="8"/>
  <c r="F431" i="8"/>
  <c r="H431" i="8"/>
  <c r="I1193" i="8"/>
  <c r="F1193" i="8"/>
  <c r="H1193" i="8"/>
  <c r="I1230" i="8"/>
  <c r="F1230" i="8"/>
  <c r="H1230" i="8"/>
  <c r="I423" i="8"/>
  <c r="F423" i="8"/>
  <c r="H423" i="8"/>
  <c r="H399" i="8"/>
  <c r="I399" i="8"/>
  <c r="F399" i="8"/>
  <c r="I59" i="8"/>
  <c r="F59" i="8"/>
  <c r="H59" i="8"/>
  <c r="I553" i="8"/>
  <c r="F553" i="8"/>
  <c r="H553" i="8"/>
  <c r="I489" i="8"/>
  <c r="F489" i="8"/>
  <c r="H489" i="8"/>
  <c r="F685" i="8"/>
  <c r="H685" i="8"/>
  <c r="I685" i="8"/>
  <c r="H724" i="8"/>
  <c r="I724" i="8"/>
  <c r="F724" i="8"/>
  <c r="F946" i="8"/>
  <c r="H946" i="8"/>
  <c r="I946" i="8"/>
  <c r="H798" i="8"/>
  <c r="I798" i="8"/>
  <c r="F798" i="8"/>
  <c r="F137" i="8"/>
  <c r="H137" i="8"/>
  <c r="I137" i="8"/>
  <c r="H776" i="8"/>
  <c r="I776" i="8"/>
  <c r="F776" i="8"/>
  <c r="H844" i="8"/>
  <c r="I844" i="8"/>
  <c r="F844" i="8"/>
  <c r="I565" i="8"/>
  <c r="F565" i="8"/>
  <c r="H565" i="8"/>
  <c r="F725" i="8"/>
  <c r="H725" i="8"/>
  <c r="I725" i="8"/>
  <c r="F1072" i="8"/>
  <c r="H1072" i="8"/>
  <c r="I1072" i="8"/>
  <c r="I541" i="8"/>
  <c r="F541" i="8"/>
  <c r="H541" i="8"/>
  <c r="H778" i="8"/>
  <c r="I778" i="8"/>
  <c r="F778" i="8"/>
  <c r="H297" i="8"/>
  <c r="I297" i="8"/>
  <c r="F297" i="8"/>
  <c r="H700" i="8"/>
  <c r="I700" i="8"/>
  <c r="F700" i="8"/>
  <c r="H1053" i="8"/>
  <c r="I1053" i="8"/>
  <c r="F1053" i="8"/>
  <c r="F1026" i="8"/>
  <c r="H1026" i="8"/>
  <c r="I1026" i="8"/>
  <c r="I61" i="8"/>
  <c r="F61" i="8"/>
  <c r="H61" i="8"/>
  <c r="I1210" i="8"/>
  <c r="F1210" i="8"/>
  <c r="H1210" i="8"/>
  <c r="F1084" i="8"/>
  <c r="H1084" i="8"/>
  <c r="I1084" i="8"/>
  <c r="H712" i="8"/>
  <c r="I712" i="8"/>
  <c r="F712" i="8"/>
  <c r="H846" i="8"/>
  <c r="I846" i="8"/>
  <c r="F846" i="8"/>
  <c r="H728" i="8"/>
  <c r="I728" i="8"/>
  <c r="F728" i="8"/>
  <c r="I1202" i="8"/>
  <c r="F1202" i="8"/>
  <c r="H1202" i="8"/>
  <c r="F1108" i="8"/>
  <c r="H1108" i="8"/>
  <c r="I1108" i="8"/>
  <c r="I291" i="8"/>
  <c r="F291" i="8"/>
  <c r="H291" i="8"/>
  <c r="F697" i="8"/>
  <c r="H697" i="8"/>
  <c r="I697" i="8"/>
  <c r="F657" i="8"/>
  <c r="H657" i="8"/>
  <c r="I657" i="8"/>
  <c r="I1190" i="8"/>
  <c r="F1190" i="8"/>
  <c r="H1190" i="8"/>
  <c r="I1198" i="8"/>
  <c r="F1198" i="8"/>
  <c r="H1198" i="8"/>
  <c r="H1051" i="8"/>
  <c r="I1051" i="8"/>
  <c r="F1051" i="8"/>
  <c r="I1226" i="8"/>
  <c r="F1226" i="8"/>
  <c r="H1226" i="8"/>
  <c r="H1149" i="8"/>
  <c r="I1149" i="8"/>
  <c r="F1149" i="8"/>
  <c r="I453" i="8"/>
  <c r="F453" i="8"/>
  <c r="H453" i="8"/>
  <c r="I483" i="8"/>
  <c r="F483" i="8"/>
  <c r="H483" i="8"/>
  <c r="H395" i="8"/>
  <c r="I395" i="8"/>
  <c r="F395" i="8"/>
  <c r="F1100" i="8"/>
  <c r="H1100" i="8"/>
  <c r="I1100" i="8"/>
  <c r="I73" i="8"/>
  <c r="F73" i="8"/>
  <c r="H73" i="8"/>
  <c r="F737" i="8"/>
  <c r="H737" i="8"/>
  <c r="I737" i="8"/>
  <c r="H625" i="8"/>
  <c r="I625" i="8"/>
  <c r="F625" i="8"/>
  <c r="H764" i="8"/>
  <c r="F764" i="8"/>
  <c r="I764" i="8"/>
  <c r="F641" i="8"/>
  <c r="H641" i="8"/>
  <c r="I641" i="8"/>
  <c r="F1104" i="8"/>
  <c r="H1104" i="8"/>
  <c r="I1104" i="8"/>
  <c r="H1061" i="8"/>
  <c r="I1061" i="8"/>
  <c r="F1061" i="8"/>
  <c r="H1009" i="8"/>
  <c r="I1009" i="8"/>
  <c r="F1009" i="8"/>
  <c r="I557" i="8"/>
  <c r="F557" i="8"/>
  <c r="H557" i="8"/>
  <c r="H784" i="8"/>
  <c r="I784" i="8"/>
  <c r="F784" i="8"/>
  <c r="H828" i="8"/>
  <c r="I828" i="8"/>
  <c r="F828" i="8"/>
  <c r="F841" i="8"/>
  <c r="H841" i="8"/>
  <c r="I841" i="8"/>
  <c r="F839" i="8"/>
  <c r="H839" i="8"/>
  <c r="I839" i="8"/>
  <c r="F807" i="8"/>
  <c r="H807" i="8"/>
  <c r="I807" i="8"/>
  <c r="H800" i="8"/>
  <c r="I800" i="8"/>
  <c r="F800" i="8"/>
  <c r="H1037" i="8"/>
  <c r="I1037" i="8"/>
  <c r="F1037" i="8"/>
  <c r="F645" i="8"/>
  <c r="H645" i="8"/>
  <c r="I645" i="8"/>
  <c r="H756" i="8"/>
  <c r="I756" i="8"/>
  <c r="F756" i="8"/>
  <c r="I1221" i="8"/>
  <c r="F1221" i="8"/>
  <c r="H1221" i="8"/>
  <c r="I447" i="8"/>
  <c r="F447" i="8"/>
  <c r="H447" i="8"/>
  <c r="H690" i="8"/>
  <c r="I690" i="8"/>
  <c r="F690" i="8"/>
  <c r="F633" i="8"/>
  <c r="H633" i="8"/>
  <c r="I633" i="8"/>
  <c r="H740" i="8"/>
  <c r="I740" i="8"/>
  <c r="F740" i="8"/>
  <c r="I1219" i="8"/>
  <c r="F1219" i="8"/>
  <c r="H1219" i="8"/>
  <c r="F705" i="8"/>
  <c r="H705" i="8"/>
  <c r="I705" i="8"/>
  <c r="I463" i="8"/>
  <c r="H463" i="8"/>
  <c r="F463" i="8"/>
  <c r="I533" i="8"/>
  <c r="F533" i="8"/>
  <c r="H533" i="8"/>
  <c r="H1049" i="8"/>
  <c r="I1049" i="8"/>
  <c r="F1049" i="8"/>
  <c r="H762" i="8"/>
  <c r="I762" i="8"/>
  <c r="F762" i="8"/>
  <c r="H698" i="8"/>
  <c r="I698" i="8"/>
  <c r="F698" i="8"/>
  <c r="H605" i="8"/>
  <c r="I605" i="8"/>
  <c r="F605" i="8"/>
  <c r="F974" i="8"/>
  <c r="H974" i="8"/>
  <c r="I974" i="8"/>
  <c r="F781" i="8"/>
  <c r="H781" i="8"/>
  <c r="I781" i="8"/>
  <c r="H780" i="8"/>
  <c r="I780" i="8"/>
  <c r="F780" i="8"/>
  <c r="H1003" i="8"/>
  <c r="I1003" i="8"/>
  <c r="F1003" i="8"/>
  <c r="H1025" i="8"/>
  <c r="I1025" i="8"/>
  <c r="F1025" i="8"/>
  <c r="F887" i="8"/>
  <c r="H887" i="8"/>
  <c r="I887" i="8"/>
  <c r="H1007" i="8"/>
  <c r="I1007" i="8"/>
  <c r="F1007" i="8"/>
  <c r="F1062" i="8"/>
  <c r="H1062" i="8"/>
  <c r="I1062" i="8"/>
  <c r="F1004" i="8"/>
  <c r="H1004" i="8"/>
  <c r="I1004" i="8"/>
  <c r="I67" i="8"/>
  <c r="F67" i="8"/>
  <c r="H67" i="8"/>
  <c r="F653" i="8"/>
  <c r="H653" i="8"/>
  <c r="I653" i="8"/>
  <c r="H838" i="8"/>
  <c r="I838" i="8"/>
  <c r="F838" i="8"/>
  <c r="F823" i="8"/>
  <c r="H823" i="8"/>
  <c r="I823" i="8"/>
  <c r="H822" i="8"/>
  <c r="I822" i="8"/>
  <c r="F822" i="8"/>
  <c r="H796" i="8"/>
  <c r="I796" i="8"/>
  <c r="F796" i="8"/>
  <c r="F1044" i="8"/>
  <c r="H1044" i="8"/>
  <c r="I1044" i="8"/>
  <c r="F968" i="8"/>
  <c r="H968" i="8"/>
  <c r="I968" i="8"/>
  <c r="E1291" i="8" l="1"/>
  <c r="E1922" i="8"/>
  <c r="E2100" i="8"/>
  <c r="E2384" i="8"/>
  <c r="E1814" i="8"/>
  <c r="E1815" i="8"/>
  <c r="E1277" i="8"/>
  <c r="E1290" i="8"/>
  <c r="E1347" i="8"/>
  <c r="E1930" i="8"/>
  <c r="E1926" i="8"/>
  <c r="E1819" i="8"/>
  <c r="E1348" i="8"/>
  <c r="E129" i="8"/>
  <c r="E369" i="8"/>
  <c r="E1923" i="8"/>
  <c r="E1813" i="8"/>
  <c r="E370" i="8"/>
  <c r="E367" i="8"/>
  <c r="E368" i="8"/>
  <c r="E1924" i="8"/>
  <c r="E1920" i="8"/>
  <c r="E1817" i="8"/>
  <c r="E1812" i="8"/>
  <c r="E1928" i="8"/>
  <c r="E366" i="8"/>
  <c r="E1921" i="8"/>
  <c r="E1816" i="8"/>
  <c r="E2096" i="8"/>
  <c r="E1818" i="8"/>
  <c r="G5976" i="5"/>
  <c r="G5965" i="5"/>
  <c r="G6186" i="5"/>
  <c r="H5287" i="5"/>
  <c r="E1382" i="8" s="1"/>
  <c r="H5203" i="5"/>
  <c r="G5224" i="5"/>
  <c r="I1233" i="8"/>
  <c r="H5107" i="5"/>
  <c r="E1340" i="8" s="1"/>
  <c r="G4784" i="5"/>
  <c r="H4735" i="5"/>
  <c r="G4726" i="5"/>
  <c r="H4646" i="5"/>
  <c r="G4628" i="5"/>
  <c r="I1297" i="8"/>
  <c r="H1297" i="8"/>
  <c r="F1297" i="8"/>
  <c r="F1298" i="8"/>
  <c r="I1298" i="8"/>
  <c r="H1298" i="8"/>
  <c r="I1299" i="8"/>
  <c r="F1299" i="8"/>
  <c r="H1299" i="8"/>
  <c r="H1295" i="8"/>
  <c r="F1295" i="8"/>
  <c r="I1295" i="8"/>
  <c r="F1296" i="8"/>
  <c r="I1296" i="8"/>
  <c r="H1296" i="8"/>
  <c r="I1243" i="8"/>
  <c r="H1243" i="8"/>
  <c r="F1243" i="8"/>
  <c r="H1282" i="8"/>
  <c r="F1282" i="8"/>
  <c r="I1282" i="8"/>
  <c r="H1244" i="8"/>
  <c r="F1244" i="8"/>
  <c r="I1244" i="8"/>
  <c r="H1280" i="8"/>
  <c r="F1280" i="8"/>
  <c r="I1280" i="8"/>
  <c r="I1258" i="8"/>
  <c r="H1258" i="8"/>
  <c r="F1258" i="8"/>
  <c r="I1259" i="8"/>
  <c r="H1259" i="8"/>
  <c r="F1259" i="8"/>
  <c r="F1281" i="8"/>
  <c r="I1281" i="8"/>
  <c r="H1281" i="8"/>
  <c r="F1279" i="8"/>
  <c r="I1279" i="8"/>
  <c r="H1279" i="8"/>
  <c r="F1242" i="8"/>
  <c r="I1242" i="8"/>
  <c r="H1242" i="8"/>
  <c r="E1363" i="8" l="1"/>
  <c r="E1245" i="8"/>
  <c r="E1257" i="8"/>
  <c r="G6014" i="5"/>
  <c r="H6010" i="5" s="1"/>
  <c r="E2601" i="8" s="1"/>
  <c r="H6177" i="5"/>
  <c r="H5222" i="5"/>
  <c r="H1393" i="8"/>
  <c r="I1393" i="8" s="1"/>
  <c r="H1380" i="8"/>
  <c r="I1380" i="8" s="1"/>
  <c r="H1391" i="8"/>
  <c r="I1391" i="8" s="1"/>
  <c r="F1391" i="8"/>
  <c r="H1392" i="8"/>
  <c r="I1392" i="8" s="1"/>
  <c r="F1392" i="8"/>
  <c r="F1360" i="8"/>
  <c r="H1360" i="8"/>
  <c r="I1360" i="8" s="1"/>
  <c r="F1352" i="8"/>
  <c r="H1352" i="8"/>
  <c r="I1352" i="8" s="1"/>
  <c r="H1381" i="8"/>
  <c r="I1381" i="8" s="1"/>
  <c r="F1381" i="8"/>
  <c r="H4783" i="5"/>
  <c r="H4725" i="5"/>
  <c r="E1366" i="8" l="1"/>
  <c r="E1256" i="8"/>
  <c r="E1266" i="8"/>
  <c r="E2620" i="8"/>
  <c r="F2613" i="8"/>
  <c r="H2604" i="8"/>
  <c r="I2604" i="8" s="1"/>
  <c r="F2604" i="8"/>
  <c r="H2597" i="8"/>
  <c r="I2597" i="8" s="1"/>
  <c r="F2597" i="8"/>
  <c r="H2599" i="8"/>
  <c r="I2599" i="8" s="1"/>
  <c r="F2599" i="8"/>
  <c r="H2598" i="8"/>
  <c r="I2598" i="8" s="1"/>
  <c r="F2598" i="8"/>
  <c r="F2610" i="8"/>
  <c r="H2610" i="8"/>
  <c r="I2610" i="8"/>
  <c r="H2603" i="8"/>
  <c r="I2603" i="8" s="1"/>
  <c r="F2603" i="8"/>
  <c r="F2608" i="8"/>
  <c r="H2608" i="8"/>
  <c r="I2608" i="8" s="1"/>
  <c r="F2616" i="8"/>
  <c r="H2616" i="8"/>
  <c r="I2616" i="8" s="1"/>
  <c r="F1393" i="8"/>
  <c r="F1380" i="8"/>
  <c r="F1605" i="8"/>
  <c r="F1608" i="8"/>
  <c r="H1608" i="8"/>
  <c r="I1608" i="8" s="1"/>
  <c r="H1568" i="8"/>
  <c r="I1568" i="8" s="1"/>
  <c r="F1568" i="8"/>
  <c r="H1571" i="8"/>
  <c r="I1571" i="8" s="1"/>
  <c r="F1571" i="8"/>
  <c r="F1606" i="8"/>
  <c r="H1606" i="8"/>
  <c r="I1606" i="8" s="1"/>
  <c r="H1551" i="8"/>
  <c r="I1551" i="8" s="1"/>
  <c r="F1551" i="8"/>
  <c r="F1570" i="8"/>
  <c r="H1570" i="8"/>
  <c r="I1570" i="8" s="1"/>
  <c r="H1574" i="8"/>
  <c r="I1574" i="8" s="1"/>
  <c r="F1574" i="8"/>
  <c r="F1493" i="8"/>
  <c r="H1493" i="8"/>
  <c r="I1493" i="8" s="1"/>
  <c r="F1815" i="8"/>
  <c r="H1815" i="8"/>
  <c r="I1815" i="8" s="1"/>
  <c r="H1573" i="8"/>
  <c r="I1573" i="8" s="1"/>
  <c r="F1573" i="8"/>
  <c r="H1812" i="8"/>
  <c r="I1812" i="8" s="1"/>
  <c r="F1812" i="8"/>
  <c r="H1577" i="8"/>
  <c r="I1577" i="8" s="1"/>
  <c r="F1577" i="8"/>
  <c r="H1547" i="8"/>
  <c r="I1547" i="8" s="1"/>
  <c r="F1547" i="8"/>
  <c r="F1817" i="8"/>
  <c r="H1817" i="8"/>
  <c r="I1817" i="8" s="1"/>
  <c r="F1814" i="8"/>
  <c r="H1814" i="8"/>
  <c r="I1814" i="8" s="1"/>
  <c r="H1546" i="8"/>
  <c r="I1546" i="8" s="1"/>
  <c r="F1546" i="8"/>
  <c r="H1566" i="8"/>
  <c r="I1566" i="8" s="1"/>
  <c r="F1566" i="8"/>
  <c r="H1576" i="8"/>
  <c r="I1576" i="8" s="1"/>
  <c r="F1576" i="8"/>
  <c r="H477" i="8"/>
  <c r="I477" i="8" s="1"/>
  <c r="F477" i="8"/>
  <c r="H476" i="8"/>
  <c r="I476" i="8" s="1"/>
  <c r="F476" i="8"/>
  <c r="H597" i="8"/>
  <c r="I597" i="8" s="1"/>
  <c r="F597" i="8"/>
  <c r="H506" i="8"/>
  <c r="I506" i="8" s="1"/>
  <c r="F506" i="8"/>
  <c r="H508" i="8"/>
  <c r="I508" i="8" s="1"/>
  <c r="F508" i="8"/>
  <c r="H588" i="8"/>
  <c r="I588" i="8" s="1"/>
  <c r="F588" i="8"/>
  <c r="F852" i="8"/>
  <c r="H853" i="8"/>
  <c r="H1255" i="8"/>
  <c r="F1255" i="8"/>
  <c r="H1276" i="8"/>
  <c r="F1276" i="8"/>
  <c r="F1249" i="8"/>
  <c r="H1249" i="8"/>
  <c r="F1287" i="8"/>
  <c r="H1287" i="8"/>
  <c r="F370" i="6"/>
  <c r="F1246" i="8"/>
  <c r="H1246" i="8"/>
  <c r="H1270" i="8"/>
  <c r="F1270" i="8"/>
  <c r="H1247" i="8"/>
  <c r="F1247" i="8"/>
  <c r="F1275" i="8"/>
  <c r="H1275" i="8"/>
  <c r="F1252" i="8"/>
  <c r="H1252" i="8"/>
  <c r="H1250" i="8"/>
  <c r="F1250" i="8"/>
  <c r="F1283" i="8"/>
  <c r="H1283" i="8"/>
  <c r="F1289" i="8"/>
  <c r="H1289" i="8"/>
  <c r="F1248" i="8"/>
  <c r="H1248" i="8"/>
  <c r="H1253" i="8"/>
  <c r="F1253" i="8"/>
  <c r="F1251" i="8"/>
  <c r="H1251" i="8"/>
  <c r="H1265" i="8"/>
  <c r="F1265" i="8"/>
  <c r="F1254" i="8"/>
  <c r="H1254" i="8"/>
  <c r="H2613" i="8" l="1"/>
  <c r="I2613" i="8" s="1"/>
  <c r="H2606" i="8"/>
  <c r="I2606" i="8" s="1"/>
  <c r="F2606" i="8"/>
  <c r="H1382" i="8"/>
  <c r="I1382" i="8" s="1"/>
  <c r="H2612" i="8"/>
  <c r="I2612" i="8" s="1"/>
  <c r="F2612" i="8"/>
  <c r="F1395" i="8"/>
  <c r="H1395" i="8"/>
  <c r="I1395" i="8" s="1"/>
  <c r="H2618" i="8"/>
  <c r="I2618" i="8" s="1"/>
  <c r="F2618" i="8"/>
  <c r="H2617" i="8"/>
  <c r="I2617" i="8" s="1"/>
  <c r="F2617" i="8"/>
  <c r="H2145" i="8"/>
  <c r="I2145" i="8" s="1"/>
  <c r="F2145" i="8"/>
  <c r="H1365" i="8"/>
  <c r="I1365" i="8" s="1"/>
  <c r="F1365" i="8"/>
  <c r="F2144" i="8"/>
  <c r="H2144" i="8"/>
  <c r="I2144" i="8" s="1"/>
  <c r="F1364" i="8"/>
  <c r="H1364" i="8"/>
  <c r="I1364" i="8" s="1"/>
  <c r="H1605" i="8"/>
  <c r="I1605" i="8" s="1"/>
  <c r="H1853" i="8"/>
  <c r="I1853" i="8" s="1"/>
  <c r="F1853" i="8"/>
  <c r="F1854" i="8"/>
  <c r="H1854" i="8"/>
  <c r="I1854" i="8" s="1"/>
  <c r="H1890" i="8"/>
  <c r="I1890" i="8" s="1"/>
  <c r="F1890" i="8"/>
  <c r="F1898" i="8"/>
  <c r="H1898" i="8"/>
  <c r="I1898" i="8" s="1"/>
  <c r="F1876" i="8"/>
  <c r="H1876" i="8"/>
  <c r="I1876" i="8" s="1"/>
  <c r="F1836" i="8"/>
  <c r="H1836" i="8"/>
  <c r="I1836" i="8" s="1"/>
  <c r="F1829" i="8"/>
  <c r="H1829" i="8"/>
  <c r="I1829" i="8" s="1"/>
  <c r="H1928" i="8"/>
  <c r="I1928" i="8" s="1"/>
  <c r="F1928" i="8"/>
  <c r="F2100" i="8"/>
  <c r="H2100" i="8"/>
  <c r="I2100" i="8" s="1"/>
  <c r="F1847" i="8"/>
  <c r="H1847" i="8"/>
  <c r="I1847" i="8" s="1"/>
  <c r="H1933" i="8"/>
  <c r="I1933" i="8" s="1"/>
  <c r="F1933" i="8"/>
  <c r="F1904" i="8"/>
  <c r="H1904" i="8"/>
  <c r="I1904" i="8" s="1"/>
  <c r="H1862" i="8"/>
  <c r="I1862" i="8" s="1"/>
  <c r="F1862" i="8"/>
  <c r="H1900" i="8"/>
  <c r="I1900" i="8" s="1"/>
  <c r="F1900" i="8"/>
  <c r="F1903" i="8"/>
  <c r="H1903" i="8"/>
  <c r="I1903" i="8" s="1"/>
  <c r="F1907" i="8"/>
  <c r="H1907" i="8"/>
  <c r="I1907" i="8" s="1"/>
  <c r="F1838" i="8"/>
  <c r="H1838" i="8"/>
  <c r="I1838" i="8" s="1"/>
  <c r="H2315" i="8"/>
  <c r="I2315" i="8" s="1"/>
  <c r="F2315" i="8"/>
  <c r="F1889" i="8"/>
  <c r="H1889" i="8"/>
  <c r="I1889" i="8" s="1"/>
  <c r="H1545" i="8"/>
  <c r="I1545" i="8" s="1"/>
  <c r="F1545" i="8"/>
  <c r="F1569" i="8"/>
  <c r="H1569" i="8"/>
  <c r="I1569" i="8" s="1"/>
  <c r="H2217" i="8"/>
  <c r="I2217" i="8" s="1"/>
  <c r="F2217" i="8"/>
  <c r="F845" i="8"/>
  <c r="H845" i="8"/>
  <c r="I845" i="8" s="1"/>
  <c r="H1426" i="8"/>
  <c r="I1426" i="8" s="1"/>
  <c r="F1426" i="8"/>
  <c r="H1415" i="8"/>
  <c r="I1415" i="8" s="1"/>
  <c r="F1415" i="8"/>
  <c r="H1427" i="8"/>
  <c r="I1427" i="8" s="1"/>
  <c r="F1427" i="8"/>
  <c r="F1412" i="8"/>
  <c r="H1412" i="8"/>
  <c r="I1412" i="8" s="1"/>
  <c r="F1863" i="8"/>
  <c r="H1863" i="8"/>
  <c r="I1863" i="8" s="1"/>
  <c r="F1856" i="8"/>
  <c r="H1856" i="8"/>
  <c r="I1856" i="8" s="1"/>
  <c r="F1868" i="8"/>
  <c r="H1868" i="8"/>
  <c r="I1868" i="8" s="1"/>
  <c r="F1923" i="8"/>
  <c r="H1923" i="8"/>
  <c r="I1923" i="8" s="1"/>
  <c r="F1873" i="8"/>
  <c r="H1873" i="8"/>
  <c r="I1873" i="8" s="1"/>
  <c r="H2290" i="8"/>
  <c r="I2290" i="8" s="1"/>
  <c r="F2290" i="8"/>
  <c r="H1902" i="8"/>
  <c r="I1902" i="8" s="1"/>
  <c r="F1902" i="8"/>
  <c r="F1844" i="8"/>
  <c r="H1844" i="8"/>
  <c r="I1844" i="8" s="1"/>
  <c r="H1552" i="8"/>
  <c r="I1552" i="8" s="1"/>
  <c r="F1552" i="8"/>
  <c r="H1872" i="8"/>
  <c r="I1872" i="8" s="1"/>
  <c r="F1872" i="8"/>
  <c r="H2333" i="8"/>
  <c r="I2333" i="8" s="1"/>
  <c r="F2333" i="8"/>
  <c r="F1859" i="8"/>
  <c r="H1859" i="8"/>
  <c r="I1859" i="8" s="1"/>
  <c r="F1499" i="8"/>
  <c r="H1499" i="8"/>
  <c r="I1499" i="8" s="1"/>
  <c r="H1891" i="8"/>
  <c r="I1891" i="8" s="1"/>
  <c r="F1891" i="8"/>
  <c r="F1866" i="8"/>
  <c r="H1866" i="8"/>
  <c r="I1866" i="8" s="1"/>
  <c r="F1858" i="8"/>
  <c r="H1858" i="8"/>
  <c r="I1858" i="8" s="1"/>
  <c r="F1846" i="8"/>
  <c r="H1846" i="8"/>
  <c r="I1846" i="8" s="1"/>
  <c r="F1867" i="8"/>
  <c r="H1867" i="8"/>
  <c r="I1867" i="8" s="1"/>
  <c r="F1839" i="8"/>
  <c r="H1839" i="8"/>
  <c r="I1839" i="8" s="1"/>
  <c r="H1849" i="8"/>
  <c r="I1849" i="8" s="1"/>
  <c r="F1849" i="8"/>
  <c r="H2299" i="8"/>
  <c r="I2299" i="8" s="1"/>
  <c r="F2299" i="8"/>
  <c r="F1813" i="8"/>
  <c r="H1813" i="8"/>
  <c r="I1813" i="8" s="1"/>
  <c r="H1575" i="8"/>
  <c r="I1575" i="8" s="1"/>
  <c r="F1575" i="8"/>
  <c r="H1417" i="8"/>
  <c r="I1417" i="8" s="1"/>
  <c r="F1417" i="8"/>
  <c r="H2384" i="8"/>
  <c r="I2384" i="8" s="1"/>
  <c r="F2384" i="8"/>
  <c r="H1422" i="8"/>
  <c r="I1422" i="8" s="1"/>
  <c r="F1422" i="8"/>
  <c r="H1410" i="8"/>
  <c r="I1410" i="8" s="1"/>
  <c r="F1410" i="8"/>
  <c r="F1419" i="8"/>
  <c r="H1419" i="8"/>
  <c r="I1419" i="8" s="1"/>
  <c r="H2096" i="8"/>
  <c r="I2096" i="8" s="1"/>
  <c r="F2096" i="8"/>
  <c r="H2394" i="8"/>
  <c r="I2394" i="8" s="1"/>
  <c r="F2394" i="8"/>
  <c r="F1882" i="8"/>
  <c r="H1882" i="8"/>
  <c r="I1882" i="8" s="1"/>
  <c r="F1848" i="8"/>
  <c r="H1848" i="8"/>
  <c r="I1848" i="8" s="1"/>
  <c r="H1548" i="8"/>
  <c r="I1548" i="8" s="1"/>
  <c r="F1548" i="8"/>
  <c r="H1895" i="8"/>
  <c r="I1895" i="8" s="1"/>
  <c r="F1895" i="8"/>
  <c r="F1896" i="8"/>
  <c r="H1896" i="8"/>
  <c r="I1896" i="8" s="1"/>
  <c r="H1893" i="8"/>
  <c r="I1893" i="8" s="1"/>
  <c r="F1893" i="8"/>
  <c r="F1899" i="8"/>
  <c r="H1899" i="8"/>
  <c r="I1899" i="8" s="1"/>
  <c r="H1921" i="8"/>
  <c r="I1921" i="8" s="1"/>
  <c r="F1921" i="8"/>
  <c r="F1861" i="8"/>
  <c r="H1861" i="8"/>
  <c r="I1861" i="8" s="1"/>
  <c r="H834" i="8"/>
  <c r="I834" i="8" s="1"/>
  <c r="F834" i="8"/>
  <c r="H1901" i="8"/>
  <c r="I1901" i="8" s="1"/>
  <c r="F1901" i="8"/>
  <c r="F1884" i="8"/>
  <c r="H1884" i="8"/>
  <c r="I1884" i="8" s="1"/>
  <c r="F1871" i="8"/>
  <c r="H1871" i="8"/>
  <c r="I1871" i="8" s="1"/>
  <c r="F1833" i="8"/>
  <c r="H1833" i="8"/>
  <c r="I1833" i="8" s="1"/>
  <c r="F1831" i="8"/>
  <c r="H1831" i="8"/>
  <c r="I1831" i="8" s="1"/>
  <c r="F1834" i="8"/>
  <c r="H1834" i="8"/>
  <c r="I1834" i="8" s="1"/>
  <c r="H1572" i="8"/>
  <c r="I1572" i="8" s="1"/>
  <c r="F1572" i="8"/>
  <c r="F1832" i="8"/>
  <c r="H1832" i="8"/>
  <c r="I1832" i="8" s="1"/>
  <c r="F1887" i="8"/>
  <c r="H1887" i="8"/>
  <c r="I1887" i="8" s="1"/>
  <c r="H1411" i="8"/>
  <c r="I1411" i="8" s="1"/>
  <c r="F1411" i="8"/>
  <c r="H2218" i="8"/>
  <c r="I2218" i="8" s="1"/>
  <c r="F2218" i="8"/>
  <c r="F1888" i="8"/>
  <c r="H1888" i="8"/>
  <c r="I1888" i="8" s="1"/>
  <c r="H1920" i="8"/>
  <c r="I1920" i="8" s="1"/>
  <c r="F1920" i="8"/>
  <c r="H1924" i="8"/>
  <c r="I1924" i="8" s="1"/>
  <c r="F1924" i="8"/>
  <c r="H1953" i="8"/>
  <c r="I1953" i="8" s="1"/>
  <c r="F1953" i="8"/>
  <c r="F1930" i="8"/>
  <c r="H1930" i="8"/>
  <c r="I1930" i="8" s="1"/>
  <c r="F1841" i="8"/>
  <c r="H1841" i="8"/>
  <c r="I1841" i="8" s="1"/>
  <c r="F1414" i="8"/>
  <c r="H1414" i="8"/>
  <c r="I1414" i="8" s="1"/>
  <c r="F1355" i="8"/>
  <c r="H1355" i="8"/>
  <c r="I1355" i="8" s="1"/>
  <c r="F1424" i="8"/>
  <c r="H1424" i="8"/>
  <c r="I1424" i="8" s="1"/>
  <c r="F1886" i="8"/>
  <c r="H1886" i="8"/>
  <c r="I1886" i="8" s="1"/>
  <c r="H1418" i="8"/>
  <c r="I1418" i="8" s="1"/>
  <c r="F1418" i="8"/>
  <c r="F1880" i="8"/>
  <c r="H1880" i="8"/>
  <c r="I1880" i="8" s="1"/>
  <c r="F1604" i="8"/>
  <c r="H1604" i="8"/>
  <c r="I1604" i="8" s="1"/>
  <c r="F1892" i="8"/>
  <c r="H1892" i="8"/>
  <c r="I1892" i="8" s="1"/>
  <c r="H2295" i="8"/>
  <c r="I2295" i="8" s="1"/>
  <c r="F2295" i="8"/>
  <c r="H1878" i="8"/>
  <c r="I1878" i="8" s="1"/>
  <c r="F1878" i="8"/>
  <c r="F1906" i="8"/>
  <c r="H1906" i="8"/>
  <c r="I1906" i="8" s="1"/>
  <c r="F1816" i="8"/>
  <c r="H1816" i="8"/>
  <c r="I1816" i="8" s="1"/>
  <c r="H1951" i="8"/>
  <c r="I1951" i="8" s="1"/>
  <c r="F1951" i="8"/>
  <c r="F1874" i="8"/>
  <c r="H1874" i="8"/>
  <c r="I1874" i="8" s="1"/>
  <c r="F1922" i="8"/>
  <c r="H1922" i="8"/>
  <c r="I1922" i="8" s="1"/>
  <c r="F1864" i="8"/>
  <c r="H1864" i="8"/>
  <c r="I1864" i="8" s="1"/>
  <c r="H1897" i="8"/>
  <c r="I1897" i="8" s="1"/>
  <c r="F1897" i="8"/>
  <c r="H2219" i="8"/>
  <c r="I2219" i="8" s="1"/>
  <c r="F2219" i="8"/>
  <c r="F1837" i="8"/>
  <c r="H1837" i="8"/>
  <c r="I1837" i="8" s="1"/>
  <c r="H1905" i="8"/>
  <c r="I1905" i="8" s="1"/>
  <c r="F1905" i="8"/>
  <c r="F1819" i="8"/>
  <c r="H1819" i="8"/>
  <c r="I1819" i="8" s="1"/>
  <c r="F1843" i="8"/>
  <c r="H1843" i="8"/>
  <c r="I1843" i="8" s="1"/>
  <c r="F1607" i="8"/>
  <c r="H1607" i="8"/>
  <c r="I1607" i="8" s="1"/>
  <c r="F1885" i="8"/>
  <c r="H1885" i="8"/>
  <c r="I1885" i="8" s="1"/>
  <c r="F1954" i="8"/>
  <c r="H1954" i="8"/>
  <c r="I1954" i="8" s="1"/>
  <c r="F1894" i="8"/>
  <c r="H1894" i="8"/>
  <c r="I1894" i="8" s="1"/>
  <c r="F1423" i="8"/>
  <c r="H1423" i="8"/>
  <c r="I1423" i="8" s="1"/>
  <c r="H2504" i="8"/>
  <c r="I2504" i="8" s="1"/>
  <c r="F2504" i="8"/>
  <c r="F1852" i="8"/>
  <c r="H1852" i="8"/>
  <c r="I1852" i="8" s="1"/>
  <c r="H1413" i="8"/>
  <c r="I1413" i="8" s="1"/>
  <c r="F1413" i="8"/>
  <c r="F1354" i="8"/>
  <c r="H1354" i="8"/>
  <c r="I1354" i="8" s="1"/>
  <c r="F1409" i="8"/>
  <c r="H1409" i="8"/>
  <c r="I1409" i="8" s="1"/>
  <c r="F1421" i="8"/>
  <c r="H1421" i="8"/>
  <c r="I1421" i="8" s="1"/>
  <c r="H1416" i="8"/>
  <c r="I1416" i="8" s="1"/>
  <c r="F1416" i="8"/>
  <c r="H2593" i="8"/>
  <c r="I2593" i="8" s="1"/>
  <c r="F2593" i="8"/>
  <c r="H2099" i="8"/>
  <c r="I2099" i="8" s="1"/>
  <c r="F2099" i="8"/>
  <c r="F1869" i="8"/>
  <c r="H1869" i="8"/>
  <c r="I1869" i="8" s="1"/>
  <c r="F1420" i="8"/>
  <c r="H1420" i="8"/>
  <c r="I1420" i="8" s="1"/>
  <c r="H1425" i="8"/>
  <c r="I1425" i="8" s="1"/>
  <c r="F1425" i="8"/>
  <c r="F1356" i="8"/>
  <c r="H1356" i="8"/>
  <c r="I1356" i="8" s="1"/>
  <c r="H1408" i="8"/>
  <c r="I1408" i="8" s="1"/>
  <c r="F1408" i="8"/>
  <c r="F1842" i="8"/>
  <c r="H1842" i="8"/>
  <c r="I1842" i="8" s="1"/>
  <c r="H1926" i="8"/>
  <c r="I1926" i="8" s="1"/>
  <c r="F1926" i="8"/>
  <c r="F2255" i="8"/>
  <c r="H2255" i="8"/>
  <c r="I2255" i="8" s="1"/>
  <c r="F448" i="8"/>
  <c r="H448" i="8"/>
  <c r="I448" i="8" s="1"/>
  <c r="F495" i="8"/>
  <c r="H495" i="8"/>
  <c r="I495" i="8" s="1"/>
  <c r="F412" i="8"/>
  <c r="H412" i="8"/>
  <c r="I412" i="8" s="1"/>
  <c r="F420" i="8"/>
  <c r="H420" i="8"/>
  <c r="I420" i="8" s="1"/>
  <c r="H516" i="8"/>
  <c r="I516" i="8" s="1"/>
  <c r="F516" i="8"/>
  <c r="H494" i="8"/>
  <c r="I494" i="8" s="1"/>
  <c r="F494" i="8"/>
  <c r="F503" i="8"/>
  <c r="H503" i="8"/>
  <c r="I503" i="8" s="1"/>
  <c r="H562" i="8"/>
  <c r="I562" i="8" s="1"/>
  <c r="F562" i="8"/>
  <c r="H518" i="8"/>
  <c r="I518" i="8" s="1"/>
  <c r="F518" i="8"/>
  <c r="H510" i="8"/>
  <c r="I510" i="8" s="1"/>
  <c r="F510" i="8"/>
  <c r="H509" i="8"/>
  <c r="I509" i="8" s="1"/>
  <c r="F509" i="8"/>
  <c r="H514" i="8"/>
  <c r="I514" i="8" s="1"/>
  <c r="F514" i="8"/>
  <c r="H515" i="8"/>
  <c r="I515" i="8" s="1"/>
  <c r="F515" i="8"/>
  <c r="H421" i="8"/>
  <c r="I421" i="8" s="1"/>
  <c r="F421" i="8"/>
  <c r="F501" i="8"/>
  <c r="H501" i="8"/>
  <c r="I501" i="8" s="1"/>
  <c r="F567" i="8"/>
  <c r="H567" i="8"/>
  <c r="I567" i="8" s="1"/>
  <c r="F511" i="8"/>
  <c r="H511" i="8"/>
  <c r="I511" i="8" s="1"/>
  <c r="F513" i="8"/>
  <c r="H513" i="8"/>
  <c r="I513" i="8" s="1"/>
  <c r="H475" i="8"/>
  <c r="I475" i="8" s="1"/>
  <c r="F475" i="8"/>
  <c r="H566" i="8"/>
  <c r="I566" i="8" s="1"/>
  <c r="F566" i="8"/>
  <c r="F410" i="8"/>
  <c r="H410" i="8"/>
  <c r="I410" i="8" s="1"/>
  <c r="H564" i="8"/>
  <c r="I564" i="8" s="1"/>
  <c r="F564" i="8"/>
  <c r="F519" i="8"/>
  <c r="H519" i="8"/>
  <c r="I519" i="8" s="1"/>
  <c r="F416" i="8"/>
  <c r="H416" i="8"/>
  <c r="I416" i="8" s="1"/>
  <c r="H496" i="8"/>
  <c r="I496" i="8" s="1"/>
  <c r="F496" i="8"/>
  <c r="F517" i="8"/>
  <c r="H517" i="8"/>
  <c r="I517" i="8" s="1"/>
  <c r="H512" i="8"/>
  <c r="I512" i="8" s="1"/>
  <c r="F512" i="8"/>
  <c r="H419" i="8"/>
  <c r="I419" i="8" s="1"/>
  <c r="F419" i="8"/>
  <c r="F392" i="8"/>
  <c r="H392" i="8"/>
  <c r="I392" i="8" s="1"/>
  <c r="F414" i="8"/>
  <c r="H414" i="8"/>
  <c r="I414" i="8" s="1"/>
  <c r="F499" i="8"/>
  <c r="H499" i="8"/>
  <c r="I499" i="8" s="1"/>
  <c r="F473" i="8"/>
  <c r="H473" i="8"/>
  <c r="I473" i="8" s="1"/>
  <c r="F505" i="8"/>
  <c r="H505" i="8"/>
  <c r="I505" i="8" s="1"/>
  <c r="F507" i="8"/>
  <c r="H507" i="8"/>
  <c r="I507" i="8" s="1"/>
  <c r="F1348" i="8"/>
  <c r="H1348" i="8"/>
  <c r="I1348" i="8" s="1"/>
  <c r="F1347" i="8"/>
  <c r="H1347" i="8"/>
  <c r="I1347" i="8" s="1"/>
  <c r="F853" i="8"/>
  <c r="I1265" i="8"/>
  <c r="I1247" i="8"/>
  <c r="I1251" i="8"/>
  <c r="I1289" i="8"/>
  <c r="I1250" i="8"/>
  <c r="I1249" i="8"/>
  <c r="I1255" i="8"/>
  <c r="I1252" i="8"/>
  <c r="I1270" i="8"/>
  <c r="I1246" i="8"/>
  <c r="I1254" i="8"/>
  <c r="I853" i="8"/>
  <c r="I1248" i="8"/>
  <c r="I1275" i="8"/>
  <c r="I1287" i="8"/>
  <c r="I1283" i="8"/>
  <c r="I1276" i="8"/>
  <c r="I1253" i="8"/>
  <c r="H852" i="8"/>
  <c r="F1331" i="8"/>
  <c r="H1331" i="8"/>
  <c r="H1322" i="8"/>
  <c r="F1322" i="8"/>
  <c r="F1341" i="8"/>
  <c r="H1341" i="8"/>
  <c r="H1272" i="8"/>
  <c r="F1272" i="8"/>
  <c r="H1263" i="8"/>
  <c r="F1263" i="8"/>
  <c r="F1288" i="8"/>
  <c r="H1288" i="8"/>
  <c r="F1273" i="8"/>
  <c r="H1273" i="8"/>
  <c r="F1320" i="8"/>
  <c r="H1320" i="8"/>
  <c r="F1315" i="8"/>
  <c r="H1315" i="8"/>
  <c r="F1337" i="8"/>
  <c r="H1337" i="8"/>
  <c r="F1330" i="8"/>
  <c r="H1330" i="8"/>
  <c r="F1316" i="8"/>
  <c r="H1316" i="8"/>
  <c r="H1334" i="8"/>
  <c r="F1334" i="8"/>
  <c r="F1268" i="8"/>
  <c r="H1268" i="8"/>
  <c r="F1285" i="8"/>
  <c r="H1285" i="8"/>
  <c r="H1278" i="8"/>
  <c r="F1278" i="8"/>
  <c r="H1292" i="8"/>
  <c r="F1292" i="8"/>
  <c r="H1294" i="8"/>
  <c r="F1294" i="8"/>
  <c r="H1317" i="8"/>
  <c r="F1317" i="8"/>
  <c r="H1300" i="8"/>
  <c r="F1300" i="8"/>
  <c r="F1336" i="8"/>
  <c r="H1336" i="8"/>
  <c r="F1319" i="8"/>
  <c r="H1319" i="8"/>
  <c r="H1332" i="8"/>
  <c r="F1332" i="8"/>
  <c r="H1321" i="8"/>
  <c r="F1321" i="8"/>
  <c r="H1286" i="8"/>
  <c r="F1286" i="8"/>
  <c r="H1267" i="8"/>
  <c r="F1267" i="8"/>
  <c r="F1260" i="8"/>
  <c r="H1260" i="8"/>
  <c r="F1271" i="8"/>
  <c r="H1271" i="8"/>
  <c r="H1269" i="8"/>
  <c r="F1269" i="8"/>
  <c r="F1261" i="8"/>
  <c r="H1261" i="8"/>
  <c r="F1324" i="8"/>
  <c r="H1324" i="8"/>
  <c r="F1333" i="8"/>
  <c r="H1333" i="8"/>
  <c r="H1318" i="8"/>
  <c r="F1318" i="8"/>
  <c r="F1323" i="8"/>
  <c r="H1323" i="8"/>
  <c r="H1262" i="8"/>
  <c r="F1262" i="8"/>
  <c r="H1264" i="8"/>
  <c r="F1264" i="8"/>
  <c r="H1284" i="8"/>
  <c r="F1284" i="8"/>
  <c r="H1274" i="8"/>
  <c r="F1274" i="8"/>
  <c r="H1293" i="8"/>
  <c r="F1293" i="8"/>
  <c r="G4629" i="5"/>
  <c r="G4639" i="5"/>
  <c r="G4613" i="5"/>
  <c r="H1366" i="8" l="1"/>
  <c r="I1366" i="8" s="1"/>
  <c r="F1382" i="8"/>
  <c r="F1542" i="8"/>
  <c r="H1542" i="8"/>
  <c r="I1542" i="8" s="1"/>
  <c r="F1353" i="8"/>
  <c r="H1353" i="8"/>
  <c r="I1353" i="8" s="1"/>
  <c r="H1950" i="8"/>
  <c r="I1950" i="8" s="1"/>
  <c r="F1950" i="8"/>
  <c r="I1321" i="8"/>
  <c r="I1300" i="8"/>
  <c r="I1268" i="8"/>
  <c r="I1330" i="8"/>
  <c r="I1273" i="8"/>
  <c r="I1274" i="8"/>
  <c r="I1262" i="8"/>
  <c r="I1323" i="8"/>
  <c r="I1260" i="8"/>
  <c r="I1294" i="8"/>
  <c r="I1341" i="8"/>
  <c r="I1261" i="8"/>
  <c r="I1319" i="8"/>
  <c r="I1292" i="8"/>
  <c r="I852" i="8"/>
  <c r="I1284" i="8"/>
  <c r="I1318" i="8"/>
  <c r="I1267" i="8"/>
  <c r="I1315" i="8"/>
  <c r="I1322" i="8"/>
  <c r="I1337" i="8"/>
  <c r="I1288" i="8"/>
  <c r="I1333" i="8"/>
  <c r="I1336" i="8"/>
  <c r="I1278" i="8"/>
  <c r="I1334" i="8"/>
  <c r="I1263" i="8"/>
  <c r="I1331" i="8"/>
  <c r="I1332" i="8"/>
  <c r="I1317" i="8"/>
  <c r="I1293" i="8"/>
  <c r="I1264" i="8"/>
  <c r="I1269" i="8"/>
  <c r="I1286" i="8"/>
  <c r="I1285" i="8"/>
  <c r="I1316" i="8"/>
  <c r="I1320" i="8"/>
  <c r="I1324" i="8"/>
  <c r="I1271" i="8"/>
  <c r="I1272" i="8"/>
  <c r="F1291" i="8"/>
  <c r="F1245" i="8"/>
  <c r="F1277" i="8"/>
  <c r="H1301" i="8"/>
  <c r="F1301" i="8"/>
  <c r="H4626" i="5"/>
  <c r="E1240" i="8" s="1"/>
  <c r="H4636" i="5"/>
  <c r="E1241" i="8" s="1"/>
  <c r="F2601" i="8" l="1"/>
  <c r="H2601" i="8"/>
  <c r="I2601" i="8" s="1"/>
  <c r="F1366" i="8"/>
  <c r="H2620" i="8"/>
  <c r="I2620" i="8" s="1"/>
  <c r="F2620" i="8"/>
  <c r="H1556" i="8"/>
  <c r="I1556" i="8" s="1"/>
  <c r="F1556" i="8"/>
  <c r="H1363" i="8"/>
  <c r="I1363" i="8" s="1"/>
  <c r="F1363" i="8"/>
  <c r="I1301" i="8"/>
  <c r="H1340" i="8"/>
  <c r="F1340" i="8"/>
  <c r="F1257" i="8"/>
  <c r="H1291" i="8"/>
  <c r="H1245" i="8"/>
  <c r="H1277" i="8"/>
  <c r="G5099" i="5"/>
  <c r="F2600" i="8" l="1"/>
  <c r="H2600" i="8"/>
  <c r="I2600" i="8" s="1"/>
  <c r="H1266" i="8"/>
  <c r="H1256" i="8"/>
  <c r="I1291" i="8"/>
  <c r="I1277" i="8"/>
  <c r="I1340" i="8"/>
  <c r="I1245" i="8"/>
  <c r="F1290" i="8"/>
  <c r="H1257" i="8"/>
  <c r="F1266" i="8" l="1"/>
  <c r="F1256" i="8"/>
  <c r="I1256" i="8"/>
  <c r="I1266" i="8"/>
  <c r="I1257" i="8"/>
  <c r="H1290" i="8"/>
  <c r="H1239" i="8"/>
  <c r="I1290" i="8" l="1"/>
  <c r="I1239" i="8"/>
  <c r="F1239" i="8"/>
  <c r="H1240" i="8"/>
  <c r="H1241" i="8" l="1"/>
  <c r="I1240" i="8"/>
  <c r="F1240" i="8"/>
  <c r="F1241" i="8" l="1"/>
  <c r="I1241" i="8"/>
  <c r="G1980" i="5" l="1"/>
  <c r="G3310" i="5"/>
  <c r="G1605" i="5" l="1"/>
  <c r="G4035" i="5"/>
  <c r="G608" i="5"/>
  <c r="G1844" i="5"/>
  <c r="G4497" i="5"/>
  <c r="G2098" i="5"/>
  <c r="G4617" i="5"/>
  <c r="G1124" i="5"/>
  <c r="G1892" i="5"/>
  <c r="G3864" i="5"/>
  <c r="G3028" i="5"/>
  <c r="G2363" i="5"/>
  <c r="G3086" i="5"/>
  <c r="G1177" i="5"/>
  <c r="G3066" i="5"/>
  <c r="G507" i="5"/>
  <c r="G500" i="5"/>
  <c r="G4082" i="5"/>
  <c r="G1336" i="5"/>
  <c r="G3514" i="5"/>
  <c r="G2965" i="5"/>
  <c r="G775" i="5"/>
  <c r="G2985" i="5"/>
  <c r="G1699" i="5"/>
  <c r="G2228" i="5"/>
  <c r="G3729" i="5"/>
  <c r="G3318" i="5"/>
  <c r="G1019" i="5"/>
  <c r="G698" i="5"/>
  <c r="G1057" i="5"/>
  <c r="G4094" i="5"/>
  <c r="G2334" i="5"/>
  <c r="G1219" i="5"/>
  <c r="G4228" i="5"/>
  <c r="G3296" i="5"/>
  <c r="G662" i="5"/>
  <c r="G4464" i="5"/>
  <c r="G4045" i="5"/>
  <c r="G1442" i="5"/>
  <c r="G1457" i="5"/>
  <c r="G1428" i="5"/>
  <c r="G1586" i="5"/>
  <c r="G4324" i="5"/>
  <c r="G3432" i="5"/>
  <c r="G3470" i="5"/>
  <c r="G3457" i="5"/>
  <c r="G1409" i="5"/>
  <c r="G338" i="5"/>
  <c r="G2776" i="5"/>
  <c r="G1411" i="5"/>
  <c r="G336" i="5"/>
  <c r="G1407" i="5"/>
  <c r="G4269" i="5"/>
  <c r="G3399" i="5"/>
  <c r="G2781" i="5"/>
  <c r="G1695" i="5"/>
  <c r="G1415" i="5"/>
  <c r="G3997" i="5"/>
  <c r="G3818" i="5"/>
  <c r="G3235" i="5"/>
  <c r="G3398" i="5"/>
  <c r="G3537" i="5"/>
  <c r="G2895" i="5"/>
  <c r="G1583" i="5"/>
  <c r="G1502" i="5"/>
  <c r="G1486" i="5"/>
  <c r="G1588" i="5"/>
  <c r="G1454" i="5"/>
  <c r="G1443" i="5"/>
  <c r="G252" i="5"/>
  <c r="G3812" i="5"/>
  <c r="G3433" i="5"/>
  <c r="G2850" i="5"/>
  <c r="G1836" i="5"/>
  <c r="G1474" i="5"/>
  <c r="G1469" i="5"/>
  <c r="G1424" i="5"/>
  <c r="G1490" i="5"/>
  <c r="G1437" i="5"/>
  <c r="G4556" i="5"/>
  <c r="G4353" i="5"/>
  <c r="G3408" i="5"/>
  <c r="G3228" i="5"/>
  <c r="G1444" i="5"/>
  <c r="G1499" i="5"/>
  <c r="G4555" i="5"/>
  <c r="G1412" i="5"/>
  <c r="G1422" i="5"/>
  <c r="G4267" i="5"/>
  <c r="G4544" i="5"/>
  <c r="G1413" i="5"/>
  <c r="G4276" i="5"/>
  <c r="G4322" i="5"/>
  <c r="G3523" i="5"/>
  <c r="G1467" i="5"/>
  <c r="G4162" i="5"/>
  <c r="G4057" i="5"/>
  <c r="G3536" i="5"/>
  <c r="G1766" i="5"/>
  <c r="G1694" i="5"/>
  <c r="H1336" i="5" l="1"/>
  <c r="G1429" i="5"/>
  <c r="G1910" i="5"/>
  <c r="G1904" i="5"/>
  <c r="G4354" i="5"/>
  <c r="G1430" i="5"/>
  <c r="G4277" i="5"/>
  <c r="G2192" i="5"/>
  <c r="G1510" i="5"/>
  <c r="G1487" i="5"/>
  <c r="G330" i="5"/>
  <c r="G2786" i="5"/>
  <c r="G1414" i="5"/>
  <c r="G1582" i="5"/>
  <c r="G2915" i="5"/>
  <c r="G4268" i="5"/>
  <c r="G1542" i="5"/>
  <c r="G2184" i="5"/>
  <c r="G1534" i="5"/>
  <c r="G4163" i="5"/>
  <c r="G4285" i="5"/>
  <c r="G3263" i="5"/>
  <c r="G3270" i="5"/>
  <c r="G1526" i="5"/>
  <c r="G2935" i="5"/>
  <c r="G337" i="5"/>
  <c r="G358" i="5"/>
  <c r="G333" i="5"/>
  <c r="G1458" i="5"/>
  <c r="G1475" i="5"/>
  <c r="G1501" i="5"/>
  <c r="G1489" i="5"/>
  <c r="G1503" i="5"/>
  <c r="G4284" i="5"/>
  <c r="G2944" i="5"/>
  <c r="G2200" i="5"/>
  <c r="G3256" i="5"/>
  <c r="G1488" i="5"/>
  <c r="G339" i="5"/>
  <c r="G1452" i="5"/>
  <c r="G1484" i="5"/>
  <c r="G2613" i="5"/>
  <c r="G4286" i="5"/>
  <c r="G3492" i="5"/>
  <c r="G1497" i="5"/>
  <c r="G1445" i="5"/>
  <c r="G3650" i="5"/>
  <c r="G1471" i="5"/>
  <c r="G3471" i="5"/>
  <c r="G3493" i="5"/>
  <c r="G1473" i="5"/>
  <c r="G1439" i="5"/>
  <c r="G1456" i="5"/>
  <c r="G1505" i="5"/>
  <c r="G1504" i="5"/>
  <c r="G1460" i="5"/>
  <c r="G2828" i="5"/>
  <c r="G1472" i="5"/>
  <c r="G2771" i="5"/>
  <c r="G4557" i="5"/>
  <c r="G2940" i="5"/>
  <c r="G2930" i="5"/>
  <c r="G1427" i="5"/>
  <c r="G2793" i="5"/>
  <c r="G3221" i="5"/>
  <c r="G475" i="5"/>
  <c r="G4505" i="5"/>
  <c r="G4266" i="5"/>
  <c r="G3504" i="5"/>
  <c r="G4554" i="5"/>
  <c r="G1759" i="5"/>
  <c r="G1459" i="5"/>
  <c r="G4270" i="5"/>
  <c r="G4058" i="5"/>
  <c r="G4278" i="5"/>
  <c r="G1581" i="5"/>
  <c r="G1589" i="5"/>
  <c r="G3409" i="5"/>
  <c r="G1587" i="5"/>
  <c r="G746" i="5"/>
  <c r="G3277" i="5"/>
  <c r="G2920" i="5"/>
  <c r="G1585" i="5"/>
  <c r="G4553" i="5"/>
  <c r="G4064" i="5"/>
  <c r="G1441" i="5"/>
  <c r="G3649" i="5"/>
  <c r="G4323" i="5"/>
  <c r="G1518" i="5"/>
  <c r="G3242" i="5"/>
  <c r="G3249" i="5"/>
  <c r="G1482" i="5"/>
  <c r="G3458" i="5"/>
  <c r="G1426" i="5"/>
  <c r="G1159" i="5"/>
  <c r="G575" i="5"/>
  <c r="G4340" i="5"/>
  <c r="G4229" i="5"/>
  <c r="G4300" i="5"/>
  <c r="G3978" i="5"/>
  <c r="G3366" i="5"/>
  <c r="G4462" i="5"/>
  <c r="G3920" i="5"/>
  <c r="G3383" i="5"/>
  <c r="G1646" i="5"/>
  <c r="G951" i="5"/>
  <c r="G4116" i="5"/>
  <c r="G4069" i="5"/>
  <c r="G3686" i="5"/>
  <c r="G2629" i="5"/>
  <c r="G3187" i="5"/>
  <c r="G417" i="5"/>
  <c r="G843" i="5"/>
  <c r="G3482" i="5"/>
  <c r="G993" i="5"/>
  <c r="G1795" i="5"/>
  <c r="G541" i="5"/>
  <c r="G774" i="5"/>
  <c r="G871" i="5"/>
  <c r="G404" i="5"/>
  <c r="G884" i="5"/>
  <c r="G4124" i="5"/>
  <c r="G3605" i="5"/>
  <c r="G3037" i="5"/>
  <c r="G1262" i="5"/>
  <c r="G4535" i="5"/>
  <c r="G3950" i="5"/>
  <c r="G4189" i="5"/>
  <c r="G3567" i="5"/>
  <c r="G2006" i="5"/>
  <c r="G609" i="5"/>
  <c r="G2879" i="5"/>
  <c r="G806" i="5"/>
  <c r="G293" i="5"/>
  <c r="G983" i="5"/>
  <c r="G410" i="5"/>
  <c r="G1289" i="5"/>
  <c r="G671" i="5"/>
  <c r="H662" i="5"/>
  <c r="G4584" i="5"/>
  <c r="G4358" i="5"/>
  <c r="G4521" i="5"/>
  <c r="G3922" i="5"/>
  <c r="G3311" i="5"/>
  <c r="G3297" i="5"/>
  <c r="G1559" i="5"/>
  <c r="G928" i="5"/>
  <c r="G4075" i="5"/>
  <c r="G3577" i="5"/>
  <c r="G2239" i="5"/>
  <c r="G1254" i="5"/>
  <c r="G3145" i="5"/>
  <c r="G666" i="5"/>
  <c r="G821" i="5"/>
  <c r="G343" i="5"/>
  <c r="G1013" i="5"/>
  <c r="G408" i="5"/>
  <c r="G1248" i="5"/>
  <c r="G642" i="5"/>
  <c r="G71" i="5"/>
  <c r="G1178" i="5"/>
  <c r="G1136" i="5"/>
  <c r="G778" i="5"/>
  <c r="G279" i="5"/>
  <c r="G4431" i="5"/>
  <c r="G4490" i="5"/>
  <c r="G3027" i="5"/>
  <c r="G4169" i="5"/>
  <c r="G1241" i="5"/>
  <c r="G4449" i="5"/>
  <c r="G3938" i="5"/>
  <c r="G3335" i="5"/>
  <c r="G1565" i="5"/>
  <c r="G2122" i="5"/>
  <c r="G835" i="5"/>
  <c r="G2855" i="5"/>
  <c r="G261" i="5"/>
  <c r="G1072" i="5"/>
  <c r="G4302" i="5"/>
  <c r="G4406" i="5"/>
  <c r="G4196" i="5"/>
  <c r="G3774" i="5"/>
  <c r="G3740" i="5"/>
  <c r="G3170" i="5"/>
  <c r="G3888" i="5"/>
  <c r="G1874" i="5"/>
  <c r="H2334" i="5"/>
  <c r="H1019" i="5"/>
  <c r="H1699" i="5"/>
  <c r="G4479" i="5"/>
  <c r="G4315" i="5"/>
  <c r="G3635" i="5"/>
  <c r="G4036" i="5"/>
  <c r="G1143" i="5"/>
  <c r="G602" i="5"/>
  <c r="G2871" i="5"/>
  <c r="G1065" i="5"/>
  <c r="G563" i="5"/>
  <c r="G4487" i="5"/>
  <c r="G2389" i="5"/>
  <c r="G1051" i="5"/>
  <c r="G255" i="5"/>
  <c r="G4401" i="5"/>
  <c r="G4364" i="5"/>
  <c r="G1760" i="5"/>
  <c r="G798" i="5"/>
  <c r="G314" i="5"/>
  <c r="G4233" i="5"/>
  <c r="G3445" i="5"/>
  <c r="G3923" i="5"/>
  <c r="G3446" i="5"/>
  <c r="G985" i="5"/>
  <c r="G3907" i="5"/>
  <c r="G1564" i="5"/>
  <c r="G1978" i="5"/>
  <c r="G1767" i="5"/>
  <c r="G1026" i="5"/>
  <c r="G466" i="5"/>
  <c r="G1198" i="5"/>
  <c r="G702" i="5"/>
  <c r="G3949" i="5"/>
  <c r="G535" i="5"/>
  <c r="G768" i="5"/>
  <c r="G322" i="5"/>
  <c r="G456" i="5"/>
  <c r="G4019" i="5"/>
  <c r="G3200" i="5"/>
  <c r="G992" i="5"/>
  <c r="G4529" i="5"/>
  <c r="G4596" i="5"/>
  <c r="G4602" i="5"/>
  <c r="G4161" i="5"/>
  <c r="G3658" i="5"/>
  <c r="G4259" i="5"/>
  <c r="G3840" i="5"/>
  <c r="G3202" i="5"/>
  <c r="G1410" i="5"/>
  <c r="G4017" i="5"/>
  <c r="G3538" i="5"/>
  <c r="G2561" i="5"/>
  <c r="G356" i="5"/>
  <c r="G1629" i="5"/>
  <c r="G599" i="5"/>
  <c r="G3136" i="5"/>
  <c r="G777" i="5"/>
  <c r="G964" i="5"/>
  <c r="G411" i="5"/>
  <c r="G3932" i="5"/>
  <c r="G3699" i="5"/>
  <c r="G2585" i="5"/>
  <c r="G1164" i="5"/>
  <c r="G4301" i="5"/>
  <c r="G3783" i="5"/>
  <c r="G1382" i="5"/>
  <c r="G1593" i="5"/>
  <c r="G1485" i="5"/>
  <c r="G957" i="5"/>
  <c r="G396" i="5"/>
  <c r="G797" i="5"/>
  <c r="G4587" i="5"/>
  <c r="G1302" i="5"/>
  <c r="G2975" i="5"/>
  <c r="G1163" i="5"/>
  <c r="G4430" i="5"/>
  <c r="G1780" i="5"/>
  <c r="G1330" i="5"/>
  <c r="G1005" i="5"/>
  <c r="G2377" i="5"/>
  <c r="G1114" i="5"/>
  <c r="G2367" i="5"/>
  <c r="G3848" i="5"/>
  <c r="H2098" i="5"/>
  <c r="G4232" i="5"/>
  <c r="G4459" i="5"/>
  <c r="G3768" i="5"/>
  <c r="G4510" i="5"/>
  <c r="G3921" i="5"/>
  <c r="G3431" i="5"/>
  <c r="G3324" i="5"/>
  <c r="G1425" i="5"/>
  <c r="G1470" i="5"/>
  <c r="G758" i="5"/>
  <c r="G256" i="5"/>
  <c r="G930" i="5"/>
  <c r="G3525" i="5"/>
  <c r="G3760" i="5"/>
  <c r="G885" i="5"/>
  <c r="G1044" i="5"/>
  <c r="G551" i="5"/>
  <c r="G4466" i="5"/>
  <c r="G3614" i="5"/>
  <c r="G3593" i="5"/>
  <c r="G1088" i="5"/>
  <c r="G4198" i="5"/>
  <c r="G4451" i="5"/>
  <c r="G3956" i="5"/>
  <c r="G3490" i="5"/>
  <c r="G1999" i="5"/>
  <c r="G1212" i="5"/>
  <c r="G2308" i="5"/>
  <c r="G626" i="5"/>
  <c r="G808" i="5"/>
  <c r="G984" i="5"/>
  <c r="G425" i="5"/>
  <c r="G2176" i="5"/>
  <c r="G4455" i="5"/>
  <c r="G4176" i="5"/>
  <c r="G3622" i="5"/>
  <c r="G2322" i="5"/>
  <c r="G1149" i="5"/>
  <c r="G4012" i="5"/>
  <c r="G4009" i="5"/>
  <c r="G3530" i="5"/>
  <c r="G2593" i="5"/>
  <c r="G1024" i="5"/>
  <c r="G355" i="5"/>
  <c r="G1358" i="5"/>
  <c r="G590" i="5"/>
  <c r="G776" i="5"/>
  <c r="G958" i="5"/>
  <c r="G387" i="5"/>
  <c r="G4044" i="5"/>
  <c r="G3481" i="5"/>
  <c r="G4363" i="5"/>
  <c r="G4585" i="5"/>
  <c r="G4310" i="5"/>
  <c r="G3739" i="5"/>
  <c r="G2637" i="5"/>
  <c r="G2621" i="5"/>
  <c r="G1215" i="5"/>
  <c r="G4386" i="5"/>
  <c r="G4316" i="5"/>
  <c r="G3891" i="5"/>
  <c r="G1500" i="5"/>
  <c r="G1781" i="5"/>
  <c r="G1599" i="5"/>
  <c r="G799" i="5"/>
  <c r="G763" i="5"/>
  <c r="G556" i="5"/>
  <c r="G3454" i="5"/>
  <c r="G3772" i="5"/>
  <c r="G3750" i="5"/>
  <c r="G4103" i="5"/>
  <c r="G1972" i="5"/>
  <c r="G1027" i="5"/>
  <c r="G476" i="5"/>
  <c r="G634" i="5"/>
  <c r="G4465" i="5"/>
  <c r="G4486" i="5"/>
  <c r="G3865" i="5"/>
  <c r="G3971" i="5"/>
  <c r="G3576" i="5"/>
  <c r="G2160" i="5"/>
  <c r="G1058" i="5"/>
  <c r="G4450" i="5"/>
  <c r="G3947" i="5"/>
  <c r="G3489" i="5"/>
  <c r="G2013" i="5"/>
  <c r="G1572" i="5"/>
  <c r="G734" i="5"/>
  <c r="G244" i="5"/>
  <c r="G329" i="5"/>
  <c r="G1170" i="5"/>
  <c r="G3056" i="5"/>
  <c r="G1270" i="5"/>
  <c r="G2340" i="5"/>
  <c r="G1831" i="5"/>
  <c r="G1142" i="5"/>
  <c r="G2990" i="5"/>
  <c r="G1850" i="5"/>
  <c r="G2980" i="5"/>
  <c r="G3651" i="5"/>
  <c r="G1748" i="5"/>
  <c r="G738" i="5"/>
  <c r="G1747" i="5"/>
  <c r="G1106" i="5"/>
  <c r="G2845" i="5"/>
  <c r="G4575" i="5"/>
  <c r="G3877" i="5"/>
  <c r="G3199" i="5"/>
  <c r="G3798" i="5"/>
  <c r="G3181" i="5"/>
  <c r="G1303" i="5"/>
  <c r="G4001" i="5"/>
  <c r="G2007" i="5"/>
  <c r="G854" i="5"/>
  <c r="G499" i="5"/>
  <c r="G1345" i="5"/>
  <c r="G4536" i="5"/>
  <c r="G4170" i="5"/>
  <c r="G4194" i="5"/>
  <c r="G3662" i="5"/>
  <c r="G4292" i="5"/>
  <c r="G3857" i="5"/>
  <c r="G1455" i="5"/>
  <c r="G920" i="5"/>
  <c r="G4056" i="5"/>
  <c r="G4242" i="5"/>
  <c r="G3599" i="5"/>
  <c r="G3847" i="5"/>
  <c r="G1401" i="5"/>
  <c r="G1304" i="5"/>
  <c r="G3583" i="5"/>
  <c r="G938" i="5"/>
  <c r="G359" i="5"/>
  <c r="G1081" i="5"/>
  <c r="G506" i="5"/>
  <c r="G725" i="5"/>
  <c r="G230" i="5"/>
  <c r="G4360" i="5"/>
  <c r="G4561" i="5"/>
  <c r="G2577" i="5"/>
  <c r="G4150" i="5"/>
  <c r="G3352" i="5"/>
  <c r="G1600" i="5"/>
  <c r="G937" i="5"/>
  <c r="G4110" i="5"/>
  <c r="G4306" i="5"/>
  <c r="G2625" i="5"/>
  <c r="G3137" i="5"/>
  <c r="G1090" i="5"/>
  <c r="G54" i="5"/>
  <c r="G367" i="5"/>
  <c r="G4370" i="5"/>
  <c r="G4335" i="5"/>
  <c r="G4018" i="5"/>
  <c r="G4537" i="5"/>
  <c r="G1774" i="5"/>
  <c r="G4420" i="5"/>
  <c r="G809" i="5"/>
  <c r="G879" i="5"/>
  <c r="G310" i="5"/>
  <c r="G4438" i="5"/>
  <c r="G4295" i="5"/>
  <c r="G3806" i="5"/>
  <c r="G3132" i="5"/>
  <c r="G3948" i="5"/>
  <c r="G3561" i="5"/>
  <c r="G2152" i="5"/>
  <c r="G1037" i="5"/>
  <c r="G4188" i="5"/>
  <c r="G3931" i="5"/>
  <c r="G1550" i="5"/>
  <c r="G1802" i="5"/>
  <c r="G1623" i="5"/>
  <c r="G800" i="5"/>
  <c r="G253" i="5"/>
  <c r="G995" i="5"/>
  <c r="G4468" i="5"/>
  <c r="G4312" i="5"/>
  <c r="G4437" i="5"/>
  <c r="G3874" i="5"/>
  <c r="G3172" i="5"/>
  <c r="G4200" i="5"/>
  <c r="G3126" i="5"/>
  <c r="G1298" i="5"/>
  <c r="G3977" i="5"/>
  <c r="G3957" i="5"/>
  <c r="G3491" i="5"/>
  <c r="G2144" i="5"/>
  <c r="G2557" i="5"/>
  <c r="G299" i="5"/>
  <c r="G1185" i="5"/>
  <c r="G1835" i="5"/>
  <c r="G757" i="5"/>
  <c r="G906" i="5"/>
  <c r="G383" i="5"/>
  <c r="G4190" i="5"/>
  <c r="G912" i="5"/>
  <c r="G4055" i="5"/>
  <c r="G1035" i="5"/>
  <c r="G294" i="5"/>
  <c r="G4359" i="5"/>
  <c r="G4545" i="5"/>
  <c r="G4296" i="5"/>
  <c r="G3887" i="5"/>
  <c r="G761" i="5"/>
  <c r="G1107" i="5"/>
  <c r="G572" i="5"/>
  <c r="G4088" i="5"/>
  <c r="G4238" i="5"/>
  <c r="G4005" i="5"/>
  <c r="G2357" i="5"/>
  <c r="G1274" i="5"/>
  <c r="G3410" i="5"/>
  <c r="G3442" i="5"/>
  <c r="G2388" i="5"/>
  <c r="H2361" i="5"/>
  <c r="E380" i="8" s="1"/>
  <c r="H1124" i="5"/>
  <c r="H1842" i="5"/>
  <c r="G4366" i="5"/>
  <c r="G4616" i="5"/>
  <c r="G1652" i="5"/>
  <c r="G972" i="5"/>
  <c r="G4133" i="5"/>
  <c r="G4100" i="5"/>
  <c r="G3886" i="5"/>
  <c r="G939" i="5"/>
  <c r="G2437" i="5"/>
  <c r="G742" i="5"/>
  <c r="G238" i="5"/>
  <c r="G4291" i="5"/>
  <c r="G4543" i="5"/>
  <c r="G3797" i="5"/>
  <c r="G3098" i="5"/>
  <c r="G3941" i="5"/>
  <c r="G1012" i="5"/>
  <c r="G4187" i="5"/>
  <c r="G3930" i="5"/>
  <c r="G1594" i="5"/>
  <c r="G2216" i="5"/>
  <c r="G836" i="5"/>
  <c r="G246" i="5"/>
  <c r="G1064" i="5"/>
  <c r="G477" i="5"/>
  <c r="G4511" i="5"/>
  <c r="G4164" i="5"/>
  <c r="G3996" i="5"/>
  <c r="G2887" i="5"/>
  <c r="G309" i="5"/>
  <c r="G73" i="5"/>
  <c r="G4328" i="5"/>
  <c r="G4090" i="5"/>
  <c r="G2309" i="5"/>
  <c r="G286" i="5"/>
  <c r="G4193" i="5"/>
  <c r="G4199" i="5"/>
  <c r="G3691" i="5"/>
  <c r="G4311" i="5"/>
  <c r="G3876" i="5"/>
  <c r="G2409" i="5"/>
  <c r="G4255" i="5"/>
  <c r="G4290" i="5"/>
  <c r="G3885" i="5"/>
  <c r="G3731" i="5"/>
  <c r="G2569" i="5"/>
  <c r="G994" i="5"/>
  <c r="G313" i="5"/>
  <c r="G1255" i="5"/>
  <c r="G3013" i="5"/>
  <c r="G762" i="5"/>
  <c r="G234" i="5"/>
  <c r="G911" i="5"/>
  <c r="G385" i="5"/>
  <c r="G4153" i="5"/>
  <c r="G3741" i="5"/>
  <c r="G3892" i="5"/>
  <c r="G982" i="5"/>
  <c r="G424" i="5"/>
  <c r="G298" i="5"/>
  <c r="G965" i="5"/>
  <c r="G418" i="5"/>
  <c r="G4371" i="5"/>
  <c r="G4237" i="5"/>
  <c r="G4026" i="5"/>
  <c r="G4586" i="5"/>
  <c r="G3939" i="5"/>
  <c r="G3455" i="5"/>
  <c r="G2014" i="5"/>
  <c r="G4173" i="5"/>
  <c r="G4442" i="5"/>
  <c r="G3912" i="5"/>
  <c r="G2649" i="5"/>
  <c r="G3173" i="5"/>
  <c r="G1234" i="5"/>
  <c r="G332" i="5"/>
  <c r="G4577" i="5"/>
  <c r="G3162" i="5"/>
  <c r="G4191" i="5"/>
  <c r="G1965" i="5"/>
  <c r="G913" i="5"/>
  <c r="G260" i="5"/>
  <c r="G1097" i="5"/>
  <c r="G914" i="5"/>
  <c r="G4256" i="5"/>
  <c r="G1737" i="5"/>
  <c r="G1736" i="5"/>
  <c r="H2226" i="5"/>
  <c r="H2984" i="5"/>
  <c r="H2964" i="5"/>
  <c r="H4082" i="5"/>
  <c r="G4220" i="5"/>
  <c r="G3959" i="5"/>
  <c r="G3515" i="5"/>
  <c r="G1606" i="5"/>
  <c r="G259" i="5"/>
  <c r="G1082" i="5"/>
  <c r="G878" i="5"/>
  <c r="G328" i="5"/>
  <c r="G3236" i="5"/>
  <c r="G3866" i="5"/>
  <c r="G728" i="5"/>
  <c r="G4250" i="5"/>
  <c r="G3730" i="5"/>
  <c r="G3889" i="5"/>
  <c r="G390" i="5"/>
  <c r="G760" i="5"/>
  <c r="G810" i="5"/>
  <c r="G4372" i="5"/>
  <c r="G3771" i="5"/>
  <c r="G2730" i="5"/>
  <c r="G4168" i="5"/>
  <c r="G3749" i="5"/>
  <c r="G1226" i="5"/>
  <c r="G3929" i="5"/>
  <c r="G3695" i="5"/>
  <c r="G3169" i="5"/>
  <c r="G3429" i="5"/>
  <c r="G1227" i="5"/>
  <c r="G540" i="5"/>
  <c r="G2573" i="5"/>
  <c r="G769" i="5"/>
  <c r="G254" i="5"/>
  <c r="G865" i="5"/>
  <c r="G382" i="5"/>
  <c r="G4576" i="5"/>
  <c r="G4448" i="5"/>
  <c r="G3430" i="5"/>
  <c r="G426" i="5"/>
  <c r="G779" i="5"/>
  <c r="G308" i="5"/>
  <c r="G3791" i="5"/>
  <c r="G991" i="5"/>
  <c r="G550" i="5"/>
  <c r="G55" i="5"/>
  <c r="G4460" i="5"/>
  <c r="G3913" i="5"/>
  <c r="G3243" i="5"/>
  <c r="G3623" i="5"/>
  <c r="G2384" i="5"/>
  <c r="G4224" i="5"/>
  <c r="G3825" i="5"/>
  <c r="G3841" i="5"/>
  <c r="G1400" i="5"/>
  <c r="G3873" i="5"/>
  <c r="G357" i="5"/>
  <c r="G1028" i="5"/>
  <c r="G555" i="5"/>
  <c r="G278" i="5"/>
  <c r="G4201" i="5"/>
  <c r="G4241" i="5"/>
  <c r="G3317" i="5"/>
  <c r="G3340" i="5"/>
  <c r="G1584" i="5"/>
  <c r="G936" i="5"/>
  <c r="G3606" i="5"/>
  <c r="G2601" i="5"/>
  <c r="G3110" i="5"/>
  <c r="G2766" i="5"/>
  <c r="G1089" i="5"/>
  <c r="G388" i="5"/>
  <c r="G688" i="5"/>
  <c r="G796" i="5"/>
  <c r="G344" i="5"/>
  <c r="G1015" i="5"/>
  <c r="G409" i="5"/>
  <c r="G3450" i="5"/>
  <c r="G1670" i="5"/>
  <c r="G4424" i="5"/>
  <c r="G1714" i="5"/>
  <c r="G1205" i="5"/>
  <c r="G1675" i="5"/>
  <c r="G3076" i="5"/>
  <c r="G1324" i="5"/>
  <c r="G1319" i="5"/>
  <c r="H3065" i="5"/>
  <c r="G4365" i="5"/>
  <c r="G4329" i="5"/>
  <c r="G4160" i="5"/>
  <c r="G3742" i="5"/>
  <c r="G2633" i="5"/>
  <c r="G1220" i="5"/>
  <c r="G4436" i="5"/>
  <c r="G4387" i="5"/>
  <c r="G3690" i="5"/>
  <c r="G2315" i="5"/>
  <c r="G3038" i="5"/>
  <c r="G1080" i="5"/>
  <c r="G374" i="5"/>
  <c r="G1098" i="5"/>
  <c r="G566" i="5"/>
  <c r="G3518" i="5"/>
  <c r="G2140" i="5"/>
  <c r="G4443" i="5"/>
  <c r="G3421" i="5"/>
  <c r="G2000" i="5"/>
  <c r="G1282" i="5"/>
  <c r="G4305" i="5"/>
  <c r="G4416" i="5"/>
  <c r="G3872" i="5"/>
  <c r="G3163" i="5"/>
  <c r="G4197" i="5"/>
  <c r="G3790" i="5"/>
  <c r="G1275" i="5"/>
  <c r="G3958" i="5"/>
  <c r="G4192" i="5"/>
  <c r="G3756" i="5"/>
  <c r="G3215" i="5"/>
  <c r="G2238" i="5"/>
  <c r="G980" i="5"/>
  <c r="G295" i="5"/>
  <c r="G539" i="5"/>
  <c r="G739" i="5"/>
  <c r="G921" i="5"/>
  <c r="G389" i="5"/>
  <c r="G4491" i="5"/>
  <c r="G4578" i="5"/>
  <c r="G4154" i="5"/>
  <c r="G3903" i="5"/>
  <c r="G3229" i="5"/>
  <c r="G3799" i="5"/>
  <c r="G3201" i="5"/>
  <c r="G3775" i="5"/>
  <c r="G1314" i="5"/>
  <c r="G3271" i="5"/>
  <c r="G3581" i="5"/>
  <c r="G834" i="5"/>
  <c r="G345" i="5"/>
  <c r="G1014" i="5"/>
  <c r="G2565" i="5"/>
  <c r="G750" i="5"/>
  <c r="G72" i="5"/>
  <c r="G1619" i="5"/>
  <c r="G848" i="5"/>
  <c r="G3008" i="5"/>
  <c r="G2254" i="5"/>
  <c r="G1000" i="5"/>
  <c r="G1946" i="5"/>
  <c r="G2803" i="5"/>
  <c r="G598" i="5"/>
  <c r="G1665" i="5"/>
  <c r="G4144" i="5"/>
  <c r="G4246" i="5"/>
  <c r="G751" i="5"/>
  <c r="G2905" i="5"/>
  <c r="G3051" i="5"/>
  <c r="G2995" i="5"/>
  <c r="G1191" i="5"/>
  <c r="G1642" i="5"/>
  <c r="G2970" i="5"/>
  <c r="G4447" i="5"/>
  <c r="G4175" i="5"/>
  <c r="G3604" i="5"/>
  <c r="G4219" i="5"/>
  <c r="G4212" i="5"/>
  <c r="G3769" i="5"/>
  <c r="G3144" i="5"/>
  <c r="G3278" i="5"/>
  <c r="G3792" i="5"/>
  <c r="G1993" i="5"/>
  <c r="G794" i="5"/>
  <c r="G285" i="5"/>
  <c r="G945" i="5"/>
  <c r="G375" i="5"/>
  <c r="G4341" i="5"/>
  <c r="G3914" i="5"/>
  <c r="G3250" i="5"/>
  <c r="G4130" i="5"/>
  <c r="G3672" i="5"/>
  <c r="G1156" i="5"/>
  <c r="G4247" i="5"/>
  <c r="G4025" i="5"/>
  <c r="G3544" i="5"/>
  <c r="G2765" i="5"/>
  <c r="G2605" i="5"/>
  <c r="G384" i="5"/>
  <c r="G1986" i="5"/>
  <c r="G623" i="5"/>
  <c r="G3663" i="5"/>
  <c r="G792" i="5"/>
  <c r="G927" i="5"/>
  <c r="G405" i="5"/>
  <c r="G4213" i="5"/>
  <c r="G4260" i="5"/>
  <c r="G3965" i="5"/>
  <c r="G3359" i="5"/>
  <c r="G3911" i="5"/>
  <c r="G2609" i="5"/>
  <c r="G1206" i="5"/>
  <c r="G4068" i="5"/>
  <c r="G3800" i="5"/>
  <c r="G1440" i="5"/>
  <c r="G1571" i="5"/>
  <c r="G780" i="5"/>
  <c r="G981" i="5"/>
  <c r="G403" i="5"/>
  <c r="G1135" i="5"/>
  <c r="G1036" i="5"/>
  <c r="G515" i="5"/>
  <c r="G4480" i="5"/>
  <c r="G4439" i="5"/>
  <c r="G4102" i="5"/>
  <c r="G1071" i="5"/>
  <c r="G582" i="5"/>
  <c r="G4478" i="5"/>
  <c r="G4380" i="5"/>
  <c r="G4096" i="5"/>
  <c r="G3548" i="5"/>
  <c r="G4186" i="5"/>
  <c r="G3773" i="5"/>
  <c r="G3000" i="5"/>
  <c r="G1261" i="5"/>
  <c r="G4512" i="5"/>
  <c r="G4152" i="5"/>
  <c r="G3723" i="5"/>
  <c r="G2641" i="5"/>
  <c r="G3168" i="5"/>
  <c r="G3222" i="5"/>
  <c r="G1199" i="5"/>
  <c r="G996" i="5"/>
  <c r="G1192" i="5"/>
  <c r="G674" i="5"/>
  <c r="G4513" i="5"/>
  <c r="G4174" i="5"/>
  <c r="G3634" i="5"/>
  <c r="G3603" i="5"/>
  <c r="G1096" i="5"/>
  <c r="G4202" i="5"/>
  <c r="G4203" i="5"/>
  <c r="G3759" i="5"/>
  <c r="G3257" i="5"/>
  <c r="G3687" i="5"/>
  <c r="G1240" i="5"/>
  <c r="G2617" i="5"/>
  <c r="G631" i="5"/>
  <c r="G816" i="5"/>
  <c r="G331" i="5"/>
  <c r="G406" i="5"/>
  <c r="G1171" i="5"/>
  <c r="G641" i="5"/>
  <c r="G4334" i="5"/>
  <c r="G4104" i="5"/>
  <c r="G1150" i="5"/>
  <c r="G4222" i="5"/>
  <c r="G3549" i="5"/>
  <c r="G3582" i="5"/>
  <c r="G929" i="5"/>
  <c r="G3264" i="5"/>
  <c r="G759" i="5"/>
  <c r="G4149" i="5"/>
  <c r="G4101" i="5"/>
  <c r="G4046" i="5"/>
  <c r="G2215" i="5"/>
  <c r="G3890" i="5"/>
  <c r="G4612" i="5"/>
  <c r="G4567" i="5"/>
  <c r="G4214" i="5"/>
  <c r="G1312" i="5"/>
  <c r="G1050" i="5"/>
  <c r="G1958" i="5"/>
  <c r="G3467" i="5"/>
  <c r="G1725" i="5"/>
  <c r="H3085" i="5"/>
  <c r="H1890" i="5"/>
  <c r="H4495" i="5"/>
  <c r="G4004" i="5"/>
  <c r="G3420" i="5"/>
  <c r="G2745" i="5"/>
  <c r="G386" i="5"/>
  <c r="G2168" i="5"/>
  <c r="G3748" i="5"/>
  <c r="G795" i="5"/>
  <c r="G407" i="5"/>
  <c r="G4435" i="5"/>
  <c r="G4454" i="5"/>
  <c r="G4379" i="5"/>
  <c r="G4076" i="5"/>
  <c r="G4185" i="5"/>
  <c r="G2950" i="5"/>
  <c r="G1247" i="5"/>
  <c r="G4467" i="5"/>
  <c r="G3940" i="5"/>
  <c r="G3703" i="5"/>
  <c r="G3104" i="5"/>
  <c r="G3193" i="5"/>
  <c r="G3776" i="5"/>
  <c r="G1992" i="5"/>
  <c r="G593" i="5"/>
  <c r="G2863" i="5"/>
  <c r="G793" i="5"/>
  <c r="G373" i="5"/>
  <c r="G807" i="5"/>
  <c r="G324" i="5"/>
  <c r="G1108" i="5"/>
  <c r="G1788" i="5"/>
  <c r="G245" i="5"/>
  <c r="G4251" i="5"/>
  <c r="G1313" i="5"/>
  <c r="G4221" i="5"/>
  <c r="G4218" i="5"/>
  <c r="G3770" i="5"/>
  <c r="G3456" i="5"/>
  <c r="G699" i="5"/>
  <c r="H2849" i="5"/>
  <c r="H1692" i="5"/>
  <c r="E276" i="8" s="1"/>
  <c r="H2780" i="5"/>
  <c r="H2775" i="5"/>
  <c r="H3812" i="5"/>
  <c r="H2894" i="5"/>
  <c r="H3818" i="5"/>
  <c r="E908" i="8" l="1"/>
  <c r="E362" i="8"/>
  <c r="E186" i="8"/>
  <c r="E876" i="8"/>
  <c r="E1073" i="8"/>
  <c r="E303" i="8"/>
  <c r="E375" i="8"/>
  <c r="E1171" i="8"/>
  <c r="E200" i="8"/>
  <c r="E857" i="8"/>
  <c r="E311" i="8"/>
  <c r="E856" i="8"/>
  <c r="E912" i="8"/>
  <c r="E342" i="8"/>
  <c r="E870" i="8"/>
  <c r="E1074" i="8"/>
  <c r="E1121" i="8"/>
  <c r="E890" i="8"/>
  <c r="E894" i="8"/>
  <c r="E277" i="8"/>
  <c r="E126" i="8"/>
  <c r="E231" i="8"/>
  <c r="H3593" i="5"/>
  <c r="H1330" i="5"/>
  <c r="H1324" i="5"/>
  <c r="H2192" i="5"/>
  <c r="H2200" i="5"/>
  <c r="H2785" i="5"/>
  <c r="H1902" i="5"/>
  <c r="H1908" i="5"/>
  <c r="H4352" i="5"/>
  <c r="H2934" i="5"/>
  <c r="H2184" i="5"/>
  <c r="H2914" i="5"/>
  <c r="H2827" i="5"/>
  <c r="H2792" i="5"/>
  <c r="G2066" i="5"/>
  <c r="H2919" i="5"/>
  <c r="G689" i="5"/>
  <c r="H4274" i="5"/>
  <c r="H2613" i="5"/>
  <c r="H3221" i="5"/>
  <c r="H4543" i="5"/>
  <c r="E1177" i="8" s="1"/>
  <c r="H3228" i="5"/>
  <c r="H3249" i="5"/>
  <c r="H4282" i="5"/>
  <c r="H2929" i="5"/>
  <c r="H2939" i="5"/>
  <c r="H1764" i="5"/>
  <c r="E284" i="8" s="1"/>
  <c r="H3263" i="5"/>
  <c r="H3534" i="5"/>
  <c r="H2770" i="5"/>
  <c r="H3235" i="5"/>
  <c r="H858" i="5"/>
  <c r="H1835" i="5"/>
  <c r="H3277" i="5"/>
  <c r="H4064" i="5"/>
  <c r="H4264" i="5"/>
  <c r="H2944" i="5"/>
  <c r="E886" i="8" s="1"/>
  <c r="H250" i="5"/>
  <c r="H4503" i="5"/>
  <c r="H746" i="5"/>
  <c r="H4551" i="5"/>
  <c r="H3994" i="5"/>
  <c r="H4320" i="5"/>
  <c r="H3270" i="5"/>
  <c r="H3502" i="5"/>
  <c r="H4159" i="5"/>
  <c r="G1281" i="5"/>
  <c r="G2042" i="5"/>
  <c r="G581" i="5"/>
  <c r="G2090" i="5"/>
  <c r="G2058" i="5"/>
  <c r="G2074" i="5"/>
  <c r="H1757" i="5"/>
  <c r="E283" i="8" s="1"/>
  <c r="H4042" i="5"/>
  <c r="H473" i="5"/>
  <c r="H3296" i="5"/>
  <c r="H4035" i="5"/>
  <c r="H1177" i="5"/>
  <c r="H328" i="5"/>
  <c r="H3256" i="5"/>
  <c r="H4053" i="5"/>
  <c r="H3729" i="5"/>
  <c r="E1064" i="8" s="1"/>
  <c r="H3242" i="5"/>
  <c r="H608" i="5"/>
  <c r="H4228" i="5"/>
  <c r="H1605" i="5"/>
  <c r="H2862" i="5"/>
  <c r="H1992" i="5"/>
  <c r="E328" i="8" s="1"/>
  <c r="F183" i="6"/>
  <c r="F63" i="6"/>
  <c r="F27" i="7"/>
  <c r="H1050" i="5"/>
  <c r="F71" i="6"/>
  <c r="H1261" i="5"/>
  <c r="F30" i="7"/>
  <c r="H1571" i="5"/>
  <c r="F188" i="6"/>
  <c r="G188" i="6" s="1"/>
  <c r="F98" i="6"/>
  <c r="F232" i="6"/>
  <c r="H2969" i="5"/>
  <c r="F314" i="6"/>
  <c r="H539" i="5"/>
  <c r="F144" i="6"/>
  <c r="F344" i="6"/>
  <c r="H2601" i="5"/>
  <c r="H3339" i="5"/>
  <c r="E955" i="8" s="1"/>
  <c r="H1398" i="5"/>
  <c r="E241" i="8" s="1"/>
  <c r="F41" i="6"/>
  <c r="F64" i="6"/>
  <c r="H1226" i="5"/>
  <c r="F158" i="6"/>
  <c r="F35" i="6"/>
  <c r="F9" i="7"/>
  <c r="H698" i="5"/>
  <c r="H4237" i="5"/>
  <c r="E1139" i="8" s="1"/>
  <c r="F343" i="6"/>
  <c r="F331" i="6"/>
  <c r="G3081" i="5"/>
  <c r="G1034" i="5"/>
  <c r="G2955" i="5"/>
  <c r="G1119" i="5"/>
  <c r="G2818" i="5"/>
  <c r="G3784" i="5"/>
  <c r="G1936" i="5"/>
  <c r="G2823" i="5"/>
  <c r="G2910" i="5"/>
  <c r="H2886" i="5"/>
  <c r="H1064" i="5"/>
  <c r="H238" i="5"/>
  <c r="H2437" i="5"/>
  <c r="H1652" i="5"/>
  <c r="H3442" i="5"/>
  <c r="H4088" i="5"/>
  <c r="F170" i="6"/>
  <c r="H757" i="5"/>
  <c r="H2557" i="5"/>
  <c r="H3977" i="5"/>
  <c r="H3125" i="5"/>
  <c r="F88" i="6"/>
  <c r="H1623" i="5"/>
  <c r="H3806" i="5"/>
  <c r="H725" i="5"/>
  <c r="E134" i="8" s="1"/>
  <c r="F9" i="6"/>
  <c r="F260" i="6"/>
  <c r="H4001" i="5"/>
  <c r="E1111" i="8" s="1"/>
  <c r="F243" i="6"/>
  <c r="H4094" i="5"/>
  <c r="H1848" i="5"/>
  <c r="H2989" i="5"/>
  <c r="H1170" i="5"/>
  <c r="H2621" i="5"/>
  <c r="H3739" i="5"/>
  <c r="E1065" i="8" s="1"/>
  <c r="H1999" i="5"/>
  <c r="E329" i="8" s="1"/>
  <c r="H3956" i="5"/>
  <c r="H3614" i="5"/>
  <c r="H1005" i="5"/>
  <c r="H3907" i="5"/>
  <c r="F326" i="6"/>
  <c r="H3514" i="5"/>
  <c r="H1872" i="5"/>
  <c r="H4405" i="5"/>
  <c r="H3938" i="5"/>
  <c r="H71" i="5"/>
  <c r="E19" i="8" s="1"/>
  <c r="H4075" i="5"/>
  <c r="E1120" i="8" s="1"/>
  <c r="H4137" i="5"/>
  <c r="H4358" i="5"/>
  <c r="F246" i="6"/>
  <c r="G2082" i="5"/>
  <c r="G4013" i="5"/>
  <c r="G2352" i="5"/>
  <c r="G3833" i="5"/>
  <c r="G1715" i="5"/>
  <c r="G1724" i="5"/>
  <c r="G2813" i="5"/>
  <c r="G492" i="5"/>
  <c r="G3071" i="5"/>
  <c r="H2878" i="5"/>
  <c r="H4124" i="5"/>
  <c r="E1128" i="8" s="1"/>
  <c r="F213" i="6"/>
  <c r="F132" i="6"/>
  <c r="G132" i="6" s="1"/>
  <c r="H1646" i="5"/>
  <c r="H3920" i="5"/>
  <c r="H4300" i="5"/>
  <c r="E1146" i="8" s="1"/>
  <c r="F287" i="6"/>
  <c r="F280" i="6"/>
  <c r="G1806" i="5"/>
  <c r="H4218" i="5"/>
  <c r="E1137" i="8" s="1"/>
  <c r="H3193" i="5"/>
  <c r="H3703" i="5"/>
  <c r="H4610" i="5"/>
  <c r="H2213" i="5"/>
  <c r="F257" i="6"/>
  <c r="H1240" i="5"/>
  <c r="H1096" i="5"/>
  <c r="F218" i="6"/>
  <c r="F55" i="6"/>
  <c r="H2641" i="5"/>
  <c r="H3548" i="5"/>
  <c r="F317" i="6"/>
  <c r="H1071" i="5"/>
  <c r="E193" i="8" s="1"/>
  <c r="F270" i="6"/>
  <c r="H1135" i="5"/>
  <c r="H2609" i="5"/>
  <c r="F171" i="6"/>
  <c r="H792" i="5"/>
  <c r="E149" i="8" s="1"/>
  <c r="H2760" i="5"/>
  <c r="H3542" i="5"/>
  <c r="H3672" i="5"/>
  <c r="F332" i="6"/>
  <c r="H945" i="5"/>
  <c r="H4211" i="5"/>
  <c r="H1191" i="5"/>
  <c r="H3050" i="5"/>
  <c r="H4144" i="5"/>
  <c r="H598" i="5"/>
  <c r="H1945" i="5"/>
  <c r="H2252" i="5"/>
  <c r="H847" i="5"/>
  <c r="H2565" i="5"/>
  <c r="H3581" i="5"/>
  <c r="F81" i="6"/>
  <c r="F247" i="6"/>
  <c r="H978" i="5"/>
  <c r="E181" i="8" s="1"/>
  <c r="F288" i="6"/>
  <c r="H2633" i="5"/>
  <c r="H1674" i="5"/>
  <c r="H4424" i="5"/>
  <c r="H936" i="5"/>
  <c r="E175" i="8" s="1"/>
  <c r="F50" i="6"/>
  <c r="H278" i="5"/>
  <c r="E80" i="8" s="1"/>
  <c r="H2382" i="5"/>
  <c r="E383" i="8" s="1"/>
  <c r="H989" i="5"/>
  <c r="E182" i="8" s="1"/>
  <c r="F114" i="6"/>
  <c r="G114" i="6" s="1"/>
  <c r="H864" i="5"/>
  <c r="E160" i="8" s="1"/>
  <c r="H3695" i="5"/>
  <c r="H2729" i="5"/>
  <c r="E849" i="8" s="1"/>
  <c r="H2649" i="5"/>
  <c r="H911" i="5"/>
  <c r="H2569" i="5"/>
  <c r="H3885" i="5"/>
  <c r="H4255" i="5"/>
  <c r="E1141" i="8" s="1"/>
  <c r="F279" i="6"/>
  <c r="G1801" i="5"/>
  <c r="G21" i="5"/>
  <c r="G1184" i="5"/>
  <c r="F29" i="6"/>
  <c r="F8" i="7"/>
  <c r="F19" i="7"/>
  <c r="H3864" i="5"/>
  <c r="H2144" i="5"/>
  <c r="H3130" i="5"/>
  <c r="E920" i="8" s="1"/>
  <c r="F138" i="6"/>
  <c r="G138" i="6" s="1"/>
  <c r="H54" i="5"/>
  <c r="H3114" i="5"/>
  <c r="E917" i="8" s="1"/>
  <c r="H3352" i="5"/>
  <c r="H506" i="5"/>
  <c r="E104" i="8" s="1"/>
  <c r="F256" i="6"/>
  <c r="H852" i="5"/>
  <c r="H4575" i="5"/>
  <c r="E1181" i="8" s="1"/>
  <c r="H1106" i="5"/>
  <c r="H738" i="5"/>
  <c r="H1829" i="5"/>
  <c r="H1268" i="5"/>
  <c r="H242" i="5"/>
  <c r="H2013" i="5"/>
  <c r="E331" i="8" s="1"/>
  <c r="H3947" i="5"/>
  <c r="H3576" i="5"/>
  <c r="H4486" i="5"/>
  <c r="G2925" i="5"/>
  <c r="G3779" i="5"/>
  <c r="G3417" i="5"/>
  <c r="G2026" i="5"/>
  <c r="G2960" i="5"/>
  <c r="F83" i="6"/>
  <c r="F241" i="6"/>
  <c r="F352" i="6"/>
  <c r="H2176" i="5"/>
  <c r="H4429" i="5"/>
  <c r="H1163" i="5"/>
  <c r="H1302" i="5"/>
  <c r="H1380" i="5"/>
  <c r="E238" i="8" s="1"/>
  <c r="H3840" i="5"/>
  <c r="E1077" i="8" s="1"/>
  <c r="H3658" i="5"/>
  <c r="H4529" i="5"/>
  <c r="F222" i="6"/>
  <c r="H322" i="5"/>
  <c r="H768" i="5"/>
  <c r="E146" i="8" s="1"/>
  <c r="H533" i="5"/>
  <c r="E108" i="8" s="1"/>
  <c r="H466" i="5"/>
  <c r="E99" i="8" s="1"/>
  <c r="H4400" i="5"/>
  <c r="F99" i="6"/>
  <c r="F89" i="6"/>
  <c r="H2854" i="5"/>
  <c r="F162" i="6"/>
  <c r="F36" i="6"/>
  <c r="H3310" i="5"/>
  <c r="H4521" i="5"/>
  <c r="G1717" i="5"/>
  <c r="G1739" i="5"/>
  <c r="G1726" i="5"/>
  <c r="H2006" i="5"/>
  <c r="E330" i="8" s="1"/>
  <c r="H4535" i="5"/>
  <c r="E1176" i="8" s="1"/>
  <c r="F51" i="6"/>
  <c r="H883" i="5"/>
  <c r="E163" i="8" s="1"/>
  <c r="H869" i="5"/>
  <c r="H417" i="5"/>
  <c r="E93" i="8" s="1"/>
  <c r="H3119" i="5"/>
  <c r="H3686" i="5"/>
  <c r="E1019" i="8" s="1"/>
  <c r="H4116" i="5"/>
  <c r="E1126" i="8" s="1"/>
  <c r="F156" i="6"/>
  <c r="H2617" i="5"/>
  <c r="F31" i="6"/>
  <c r="F289" i="6"/>
  <c r="H2999" i="5"/>
  <c r="F42" i="6"/>
  <c r="H403" i="5"/>
  <c r="E92" i="8" s="1"/>
  <c r="F157" i="6"/>
  <c r="F313" i="6"/>
  <c r="H2904" i="5"/>
  <c r="H3007" i="5"/>
  <c r="F328" i="6"/>
  <c r="F32" i="6"/>
  <c r="F30" i="6"/>
  <c r="H1205" i="5"/>
  <c r="F255" i="6"/>
  <c r="F312" i="6"/>
  <c r="H382" i="5"/>
  <c r="F26" i="7"/>
  <c r="F8" i="6"/>
  <c r="F45" i="6"/>
  <c r="H1219" i="5"/>
  <c r="H234" i="5"/>
  <c r="F46" i="6"/>
  <c r="G2116" i="5"/>
  <c r="G2369" i="5"/>
  <c r="G3214" i="5"/>
  <c r="G2808" i="5"/>
  <c r="G1794" i="5"/>
  <c r="G1388" i="5"/>
  <c r="G487" i="5"/>
  <c r="G3721" i="5"/>
  <c r="G1868" i="5"/>
  <c r="G1351" i="5"/>
  <c r="H1010" i="5"/>
  <c r="E185" i="8" s="1"/>
  <c r="H4100" i="5"/>
  <c r="H2388" i="5"/>
  <c r="E384" i="8" s="1"/>
  <c r="H2356" i="5"/>
  <c r="F223" i="6"/>
  <c r="F200" i="6"/>
  <c r="H367" i="5"/>
  <c r="H920" i="5"/>
  <c r="F340" i="6"/>
  <c r="H2844" i="5"/>
  <c r="H2979" i="5"/>
  <c r="H3055" i="5"/>
  <c r="H3971" i="5"/>
  <c r="F318" i="6"/>
  <c r="F306" i="6"/>
  <c r="H1599" i="5"/>
  <c r="H2637" i="5"/>
  <c r="E585" i="8" s="1"/>
  <c r="H4310" i="5"/>
  <c r="E1147" i="8" s="1"/>
  <c r="H3479" i="5"/>
  <c r="G3425" i="5"/>
  <c r="H3529" i="5"/>
  <c r="H2322" i="5"/>
  <c r="H1212" i="5"/>
  <c r="E213" i="8" s="1"/>
  <c r="H1088" i="5"/>
  <c r="F227" i="6"/>
  <c r="F228" i="6"/>
  <c r="H265" i="5"/>
  <c r="E78" i="8" s="1"/>
  <c r="F269" i="6"/>
  <c r="H957" i="5"/>
  <c r="F13" i="7"/>
  <c r="G13" i="7" s="1"/>
  <c r="H4596" i="5"/>
  <c r="H1198" i="5"/>
  <c r="H1564" i="5"/>
  <c r="H2870" i="5"/>
  <c r="H1057" i="5"/>
  <c r="H2120" i="5"/>
  <c r="E345" i="8" s="1"/>
  <c r="H3335" i="5"/>
  <c r="H3024" i="5"/>
  <c r="E901" i="8" s="1"/>
  <c r="H666" i="5"/>
  <c r="H1254" i="5"/>
  <c r="E219" i="8" s="1"/>
  <c r="F161" i="6"/>
  <c r="H4584" i="5"/>
  <c r="E1182" i="8" s="1"/>
  <c r="G1043" i="5"/>
  <c r="G3831" i="5"/>
  <c r="G1728" i="5"/>
  <c r="G1750" i="5"/>
  <c r="G1964" i="5"/>
  <c r="G2106" i="5"/>
  <c r="G3046" i="5"/>
  <c r="G2840" i="5"/>
  <c r="G1856" i="5"/>
  <c r="F173" i="6"/>
  <c r="H3383" i="5"/>
  <c r="G3209" i="5"/>
  <c r="G1233" i="5"/>
  <c r="F108" i="6"/>
  <c r="G108" i="6" s="1"/>
  <c r="H1247" i="5"/>
  <c r="H4378" i="5"/>
  <c r="H4435" i="5"/>
  <c r="E1165" i="8" s="1"/>
  <c r="H3748" i="5"/>
  <c r="H2168" i="5"/>
  <c r="H2744" i="5"/>
  <c r="E851" i="8" s="1"/>
  <c r="H1956" i="5"/>
  <c r="H4567" i="5"/>
  <c r="H4149" i="5"/>
  <c r="H639" i="5"/>
  <c r="H816" i="5"/>
  <c r="H4478" i="5"/>
  <c r="H513" i="5"/>
  <c r="E105" i="8" s="1"/>
  <c r="H617" i="5"/>
  <c r="H4068" i="5"/>
  <c r="H3911" i="5"/>
  <c r="H3965" i="5"/>
  <c r="H927" i="5"/>
  <c r="E174" i="8" s="1"/>
  <c r="H2605" i="5"/>
  <c r="H1156" i="5"/>
  <c r="E205" i="8" s="1"/>
  <c r="H4130" i="5"/>
  <c r="F359" i="6"/>
  <c r="G359" i="6" s="1"/>
  <c r="H285" i="5"/>
  <c r="E81" i="8" s="1"/>
  <c r="F54" i="6"/>
  <c r="H4447" i="5"/>
  <c r="E1166" i="8" s="1"/>
  <c r="H1640" i="5"/>
  <c r="E267" i="8" s="1"/>
  <c r="H2994" i="5"/>
  <c r="H4246" i="5"/>
  <c r="H1664" i="5"/>
  <c r="E271" i="8" s="1"/>
  <c r="H2802" i="5"/>
  <c r="H1000" i="5"/>
  <c r="H1618" i="5"/>
  <c r="E263" i="8" s="1"/>
  <c r="H750" i="5"/>
  <c r="H834" i="5"/>
  <c r="H3903" i="5"/>
  <c r="H3096" i="5"/>
  <c r="E914" i="8" s="1"/>
  <c r="F52" i="6"/>
  <c r="H2138" i="5"/>
  <c r="E348" i="8" s="1"/>
  <c r="F298" i="6"/>
  <c r="H1080" i="5"/>
  <c r="E194" i="8" s="1"/>
  <c r="H2315" i="5"/>
  <c r="H3075" i="5"/>
  <c r="H1669" i="5"/>
  <c r="E272" i="8" s="1"/>
  <c r="H3108" i="5"/>
  <c r="E916" i="8" s="1"/>
  <c r="H3317" i="5"/>
  <c r="E949" i="8" s="1"/>
  <c r="F281" i="6"/>
  <c r="H2573" i="5"/>
  <c r="H3929" i="5"/>
  <c r="H2734" i="5"/>
  <c r="F341" i="6"/>
  <c r="H877" i="5"/>
  <c r="E162" i="8" s="1"/>
  <c r="F150" i="6"/>
  <c r="F29" i="7"/>
  <c r="H3012" i="5"/>
  <c r="H4290" i="5"/>
  <c r="H2409" i="5"/>
  <c r="F261" i="6"/>
  <c r="G1773" i="5"/>
  <c r="G971" i="5"/>
  <c r="G1880" i="5"/>
  <c r="H3102" i="5"/>
  <c r="E915" i="8" s="1"/>
  <c r="F194" i="6"/>
  <c r="G194" i="6" s="1"/>
  <c r="F23" i="6"/>
  <c r="F182" i="6"/>
  <c r="H1274" i="5"/>
  <c r="H2152" i="5"/>
  <c r="H2625" i="5"/>
  <c r="H4110" i="5"/>
  <c r="H4561" i="5"/>
  <c r="H230" i="5"/>
  <c r="H499" i="5"/>
  <c r="F84" i="6"/>
  <c r="H3181" i="5"/>
  <c r="F72" i="6"/>
  <c r="F229" i="6"/>
  <c r="F242" i="6"/>
  <c r="H1142" i="5"/>
  <c r="H2340" i="5"/>
  <c r="H732" i="5"/>
  <c r="E135" i="8" s="1"/>
  <c r="H2160" i="5"/>
  <c r="F40" i="6"/>
  <c r="F299" i="6"/>
  <c r="F212" i="6"/>
  <c r="G1941" i="5"/>
  <c r="G3061" i="5"/>
  <c r="G1376" i="5"/>
  <c r="G1578" i="5"/>
  <c r="G1746" i="5"/>
  <c r="H1149" i="5"/>
  <c r="F233" i="6"/>
  <c r="F174" i="6"/>
  <c r="H1114" i="5"/>
  <c r="H1778" i="5"/>
  <c r="E286" i="8" s="1"/>
  <c r="H2974" i="5"/>
  <c r="H1593" i="5"/>
  <c r="H3699" i="5"/>
  <c r="H964" i="5"/>
  <c r="H1629" i="5"/>
  <c r="H2561" i="5"/>
  <c r="H4017" i="5"/>
  <c r="H456" i="5"/>
  <c r="F126" i="6"/>
  <c r="G126" i="6" s="1"/>
  <c r="F258" i="6"/>
  <c r="F120" i="6"/>
  <c r="G120" i="6" s="1"/>
  <c r="F217" i="6"/>
  <c r="H820" i="5"/>
  <c r="G1708" i="5"/>
  <c r="H806" i="5"/>
  <c r="E150" i="8" s="1"/>
  <c r="F327" i="6"/>
  <c r="H774" i="5"/>
  <c r="E147" i="8" s="1"/>
  <c r="H841" i="5"/>
  <c r="H3187" i="5"/>
  <c r="H2629" i="5"/>
  <c r="E583" i="8" s="1"/>
  <c r="H951" i="5"/>
  <c r="E1140" i="8" l="1"/>
  <c r="E1169" i="8"/>
  <c r="E1066" i="8"/>
  <c r="E127" i="8"/>
  <c r="E1184" i="8"/>
  <c r="E88" i="8"/>
  <c r="E351" i="8"/>
  <c r="E892" i="8"/>
  <c r="E376" i="8"/>
  <c r="E53" i="8"/>
  <c r="E899" i="8"/>
  <c r="E861" i="8"/>
  <c r="E118" i="8"/>
  <c r="E906" i="8"/>
  <c r="E379" i="8"/>
  <c r="E214" i="8"/>
  <c r="E918" i="8"/>
  <c r="E1006" i="8"/>
  <c r="E989" i="8"/>
  <c r="E1034" i="8"/>
  <c r="E1163" i="8"/>
  <c r="E570" i="8"/>
  <c r="E1136" i="8"/>
  <c r="E578" i="8"/>
  <c r="E268" i="8"/>
  <c r="E1130" i="8"/>
  <c r="E1088" i="8"/>
  <c r="E895" i="8"/>
  <c r="E1071" i="8"/>
  <c r="E1122" i="8"/>
  <c r="E1138" i="8"/>
  <c r="E1115" i="8"/>
  <c r="E1133" i="8"/>
  <c r="E75" i="8"/>
  <c r="E855" i="8"/>
  <c r="E579" i="8"/>
  <c r="E880" i="8"/>
  <c r="E355" i="8"/>
  <c r="E256" i="8"/>
  <c r="E177" i="8"/>
  <c r="E152" i="8"/>
  <c r="E265" i="8"/>
  <c r="E350" i="8"/>
  <c r="E179" i="8"/>
  <c r="E204" i="8"/>
  <c r="E1102" i="8"/>
  <c r="E1132" i="8"/>
  <c r="E218" i="8"/>
  <c r="E98" i="8"/>
  <c r="E203" i="8"/>
  <c r="E1179" i="8"/>
  <c r="E1129" i="8"/>
  <c r="E352" i="8"/>
  <c r="E191" i="8"/>
  <c r="E975" i="8"/>
  <c r="E893" i="8"/>
  <c r="E897" i="8"/>
  <c r="E1159" i="8"/>
  <c r="E1098" i="8"/>
  <c r="E158" i="8"/>
  <c r="E349" i="8"/>
  <c r="E273" i="8"/>
  <c r="E157" i="8"/>
  <c r="E176" i="8"/>
  <c r="E202" i="8"/>
  <c r="E196" i="8"/>
  <c r="E184" i="8"/>
  <c r="E304" i="8"/>
  <c r="E264" i="8"/>
  <c r="E971" i="8"/>
  <c r="E891" i="8"/>
  <c r="E190" i="8"/>
  <c r="E117" i="8"/>
  <c r="E945" i="8"/>
  <c r="E977" i="8"/>
  <c r="E982" i="8"/>
  <c r="E1143" i="8"/>
  <c r="E354" i="8"/>
  <c r="E229" i="8"/>
  <c r="E161" i="8"/>
  <c r="E1174" i="8"/>
  <c r="E1081" i="8"/>
  <c r="E584" i="8"/>
  <c r="E365" i="8"/>
  <c r="E217" i="8"/>
  <c r="E995" i="8"/>
  <c r="E1123" i="8"/>
  <c r="E269" i="8"/>
  <c r="E936" i="8"/>
  <c r="E100" i="8"/>
  <c r="E940" i="8"/>
  <c r="E1142" i="8"/>
  <c r="E939" i="8"/>
  <c r="E884" i="8"/>
  <c r="E230" i="8"/>
  <c r="E873" i="8"/>
  <c r="E869" i="8"/>
  <c r="E1124" i="8"/>
  <c r="E898" i="8"/>
  <c r="E948" i="8"/>
  <c r="E226" i="8"/>
  <c r="E62" i="8"/>
  <c r="E1083" i="8"/>
  <c r="E321" i="8"/>
  <c r="E1017" i="8"/>
  <c r="E1097" i="8"/>
  <c r="E1099" i="8"/>
  <c r="E919" i="8"/>
  <c r="E472" i="8"/>
  <c r="E131" i="8"/>
  <c r="E1116" i="8"/>
  <c r="E1148" i="8"/>
  <c r="E1118" i="8"/>
  <c r="E881" i="8"/>
  <c r="E1154" i="8"/>
  <c r="E993" i="8"/>
  <c r="E1087" i="8"/>
  <c r="E896" i="8"/>
  <c r="E577" i="8"/>
  <c r="E151" i="8"/>
  <c r="E910" i="8"/>
  <c r="E155" i="8"/>
  <c r="E121" i="8"/>
  <c r="E1156" i="8"/>
  <c r="E211" i="8"/>
  <c r="E195" i="8"/>
  <c r="E260" i="8"/>
  <c r="E173" i="8"/>
  <c r="E90" i="8"/>
  <c r="E878" i="8"/>
  <c r="E580" i="8"/>
  <c r="E206" i="8"/>
  <c r="E221" i="8"/>
  <c r="E958" i="8"/>
  <c r="E571" i="8"/>
  <c r="E116" i="8"/>
  <c r="E983" i="8"/>
  <c r="E360" i="8"/>
  <c r="E874" i="8"/>
  <c r="E1160" i="8"/>
  <c r="E1106" i="8"/>
  <c r="E56" i="8"/>
  <c r="E576" i="8"/>
  <c r="E1117" i="8"/>
  <c r="E1110" i="8"/>
  <c r="E941" i="8"/>
  <c r="E885" i="8"/>
  <c r="E314" i="8"/>
  <c r="E84" i="8"/>
  <c r="E1164" i="8"/>
  <c r="E301" i="8"/>
  <c r="E172" i="8"/>
  <c r="E1131" i="8"/>
  <c r="E854" i="8"/>
  <c r="E985" i="8"/>
  <c r="E1237" i="8"/>
  <c r="E308" i="8"/>
  <c r="E568" i="8"/>
  <c r="E192" i="8"/>
  <c r="E257" i="8"/>
  <c r="E938" i="8"/>
  <c r="E1178" i="8"/>
  <c r="E302" i="8"/>
  <c r="E883" i="8"/>
  <c r="E934" i="8"/>
  <c r="E859" i="8"/>
  <c r="E313" i="8"/>
  <c r="E1125" i="8"/>
  <c r="E927" i="8"/>
  <c r="E222" i="8"/>
  <c r="E850" i="8"/>
  <c r="E372" i="8"/>
  <c r="E144" i="8"/>
  <c r="E373" i="8"/>
  <c r="E871" i="8"/>
  <c r="E353" i="8"/>
  <c r="E136" i="8"/>
  <c r="E16" i="8"/>
  <c r="E593" i="8"/>
  <c r="E905" i="8"/>
  <c r="E586" i="8"/>
  <c r="E1036" i="8"/>
  <c r="E979" i="8"/>
  <c r="E581" i="8"/>
  <c r="E145" i="8"/>
  <c r="E875" i="8"/>
  <c r="E872" i="8"/>
  <c r="E85" i="8"/>
  <c r="E143" i="8"/>
  <c r="E159" i="8"/>
  <c r="E1144" i="8"/>
  <c r="E866" i="8"/>
  <c r="E858" i="8"/>
  <c r="E1113" i="8"/>
  <c r="E198" i="8"/>
  <c r="E569" i="8"/>
  <c r="E582" i="8"/>
  <c r="E928" i="8"/>
  <c r="E1035" i="8"/>
  <c r="E413" i="8"/>
  <c r="E1095" i="8"/>
  <c r="E1093" i="8"/>
  <c r="E1180" i="8"/>
  <c r="E156" i="8"/>
  <c r="E259" i="8"/>
  <c r="E103" i="8"/>
  <c r="E1145" i="8"/>
  <c r="E572" i="8"/>
  <c r="E183" i="8"/>
  <c r="E1119" i="8"/>
  <c r="E323" i="8"/>
  <c r="E963" i="8"/>
  <c r="E953" i="8"/>
  <c r="E178" i="8"/>
  <c r="E981" i="8"/>
  <c r="E1103" i="8"/>
  <c r="E54" i="8"/>
  <c r="E212" i="8"/>
  <c r="E1175" i="8"/>
  <c r="E1170" i="8"/>
  <c r="E197" i="8"/>
  <c r="E991" i="8"/>
  <c r="E210" i="8"/>
  <c r="E929" i="8"/>
  <c r="E1094" i="8"/>
  <c r="E1155" i="8"/>
  <c r="E207" i="8"/>
  <c r="E215" i="8"/>
  <c r="E109" i="8"/>
  <c r="E220" i="8"/>
  <c r="E261" i="8"/>
  <c r="E208" i="8"/>
  <c r="E1172" i="8"/>
  <c r="E935" i="8"/>
  <c r="E937" i="8"/>
  <c r="E933" i="8"/>
  <c r="E356" i="8"/>
  <c r="G150" i="6"/>
  <c r="G19" i="7"/>
  <c r="G306" i="6"/>
  <c r="G200" i="6"/>
  <c r="G144" i="6"/>
  <c r="G23" i="6"/>
  <c r="H2066" i="5"/>
  <c r="G2050" i="5"/>
  <c r="H581" i="5"/>
  <c r="H1281" i="5"/>
  <c r="H2074" i="5"/>
  <c r="H2042" i="5"/>
  <c r="H2058" i="5"/>
  <c r="H2090" i="5"/>
  <c r="G8" i="7"/>
  <c r="H4009" i="5"/>
  <c r="E1112" i="8" s="1"/>
  <c r="G2034" i="5"/>
  <c r="G571" i="5"/>
  <c r="G1288" i="5"/>
  <c r="G670" i="5"/>
  <c r="G40" i="6"/>
  <c r="G209" i="6"/>
  <c r="G182" i="6"/>
  <c r="H3783" i="5"/>
  <c r="E1069" i="8" s="1"/>
  <c r="H519" i="5"/>
  <c r="G217" i="6"/>
  <c r="H3209" i="5"/>
  <c r="H1854" i="5"/>
  <c r="H1043" i="5"/>
  <c r="H1349" i="5"/>
  <c r="E233" i="8" s="1"/>
  <c r="H1386" i="5"/>
  <c r="E239" i="8" s="1"/>
  <c r="G1749" i="5"/>
  <c r="G1787" i="5"/>
  <c r="G3524" i="5"/>
  <c r="G1825" i="5"/>
  <c r="G450" i="5"/>
  <c r="G29" i="6"/>
  <c r="G279" i="6"/>
  <c r="H491" i="5"/>
  <c r="E102" i="8" s="1"/>
  <c r="H2822" i="5"/>
  <c r="H1119" i="5"/>
  <c r="H1034" i="5"/>
  <c r="H1374" i="5"/>
  <c r="E237" i="8" s="1"/>
  <c r="H3060" i="5"/>
  <c r="H1878" i="5"/>
  <c r="H1771" i="5"/>
  <c r="E285" i="8" s="1"/>
  <c r="G594" i="5"/>
  <c r="G1364" i="5"/>
  <c r="G1931" i="5"/>
  <c r="H2839" i="5"/>
  <c r="H2114" i="5"/>
  <c r="G1716" i="5"/>
  <c r="H2026" i="5"/>
  <c r="G3899" i="5"/>
  <c r="G1392" i="5"/>
  <c r="G1297" i="5"/>
  <c r="G1660" i="5"/>
  <c r="G1681" i="5"/>
  <c r="H2812" i="5"/>
  <c r="H3080" i="5"/>
  <c r="H1233" i="5"/>
  <c r="H2106" i="5"/>
  <c r="H1866" i="5"/>
  <c r="H485" i="5"/>
  <c r="E101" i="8" s="1"/>
  <c r="H1792" i="5"/>
  <c r="E288" i="8" s="1"/>
  <c r="H3214" i="5"/>
  <c r="G1707" i="5"/>
  <c r="G1727" i="5"/>
  <c r="G1370" i="5"/>
  <c r="G1423" i="5"/>
  <c r="G1614" i="5"/>
  <c r="H3768" i="5"/>
  <c r="E1068" i="8" s="1"/>
  <c r="H2959" i="5"/>
  <c r="H2924" i="5"/>
  <c r="H1184" i="5"/>
  <c r="H1799" i="5"/>
  <c r="E289" i="8" s="1"/>
  <c r="G81" i="6"/>
  <c r="H3070" i="5"/>
  <c r="H2351" i="5"/>
  <c r="H2082" i="5"/>
  <c r="H2909" i="5"/>
  <c r="H1935" i="5"/>
  <c r="H2817" i="5"/>
  <c r="H2954" i="5"/>
  <c r="H1578" i="5"/>
  <c r="H1940" i="5"/>
  <c r="H971" i="5"/>
  <c r="G2234" i="5"/>
  <c r="G2900" i="5"/>
  <c r="G1636" i="5"/>
  <c r="H3045" i="5"/>
  <c r="H1962" i="5"/>
  <c r="E324" i="8" s="1"/>
  <c r="H2807" i="5"/>
  <c r="G1738" i="5"/>
  <c r="G3832" i="5"/>
  <c r="G222" i="6"/>
  <c r="H3417" i="5"/>
  <c r="H20" i="5"/>
  <c r="G527" i="5"/>
  <c r="G2798" i="5"/>
  <c r="G1988" i="5"/>
  <c r="G1898" i="5"/>
  <c r="G1735" i="5"/>
  <c r="E223" i="8" l="1"/>
  <c r="E338" i="8"/>
  <c r="E931" i="8"/>
  <c r="E106" i="8"/>
  <c r="E9" i="8"/>
  <c r="E864" i="8"/>
  <c r="E209" i="8"/>
  <c r="E879" i="8"/>
  <c r="E889" i="8"/>
  <c r="E337" i="8"/>
  <c r="E180" i="8"/>
  <c r="E340" i="8"/>
  <c r="E333" i="8"/>
  <c r="E309" i="8"/>
  <c r="E189" i="8"/>
  <c r="E335" i="8"/>
  <c r="E865" i="8"/>
  <c r="E320" i="8"/>
  <c r="E378" i="8"/>
  <c r="E307" i="8"/>
  <c r="E911" i="8"/>
  <c r="E907" i="8"/>
  <c r="E305" i="8"/>
  <c r="E339" i="8"/>
  <c r="E862" i="8"/>
  <c r="E258" i="8"/>
  <c r="E216" i="8"/>
  <c r="E909" i="8"/>
  <c r="E343" i="8"/>
  <c r="E863" i="8"/>
  <c r="E344" i="8"/>
  <c r="E868" i="8"/>
  <c r="E188" i="8"/>
  <c r="E114" i="8"/>
  <c r="E904" i="8"/>
  <c r="E888" i="8"/>
  <c r="E199" i="8"/>
  <c r="E969" i="8"/>
  <c r="E319" i="8"/>
  <c r="E882" i="8"/>
  <c r="E932" i="8"/>
  <c r="E341" i="8"/>
  <c r="F118" i="7"/>
  <c r="F104" i="7"/>
  <c r="H2050" i="5"/>
  <c r="G567" i="5"/>
  <c r="H1288" i="5"/>
  <c r="H2034" i="5"/>
  <c r="H670" i="5"/>
  <c r="H571" i="5"/>
  <c r="H1896" i="5"/>
  <c r="H2899" i="5"/>
  <c r="G1453" i="5"/>
  <c r="G1025" i="5"/>
  <c r="G2378" i="5"/>
  <c r="H1368" i="5"/>
  <c r="E236" i="8" s="1"/>
  <c r="G627" i="5"/>
  <c r="G1483" i="5"/>
  <c r="G1971" i="5"/>
  <c r="H1658" i="5"/>
  <c r="H1392" i="5"/>
  <c r="H448" i="5"/>
  <c r="H3522" i="5"/>
  <c r="G1438" i="5"/>
  <c r="G907" i="5"/>
  <c r="G2328" i="5"/>
  <c r="G1687" i="5"/>
  <c r="G1886" i="5"/>
  <c r="H1929" i="5"/>
  <c r="H590" i="5"/>
  <c r="E115" i="8" s="1"/>
  <c r="H1823" i="5"/>
  <c r="H1785" i="5"/>
  <c r="E287" i="8" s="1"/>
  <c r="G1979" i="5"/>
  <c r="G896" i="5"/>
  <c r="H526" i="5"/>
  <c r="E107" i="8" s="1"/>
  <c r="G2222" i="5"/>
  <c r="G3205" i="5"/>
  <c r="G1613" i="5"/>
  <c r="G1713" i="5"/>
  <c r="G787" i="5"/>
  <c r="H1295" i="5"/>
  <c r="H1362" i="5"/>
  <c r="E235" i="8" s="1"/>
  <c r="G1987" i="5"/>
  <c r="G2835" i="5"/>
  <c r="G2397" i="5"/>
  <c r="H2797" i="5"/>
  <c r="H1635" i="5"/>
  <c r="H2232" i="5"/>
  <c r="G1952" i="5"/>
  <c r="G3677" i="5"/>
  <c r="G2368" i="5"/>
  <c r="H1679" i="5"/>
  <c r="H3898" i="5"/>
  <c r="G1862" i="5"/>
  <c r="G3292" i="5"/>
  <c r="G1320" i="5"/>
  <c r="G3286" i="5"/>
  <c r="E266" i="8" l="1"/>
  <c r="E113" i="8"/>
  <c r="E97" i="8"/>
  <c r="E334" i="8"/>
  <c r="E336" i="8"/>
  <c r="E860" i="8"/>
  <c r="E225" i="8"/>
  <c r="E300" i="8"/>
  <c r="E240" i="8"/>
  <c r="E224" i="8"/>
  <c r="E980" i="8"/>
  <c r="E128" i="8"/>
  <c r="E1085" i="8"/>
  <c r="E274" i="8"/>
  <c r="E270" i="8"/>
  <c r="E877" i="8"/>
  <c r="E363" i="8"/>
  <c r="E318" i="8"/>
  <c r="E312" i="8"/>
  <c r="G6042" i="5"/>
  <c r="F621" i="6"/>
  <c r="F620" i="6"/>
  <c r="G5091" i="5"/>
  <c r="F90" i="7"/>
  <c r="F89" i="7"/>
  <c r="F53" i="7"/>
  <c r="F54" i="7"/>
  <c r="F67" i="7"/>
  <c r="F66" i="7"/>
  <c r="F32" i="7"/>
  <c r="F31" i="7"/>
  <c r="F78" i="7"/>
  <c r="F446" i="6"/>
  <c r="F445" i="6"/>
  <c r="G3608" i="5"/>
  <c r="G3607" i="5"/>
  <c r="F411" i="6"/>
  <c r="F1127" i="8"/>
  <c r="F391" i="6"/>
  <c r="G436" i="5"/>
  <c r="G1545" i="5"/>
  <c r="G1521" i="5"/>
  <c r="G1553" i="5"/>
  <c r="G1529" i="5"/>
  <c r="G348" i="5"/>
  <c r="G1560" i="5"/>
  <c r="G1513" i="5"/>
  <c r="G3164" i="5"/>
  <c r="H563" i="5"/>
  <c r="G3148" i="5"/>
  <c r="G1538" i="5"/>
  <c r="G1522" i="5"/>
  <c r="G1546" i="5"/>
  <c r="G3041" i="5"/>
  <c r="G3140" i="5"/>
  <c r="G1537" i="5"/>
  <c r="G1514" i="5"/>
  <c r="G1530" i="5"/>
  <c r="H1860" i="5"/>
  <c r="G1688" i="5"/>
  <c r="G1408" i="5"/>
  <c r="H3199" i="5"/>
  <c r="E930" i="8" s="1"/>
  <c r="H1884" i="5"/>
  <c r="H2328" i="5"/>
  <c r="G1709" i="5"/>
  <c r="H2367" i="5"/>
  <c r="H1950" i="5"/>
  <c r="H1611" i="5"/>
  <c r="E262" i="8" s="1"/>
  <c r="H1976" i="5"/>
  <c r="E326" i="8" s="1"/>
  <c r="H905" i="5"/>
  <c r="G1468" i="5"/>
  <c r="G1740" i="5"/>
  <c r="G1729" i="5"/>
  <c r="G897" i="5"/>
  <c r="G3494" i="5"/>
  <c r="G1498" i="5"/>
  <c r="H2220" i="5"/>
  <c r="G1718" i="5"/>
  <c r="G3834" i="5"/>
  <c r="G2834" i="5"/>
  <c r="H1969" i="5"/>
  <c r="E325" i="8" s="1"/>
  <c r="H623" i="5"/>
  <c r="E119" i="8" s="1"/>
  <c r="H2375" i="5"/>
  <c r="E382" i="8" s="1"/>
  <c r="G3434" i="5"/>
  <c r="H3677" i="5"/>
  <c r="H2395" i="5"/>
  <c r="H1984" i="5"/>
  <c r="E327" i="8" s="1"/>
  <c r="G2022" i="5"/>
  <c r="G3714" i="5"/>
  <c r="G1751" i="5"/>
  <c r="G788" i="5"/>
  <c r="H1024" i="5"/>
  <c r="G3033" i="5"/>
  <c r="G3459" i="5"/>
  <c r="G4604" i="5"/>
  <c r="G2579" i="5"/>
  <c r="G2595" i="5"/>
  <c r="G4178" i="5"/>
  <c r="G316" i="5"/>
  <c r="G3641" i="5"/>
  <c r="G3879" i="5"/>
  <c r="H1319" i="5"/>
  <c r="G3762" i="5"/>
  <c r="G292" i="5"/>
  <c r="G301" i="5"/>
  <c r="G307" i="5"/>
  <c r="G349" i="5"/>
  <c r="G4515" i="5"/>
  <c r="G3175" i="5"/>
  <c r="H3284" i="5"/>
  <c r="E942" i="8" s="1"/>
  <c r="G4472" i="5"/>
  <c r="G361" i="5"/>
  <c r="G3628" i="5"/>
  <c r="H3290" i="5"/>
  <c r="E943" i="8" s="1"/>
  <c r="G4205" i="5"/>
  <c r="G2587" i="5"/>
  <c r="E187" i="8" l="1"/>
  <c r="E322" i="8"/>
  <c r="E306" i="8"/>
  <c r="E381" i="8"/>
  <c r="E228" i="8"/>
  <c r="E374" i="8"/>
  <c r="E112" i="8"/>
  <c r="E385" i="8"/>
  <c r="E310" i="8"/>
  <c r="E1018" i="8"/>
  <c r="E171" i="8"/>
  <c r="E361" i="8"/>
  <c r="G613" i="6"/>
  <c r="F1818" i="8"/>
  <c r="F2118" i="8"/>
  <c r="F479" i="6"/>
  <c r="H5088" i="5"/>
  <c r="G82" i="7"/>
  <c r="G48" i="7"/>
  <c r="F478" i="6"/>
  <c r="G61" i="7"/>
  <c r="G26" i="7"/>
  <c r="G440" i="6"/>
  <c r="G74" i="7"/>
  <c r="F461" i="6"/>
  <c r="F458" i="6"/>
  <c r="F462" i="6"/>
  <c r="F459" i="6"/>
  <c r="F463" i="6"/>
  <c r="F460" i="6"/>
  <c r="F457" i="6"/>
  <c r="F434" i="6"/>
  <c r="F410" i="6"/>
  <c r="G405" i="6" s="1"/>
  <c r="H1160" i="8"/>
  <c r="H1123" i="8"/>
  <c r="F433" i="6"/>
  <c r="H152" i="8"/>
  <c r="H570" i="8"/>
  <c r="F873" i="8"/>
  <c r="F581" i="8"/>
  <c r="H568" i="8"/>
  <c r="H375" i="8"/>
  <c r="H156" i="8"/>
  <c r="F422" i="6"/>
  <c r="H981" i="8"/>
  <c r="F423" i="6"/>
  <c r="F1184" i="8"/>
  <c r="F380" i="8"/>
  <c r="F353" i="6"/>
  <c r="F354" i="6"/>
  <c r="F355" i="6"/>
  <c r="F583" i="8"/>
  <c r="F975" i="8"/>
  <c r="F569" i="8"/>
  <c r="H572" i="8"/>
  <c r="H1159" i="8"/>
  <c r="H1127" i="8"/>
  <c r="F871" i="8"/>
  <c r="H126" i="8"/>
  <c r="G366" i="6"/>
  <c r="H1550" i="5"/>
  <c r="H436" i="5"/>
  <c r="E95" i="8" s="1"/>
  <c r="F1238" i="8"/>
  <c r="H1238" i="8"/>
  <c r="H36" i="8"/>
  <c r="F36" i="8"/>
  <c r="F13" i="8"/>
  <c r="H13" i="8"/>
  <c r="F1046" i="8"/>
  <c r="H1046" i="8"/>
  <c r="F719" i="8"/>
  <c r="H719" i="8"/>
  <c r="H48" i="8"/>
  <c r="F48" i="8"/>
  <c r="H12" i="8"/>
  <c r="F12" i="8"/>
  <c r="H14" i="8"/>
  <c r="F14" i="8"/>
  <c r="H377" i="8"/>
  <c r="F377" i="8"/>
  <c r="F31" i="8"/>
  <c r="H31" i="8"/>
  <c r="H299" i="8"/>
  <c r="F299" i="8"/>
  <c r="F316" i="8"/>
  <c r="H316" i="8"/>
  <c r="H1109" i="8"/>
  <c r="F1109" i="8"/>
  <c r="F154" i="8"/>
  <c r="H154" i="8"/>
  <c r="F41" i="8"/>
  <c r="H41" i="8"/>
  <c r="H716" i="8"/>
  <c r="F716" i="8"/>
  <c r="F992" i="8"/>
  <c r="H992" i="8"/>
  <c r="H46" i="8"/>
  <c r="F46" i="8"/>
  <c r="H1121" i="8"/>
  <c r="F1121" i="8"/>
  <c r="H10" i="8"/>
  <c r="F10" i="8"/>
  <c r="F964" i="8"/>
  <c r="H964" i="8"/>
  <c r="H720" i="8"/>
  <c r="F720" i="8"/>
  <c r="F913" i="8"/>
  <c r="H913" i="8"/>
  <c r="F715" i="8"/>
  <c r="H715" i="8"/>
  <c r="F362" i="8"/>
  <c r="H362" i="8"/>
  <c r="F298" i="8"/>
  <c r="H298" i="8"/>
  <c r="F717" i="8"/>
  <c r="H717" i="8"/>
  <c r="F51" i="8"/>
  <c r="H51" i="8"/>
  <c r="H315" i="8"/>
  <c r="F315" i="8"/>
  <c r="F900" i="8"/>
  <c r="H900" i="8"/>
  <c r="F17" i="8"/>
  <c r="H17" i="8"/>
  <c r="F35" i="8"/>
  <c r="H35" i="8"/>
  <c r="H359" i="8"/>
  <c r="F359" i="8"/>
  <c r="H153" i="8"/>
  <c r="F153" i="8"/>
  <c r="H947" i="8"/>
  <c r="F947" i="8"/>
  <c r="F923" i="8"/>
  <c r="H923" i="8"/>
  <c r="H30" i="8"/>
  <c r="F30" i="8"/>
  <c r="F49" i="8"/>
  <c r="H49" i="8"/>
  <c r="F201" i="8"/>
  <c r="H201" i="8"/>
  <c r="F11" i="8"/>
  <c r="H11" i="8"/>
  <c r="F21" i="8"/>
  <c r="H21" i="8"/>
  <c r="F186" i="8"/>
  <c r="H186" i="8"/>
  <c r="H22" i="8"/>
  <c r="F22" i="8"/>
  <c r="H44" i="8"/>
  <c r="F44" i="8"/>
  <c r="H42" i="8"/>
  <c r="F42" i="8"/>
  <c r="F721" i="8"/>
  <c r="H721" i="8"/>
  <c r="F713" i="8"/>
  <c r="H713" i="8"/>
  <c r="F912" i="8"/>
  <c r="H912" i="8"/>
  <c r="H317" i="8"/>
  <c r="F317" i="8"/>
  <c r="F123" i="8"/>
  <c r="H123" i="8"/>
  <c r="H714" i="8"/>
  <c r="F714" i="8"/>
  <c r="F1171" i="8"/>
  <c r="H1171" i="8"/>
  <c r="H1107" i="8"/>
  <c r="F1107" i="8"/>
  <c r="H122" i="8"/>
  <c r="F122" i="8"/>
  <c r="H32" i="8"/>
  <c r="F32" i="8"/>
  <c r="F25" i="8"/>
  <c r="H25" i="8"/>
  <c r="F15" i="8"/>
  <c r="H15" i="8"/>
  <c r="F125" i="8"/>
  <c r="H125" i="8"/>
  <c r="H26" i="8"/>
  <c r="F26" i="8"/>
  <c r="F37" i="8"/>
  <c r="H37" i="8"/>
  <c r="F39" i="8"/>
  <c r="H39" i="8"/>
  <c r="F33" i="8"/>
  <c r="H33" i="8"/>
  <c r="F164" i="8"/>
  <c r="H164" i="8"/>
  <c r="H718" i="8"/>
  <c r="F718" i="8"/>
  <c r="H722" i="8"/>
  <c r="F722" i="8"/>
  <c r="H961" i="8"/>
  <c r="F961" i="8"/>
  <c r="F27" i="8"/>
  <c r="H27" i="8"/>
  <c r="F952" i="8"/>
  <c r="H952" i="8"/>
  <c r="F7" i="8"/>
  <c r="H7" i="8"/>
  <c r="H957" i="8"/>
  <c r="F957" i="8"/>
  <c r="H124" i="8"/>
  <c r="F124" i="8"/>
  <c r="F908" i="8"/>
  <c r="H908" i="8"/>
  <c r="F47" i="8"/>
  <c r="H47" i="8"/>
  <c r="F23" i="8"/>
  <c r="H23" i="8"/>
  <c r="H28" i="8"/>
  <c r="F28" i="8"/>
  <c r="H894" i="8"/>
  <c r="F894" i="8"/>
  <c r="H24" i="8"/>
  <c r="F24" i="8"/>
  <c r="F988" i="8"/>
  <c r="H988" i="8"/>
  <c r="H890" i="8"/>
  <c r="F890" i="8"/>
  <c r="F43" i="8"/>
  <c r="H43" i="8"/>
  <c r="H1557" i="5"/>
  <c r="E255" i="8" s="1"/>
  <c r="H3161" i="5"/>
  <c r="E925" i="8" s="1"/>
  <c r="H1518" i="5"/>
  <c r="H1542" i="5"/>
  <c r="H1510" i="5"/>
  <c r="H1526" i="5"/>
  <c r="F302" i="6"/>
  <c r="G298" i="6" s="1"/>
  <c r="H3037" i="5"/>
  <c r="E903" i="8" s="1"/>
  <c r="H1534" i="5"/>
  <c r="H3136" i="5"/>
  <c r="E921" i="8" s="1"/>
  <c r="H3144" i="5"/>
  <c r="E922" i="8" s="1"/>
  <c r="H1713" i="5"/>
  <c r="H1685" i="5"/>
  <c r="E275" i="8" s="1"/>
  <c r="H894" i="5"/>
  <c r="E165" i="8" s="1"/>
  <c r="H785" i="5"/>
  <c r="G1315" i="5"/>
  <c r="H3032" i="5"/>
  <c r="H3713" i="5"/>
  <c r="H2832" i="5"/>
  <c r="E867" i="8" s="1"/>
  <c r="H1724" i="5"/>
  <c r="H1735" i="5"/>
  <c r="G635" i="5"/>
  <c r="H1746" i="5"/>
  <c r="H2020" i="5"/>
  <c r="H3831" i="5"/>
  <c r="H1705" i="5"/>
  <c r="E278" i="8" s="1"/>
  <c r="F345" i="6"/>
  <c r="F175" i="6"/>
  <c r="F12" i="6"/>
  <c r="F101" i="6"/>
  <c r="F346" i="6"/>
  <c r="F74" i="6"/>
  <c r="F272" i="6"/>
  <c r="F292" i="6"/>
  <c r="F75" i="6"/>
  <c r="F56" i="6"/>
  <c r="F176" i="6"/>
  <c r="F163" i="6"/>
  <c r="F164" i="6"/>
  <c r="F57" i="6"/>
  <c r="F11" i="6"/>
  <c r="F92" i="6"/>
  <c r="F263" i="6"/>
  <c r="F249" i="6"/>
  <c r="F334" i="6"/>
  <c r="F91" i="6"/>
  <c r="F102" i="6"/>
  <c r="F291" i="6"/>
  <c r="F248" i="6"/>
  <c r="F235" i="6"/>
  <c r="F273" i="6"/>
  <c r="F234" i="6"/>
  <c r="F319" i="6"/>
  <c r="F333" i="6"/>
  <c r="F320" i="6"/>
  <c r="F262" i="6"/>
  <c r="H3599" i="5"/>
  <c r="H343" i="5"/>
  <c r="E994" i="8" l="1"/>
  <c r="E282" i="8"/>
  <c r="E148" i="8"/>
  <c r="E254" i="8"/>
  <c r="E1338" i="8"/>
  <c r="E251" i="8"/>
  <c r="E249" i="8"/>
  <c r="E281" i="8"/>
  <c r="E280" i="8"/>
  <c r="E279" i="8"/>
  <c r="E253" i="8"/>
  <c r="E86" i="8"/>
  <c r="E250" i="8"/>
  <c r="E1058" i="8"/>
  <c r="E1076" i="8"/>
  <c r="E902" i="8"/>
  <c r="E252" i="8"/>
  <c r="E332" i="8"/>
  <c r="H2124" i="8"/>
  <c r="I2124" i="8" s="1"/>
  <c r="H1818" i="8"/>
  <c r="I1818" i="8" s="1"/>
  <c r="F2104" i="8"/>
  <c r="G471" i="6"/>
  <c r="H2118" i="8"/>
  <c r="I2118" i="8" s="1"/>
  <c r="H2103" i="8"/>
  <c r="I2103" i="8" s="1"/>
  <c r="F152" i="8"/>
  <c r="F1160" i="8"/>
  <c r="H2104" i="8"/>
  <c r="I2104" i="8" s="1"/>
  <c r="H873" i="8"/>
  <c r="I873" i="8" s="1"/>
  <c r="F1123" i="8"/>
  <c r="G429" i="6"/>
  <c r="I47" i="8"/>
  <c r="I957" i="8"/>
  <c r="I961" i="8"/>
  <c r="I24" i="8"/>
  <c r="I39" i="8"/>
  <c r="I908" i="8"/>
  <c r="I722" i="8"/>
  <c r="I1107" i="8"/>
  <c r="I317" i="8"/>
  <c r="I42" i="8"/>
  <c r="I30" i="8"/>
  <c r="I359" i="8"/>
  <c r="I315" i="8"/>
  <c r="I964" i="8"/>
  <c r="I992" i="8"/>
  <c r="I719" i="8"/>
  <c r="I1238" i="8"/>
  <c r="I1127" i="8"/>
  <c r="I43" i="8"/>
  <c r="I153" i="8"/>
  <c r="I890" i="8"/>
  <c r="I894" i="8"/>
  <c r="I952" i="8"/>
  <c r="I37" i="8"/>
  <c r="I1171" i="8"/>
  <c r="I912" i="8"/>
  <c r="I1160" i="8"/>
  <c r="I923" i="8"/>
  <c r="I35" i="8"/>
  <c r="I51" i="8"/>
  <c r="I1109" i="8"/>
  <c r="I377" i="8"/>
  <c r="I156" i="8"/>
  <c r="I26" i="8"/>
  <c r="I1123" i="8"/>
  <c r="I44" i="8"/>
  <c r="I715" i="8"/>
  <c r="I316" i="8"/>
  <c r="I1046" i="8"/>
  <c r="I1159" i="8"/>
  <c r="I375" i="8"/>
  <c r="I718" i="8"/>
  <c r="I28" i="8"/>
  <c r="I27" i="8"/>
  <c r="I164" i="8"/>
  <c r="I125" i="8"/>
  <c r="I713" i="8"/>
  <c r="I201" i="8"/>
  <c r="I17" i="8"/>
  <c r="I717" i="8"/>
  <c r="I10" i="8"/>
  <c r="I716" i="8"/>
  <c r="I14" i="8"/>
  <c r="I572" i="8"/>
  <c r="I568" i="8"/>
  <c r="I988" i="8"/>
  <c r="I23" i="8"/>
  <c r="I124" i="8"/>
  <c r="I32" i="8"/>
  <c r="I714" i="8"/>
  <c r="I22" i="8"/>
  <c r="I947" i="8"/>
  <c r="I913" i="8"/>
  <c r="I41" i="8"/>
  <c r="I13" i="8"/>
  <c r="I33" i="8"/>
  <c r="I15" i="8"/>
  <c r="I123" i="8"/>
  <c r="I721" i="8"/>
  <c r="I186" i="8"/>
  <c r="I21" i="8"/>
  <c r="I49" i="8"/>
  <c r="I900" i="8"/>
  <c r="I298" i="8"/>
  <c r="I1121" i="8"/>
  <c r="I299" i="8"/>
  <c r="I12" i="8"/>
  <c r="I154" i="8"/>
  <c r="I31" i="8"/>
  <c r="I126" i="8"/>
  <c r="I570" i="8"/>
  <c r="I122" i="8"/>
  <c r="I7" i="8"/>
  <c r="I25" i="8"/>
  <c r="I11" i="8"/>
  <c r="I362" i="8"/>
  <c r="I720" i="8"/>
  <c r="I46" i="8"/>
  <c r="I48" i="8"/>
  <c r="I36" i="8"/>
  <c r="I981" i="8"/>
  <c r="I152" i="8"/>
  <c r="H1184" i="8"/>
  <c r="F156" i="8"/>
  <c r="F375" i="8"/>
  <c r="F568" i="8"/>
  <c r="H581" i="8"/>
  <c r="H192" i="8"/>
  <c r="F351" i="8"/>
  <c r="H569" i="8"/>
  <c r="F570" i="8"/>
  <c r="F213" i="8"/>
  <c r="H975" i="8"/>
  <c r="H330" i="8"/>
  <c r="H1165" i="8"/>
  <c r="F1093" i="8"/>
  <c r="H108" i="8"/>
  <c r="G417" i="6"/>
  <c r="F981" i="8"/>
  <c r="H151" i="8"/>
  <c r="H133" i="8"/>
  <c r="F1182" i="8"/>
  <c r="F217" i="8"/>
  <c r="H380" i="8"/>
  <c r="F918" i="8"/>
  <c r="F572" i="8"/>
  <c r="H159" i="8"/>
  <c r="H16" i="8"/>
  <c r="G352" i="6"/>
  <c r="H583" i="8"/>
  <c r="H953" i="8"/>
  <c r="F1155" i="8"/>
  <c r="H850" i="8"/>
  <c r="H1119" i="8"/>
  <c r="H985" i="8"/>
  <c r="F1159" i="8"/>
  <c r="H886" i="8"/>
  <c r="H370" i="8"/>
  <c r="H212" i="8"/>
  <c r="H1137" i="8"/>
  <c r="F1145" i="8"/>
  <c r="H98" i="8"/>
  <c r="H355" i="8"/>
  <c r="F211" i="8"/>
  <c r="F196" i="8"/>
  <c r="H914" i="8"/>
  <c r="H1095" i="8"/>
  <c r="F1125" i="8"/>
  <c r="F1120" i="8"/>
  <c r="H149" i="8"/>
  <c r="F99" i="8"/>
  <c r="H871" i="8"/>
  <c r="H177" i="8"/>
  <c r="F1169" i="8"/>
  <c r="F916" i="8"/>
  <c r="H1129" i="8"/>
  <c r="H104" i="8"/>
  <c r="H935" i="8"/>
  <c r="F1094" i="8"/>
  <c r="F223" i="8"/>
  <c r="F917" i="8"/>
  <c r="F1097" i="8"/>
  <c r="H1146" i="8"/>
  <c r="F1081" i="8"/>
  <c r="H118" i="8"/>
  <c r="H191" i="8"/>
  <c r="F203" i="8"/>
  <c r="F940" i="8"/>
  <c r="F126" i="8"/>
  <c r="F1177" i="8"/>
  <c r="H354" i="8"/>
  <c r="H941" i="8"/>
  <c r="F284" i="8"/>
  <c r="H945" i="8"/>
  <c r="H1139" i="8"/>
  <c r="H993" i="8"/>
  <c r="F286" i="8"/>
  <c r="F172" i="8"/>
  <c r="F920" i="8"/>
  <c r="H226" i="8"/>
  <c r="F849" i="8"/>
  <c r="F939" i="8"/>
  <c r="F205" i="8"/>
  <c r="F1138" i="8"/>
  <c r="F1166" i="8"/>
  <c r="F1176" i="8"/>
  <c r="F1170" i="8"/>
  <c r="F1083" i="8"/>
  <c r="F936" i="8"/>
  <c r="H1141" i="8"/>
  <c r="F1130" i="8"/>
  <c r="H367" i="8"/>
  <c r="F1181" i="8"/>
  <c r="H989" i="8"/>
  <c r="H1077" i="8"/>
  <c r="F384" i="8"/>
  <c r="F88" i="8"/>
  <c r="F190" i="8"/>
  <c r="H353" i="8"/>
  <c r="F1163" i="8"/>
  <c r="H195" i="8"/>
  <c r="H901" i="8"/>
  <c r="H937" i="8"/>
  <c r="F356" i="8"/>
  <c r="F934" i="8"/>
  <c r="F933" i="8"/>
  <c r="H206" i="8"/>
  <c r="F915" i="8"/>
  <c r="F1113" i="8"/>
  <c r="F910" i="8"/>
  <c r="H910" i="8"/>
  <c r="F29" i="8"/>
  <c r="H29" i="8"/>
  <c r="H1131" i="8"/>
  <c r="F1131" i="8"/>
  <c r="F302" i="8"/>
  <c r="H302" i="8"/>
  <c r="H880" i="8"/>
  <c r="F880" i="8"/>
  <c r="H323" i="8"/>
  <c r="F323" i="8"/>
  <c r="H272" i="8"/>
  <c r="F272" i="8"/>
  <c r="F184" i="8"/>
  <c r="H184" i="8"/>
  <c r="F906" i="8"/>
  <c r="H906" i="8"/>
  <c r="F221" i="8"/>
  <c r="H221" i="8"/>
  <c r="F304" i="8"/>
  <c r="H304" i="8"/>
  <c r="F859" i="8"/>
  <c r="H859" i="8"/>
  <c r="H50" i="8"/>
  <c r="F50" i="8"/>
  <c r="H78" i="8"/>
  <c r="F78" i="8"/>
  <c r="F360" i="8"/>
  <c r="H360" i="8"/>
  <c r="F895" i="8"/>
  <c r="H895" i="8"/>
  <c r="H870" i="8"/>
  <c r="F870" i="8"/>
  <c r="H1143" i="8"/>
  <c r="F1143" i="8"/>
  <c r="H1017" i="8"/>
  <c r="F1017" i="8"/>
  <c r="F75" i="8"/>
  <c r="H75" i="8"/>
  <c r="H8" i="8"/>
  <c r="F8" i="8"/>
  <c r="H161" i="8"/>
  <c r="F161" i="8"/>
  <c r="F263" i="8"/>
  <c r="H263" i="8"/>
  <c r="F875" i="8"/>
  <c r="H875" i="8"/>
  <c r="F962" i="8"/>
  <c r="H962" i="8"/>
  <c r="F144" i="8"/>
  <c r="H144" i="8"/>
  <c r="F919" i="8"/>
  <c r="H919" i="8"/>
  <c r="F1178" i="8"/>
  <c r="H1178" i="8"/>
  <c r="H313" i="8"/>
  <c r="F313" i="8"/>
  <c r="F571" i="8"/>
  <c r="H571" i="8"/>
  <c r="H183" i="8"/>
  <c r="F183" i="8"/>
  <c r="F899" i="8"/>
  <c r="H899" i="8"/>
  <c r="F855" i="8"/>
  <c r="H855" i="8"/>
  <c r="H983" i="8"/>
  <c r="F983" i="8"/>
  <c r="F857" i="8"/>
  <c r="H857" i="8"/>
  <c r="F956" i="8"/>
  <c r="H956" i="8"/>
  <c r="H34" i="8"/>
  <c r="F34" i="8"/>
  <c r="F1144" i="8"/>
  <c r="H1144" i="8"/>
  <c r="H874" i="8"/>
  <c r="F874" i="8"/>
  <c r="H1117" i="8"/>
  <c r="F1117" i="8"/>
  <c r="H157" i="8"/>
  <c r="F157" i="8"/>
  <c r="F1142" i="8"/>
  <c r="H1142" i="8"/>
  <c r="H84" i="8"/>
  <c r="F84" i="8"/>
  <c r="H578" i="8"/>
  <c r="F578" i="8"/>
  <c r="F158" i="8"/>
  <c r="H158" i="8"/>
  <c r="F881" i="8"/>
  <c r="H881" i="8"/>
  <c r="F1156" i="8"/>
  <c r="H1156" i="8"/>
  <c r="F143" i="8"/>
  <c r="H143" i="8"/>
  <c r="H892" i="8"/>
  <c r="F892" i="8"/>
  <c r="H1115" i="8"/>
  <c r="F1115" i="8"/>
  <c r="H100" i="8"/>
  <c r="F100" i="8"/>
  <c r="H1133" i="8"/>
  <c r="F1133" i="8"/>
  <c r="F1116" i="8"/>
  <c r="H1116" i="8"/>
  <c r="H379" i="8"/>
  <c r="F379" i="8"/>
  <c r="H311" i="8"/>
  <c r="F311" i="8"/>
  <c r="F308" i="8"/>
  <c r="H308" i="8"/>
  <c r="F1118" i="8"/>
  <c r="H1118" i="8"/>
  <c r="F45" i="8"/>
  <c r="H45" i="8"/>
  <c r="H222" i="8"/>
  <c r="F222" i="8"/>
  <c r="F897" i="8"/>
  <c r="H897" i="8"/>
  <c r="H62" i="8"/>
  <c r="F62" i="8"/>
  <c r="H991" i="8"/>
  <c r="F991" i="8"/>
  <c r="H896" i="8"/>
  <c r="F896" i="8"/>
  <c r="H872" i="8"/>
  <c r="F872" i="8"/>
  <c r="H905" i="8"/>
  <c r="F905" i="8"/>
  <c r="H866" i="8"/>
  <c r="F866" i="8"/>
  <c r="H586" i="8"/>
  <c r="F586" i="8"/>
  <c r="H965" i="8"/>
  <c r="F965" i="8"/>
  <c r="F577" i="8"/>
  <c r="H577" i="8"/>
  <c r="F1164" i="8"/>
  <c r="H1164" i="8"/>
  <c r="H576" i="8"/>
  <c r="F576" i="8"/>
  <c r="F1148" i="8"/>
  <c r="H1148" i="8"/>
  <c r="F342" i="8"/>
  <c r="H342" i="8"/>
  <c r="H878" i="8"/>
  <c r="F878" i="8"/>
  <c r="F198" i="8"/>
  <c r="H198" i="8"/>
  <c r="F1122" i="8"/>
  <c r="H1122" i="8"/>
  <c r="F277" i="8"/>
  <c r="H277" i="8"/>
  <c r="F85" i="8"/>
  <c r="H85" i="8"/>
  <c r="H38" i="8"/>
  <c r="F38" i="8"/>
  <c r="F893" i="8"/>
  <c r="H893" i="8"/>
  <c r="H898" i="8"/>
  <c r="F898" i="8"/>
  <c r="H858" i="8"/>
  <c r="F858" i="8"/>
  <c r="F861" i="8"/>
  <c r="H861" i="8"/>
  <c r="F924" i="8"/>
  <c r="H924" i="8"/>
  <c r="H18" i="8"/>
  <c r="F18" i="8"/>
  <c r="H963" i="8"/>
  <c r="F963" i="8"/>
  <c r="F1237" i="8"/>
  <c r="H1237" i="8"/>
  <c r="H1073" i="8"/>
  <c r="F1073" i="8"/>
  <c r="H584" i="8"/>
  <c r="F584" i="8"/>
  <c r="H321" i="8"/>
  <c r="F321" i="8"/>
  <c r="F166" i="8"/>
  <c r="H166" i="8"/>
  <c r="F1110" i="8"/>
  <c r="H1110" i="8"/>
  <c r="H582" i="8"/>
  <c r="F582" i="8"/>
  <c r="H580" i="8"/>
  <c r="F580" i="8"/>
  <c r="H856" i="8"/>
  <c r="F856" i="8"/>
  <c r="H876" i="8"/>
  <c r="F876" i="8"/>
  <c r="F869" i="8"/>
  <c r="H869" i="8"/>
  <c r="H884" i="8"/>
  <c r="F884" i="8"/>
  <c r="F891" i="8"/>
  <c r="H891" i="8"/>
  <c r="F1172" i="8"/>
  <c r="H1172" i="8"/>
  <c r="F585" i="8"/>
  <c r="H585" i="8"/>
  <c r="H977" i="8"/>
  <c r="F977" i="8"/>
  <c r="F200" i="8"/>
  <c r="H200" i="8"/>
  <c r="F271" i="8"/>
  <c r="H271" i="8"/>
  <c r="H301" i="8"/>
  <c r="F301" i="8"/>
  <c r="H365" i="8"/>
  <c r="F365" i="8"/>
  <c r="H40" i="8"/>
  <c r="F40" i="8"/>
  <c r="F885" i="8"/>
  <c r="H885" i="8"/>
  <c r="F982" i="8"/>
  <c r="H982" i="8"/>
  <c r="F883" i="8"/>
  <c r="H883" i="8"/>
  <c r="F1136" i="8"/>
  <c r="H1136" i="8"/>
  <c r="H303" i="8"/>
  <c r="F303" i="8"/>
  <c r="H276" i="8"/>
  <c r="F276" i="8"/>
  <c r="F1154" i="8"/>
  <c r="H1154" i="8"/>
  <c r="F273" i="8"/>
  <c r="H273" i="8"/>
  <c r="F579" i="8"/>
  <c r="H579" i="8"/>
  <c r="H1310" i="5"/>
  <c r="E227" i="8" s="1"/>
  <c r="H631" i="5"/>
  <c r="E120" i="8" s="1"/>
  <c r="G287" i="6"/>
  <c r="G88" i="6"/>
  <c r="G227" i="6"/>
  <c r="G71" i="6"/>
  <c r="G50" i="6"/>
  <c r="G269" i="6"/>
  <c r="G170" i="6"/>
  <c r="G255" i="6"/>
  <c r="G312" i="6"/>
  <c r="G326" i="6"/>
  <c r="G241" i="6"/>
  <c r="G8" i="6"/>
  <c r="G156" i="6"/>
  <c r="G98" i="6"/>
  <c r="G340" i="6"/>
  <c r="F2124" i="8" l="1"/>
  <c r="F2103" i="8"/>
  <c r="G5966" i="5"/>
  <c r="G5969" i="5"/>
  <c r="G5103" i="5"/>
  <c r="F465" i="6"/>
  <c r="F374" i="6"/>
  <c r="G374" i="6" s="1"/>
  <c r="F1599" i="8"/>
  <c r="H1599" i="8"/>
  <c r="I1599" i="8" s="1"/>
  <c r="H1603" i="8"/>
  <c r="I1603" i="8" s="1"/>
  <c r="F1603" i="8"/>
  <c r="F1602" i="8"/>
  <c r="H1602" i="8"/>
  <c r="I1602" i="8" s="1"/>
  <c r="F1598" i="8"/>
  <c r="H1598" i="8"/>
  <c r="I1598" i="8" s="1"/>
  <c r="F1601" i="8"/>
  <c r="H1601" i="8"/>
  <c r="I1601" i="8" s="1"/>
  <c r="H1600" i="8"/>
  <c r="I1600" i="8" s="1"/>
  <c r="F1600" i="8"/>
  <c r="F1597" i="8"/>
  <c r="H1597" i="8"/>
  <c r="I1597" i="8" s="1"/>
  <c r="H1596" i="8"/>
  <c r="I1596" i="8" s="1"/>
  <c r="F1596" i="8"/>
  <c r="F1595" i="8"/>
  <c r="H1595" i="8"/>
  <c r="I1595" i="8" s="1"/>
  <c r="F1594" i="8"/>
  <c r="H1594" i="8"/>
  <c r="I1594" i="8" s="1"/>
  <c r="F1593" i="8"/>
  <c r="H1593" i="8"/>
  <c r="I1593" i="8" s="1"/>
  <c r="H2119" i="8"/>
  <c r="I2119" i="8" s="1"/>
  <c r="F2119" i="8"/>
  <c r="H2123" i="8"/>
  <c r="I2123" i="8" s="1"/>
  <c r="F2123" i="8"/>
  <c r="H2133" i="8"/>
  <c r="I2133" i="8" s="1"/>
  <c r="F2133" i="8"/>
  <c r="F2126" i="8"/>
  <c r="H2126" i="8"/>
  <c r="I2126" i="8" s="1"/>
  <c r="H2125" i="8"/>
  <c r="I2125" i="8" s="1"/>
  <c r="F2125" i="8"/>
  <c r="F2127" i="8"/>
  <c r="H2127" i="8"/>
  <c r="I2127" i="8" s="1"/>
  <c r="H2120" i="8"/>
  <c r="I2120" i="8" s="1"/>
  <c r="F2120" i="8"/>
  <c r="H2097" i="8"/>
  <c r="I2097" i="8" s="1"/>
  <c r="F2097" i="8"/>
  <c r="F2128" i="8"/>
  <c r="H2128" i="8"/>
  <c r="I2128" i="8" s="1"/>
  <c r="F133" i="8"/>
  <c r="F192" i="8"/>
  <c r="H217" i="8"/>
  <c r="I217" i="8" s="1"/>
  <c r="H1093" i="8"/>
  <c r="I1093" i="8" s="1"/>
  <c r="F16" i="8"/>
  <c r="H213" i="8"/>
  <c r="I213" i="8" s="1"/>
  <c r="F935" i="8"/>
  <c r="I200" i="8"/>
  <c r="I891" i="8"/>
  <c r="I40" i="8"/>
  <c r="I876" i="8"/>
  <c r="I85" i="8"/>
  <c r="I1164" i="8"/>
  <c r="I379" i="8"/>
  <c r="I1115" i="8"/>
  <c r="I1144" i="8"/>
  <c r="I962" i="8"/>
  <c r="I906" i="8"/>
  <c r="I910" i="8"/>
  <c r="I989" i="8"/>
  <c r="I914" i="8"/>
  <c r="I370" i="8"/>
  <c r="I583" i="8"/>
  <c r="I330" i="8"/>
  <c r="I580" i="8"/>
  <c r="I321" i="8"/>
  <c r="I963" i="8"/>
  <c r="I858" i="8"/>
  <c r="I878" i="8"/>
  <c r="I866" i="8"/>
  <c r="I991" i="8"/>
  <c r="I1118" i="8"/>
  <c r="I1116" i="8"/>
  <c r="I158" i="8"/>
  <c r="I983" i="8"/>
  <c r="I313" i="8"/>
  <c r="I8" i="8"/>
  <c r="I870" i="8"/>
  <c r="I50" i="8"/>
  <c r="I880" i="8"/>
  <c r="I177" i="8"/>
  <c r="I886" i="8"/>
  <c r="I133" i="8"/>
  <c r="I975" i="8"/>
  <c r="I856" i="8"/>
  <c r="I277" i="8"/>
  <c r="I342" i="8"/>
  <c r="I577" i="8"/>
  <c r="I62" i="8"/>
  <c r="I892" i="8"/>
  <c r="I855" i="8"/>
  <c r="I1178" i="8"/>
  <c r="I875" i="8"/>
  <c r="I75" i="8"/>
  <c r="I895" i="8"/>
  <c r="I859" i="8"/>
  <c r="I184" i="8"/>
  <c r="I302" i="8"/>
  <c r="I367" i="8"/>
  <c r="I993" i="8"/>
  <c r="I871" i="8"/>
  <c r="I151" i="8"/>
  <c r="I276" i="8"/>
  <c r="I582" i="8"/>
  <c r="I584" i="8"/>
  <c r="I18" i="8"/>
  <c r="I898" i="8"/>
  <c r="I905" i="8"/>
  <c r="I192" i="8"/>
  <c r="I897" i="8"/>
  <c r="I308" i="8"/>
  <c r="I143" i="8"/>
  <c r="I157" i="8"/>
  <c r="I34" i="8"/>
  <c r="I937" i="8"/>
  <c r="I1139" i="8"/>
  <c r="I355" i="8"/>
  <c r="I985" i="8"/>
  <c r="I159" i="8"/>
  <c r="I1184" i="8"/>
  <c r="I935" i="8"/>
  <c r="I16" i="8"/>
  <c r="I303" i="8"/>
  <c r="I365" i="8"/>
  <c r="I977" i="8"/>
  <c r="I884" i="8"/>
  <c r="I1110" i="8"/>
  <c r="I924" i="8"/>
  <c r="I893" i="8"/>
  <c r="I1122" i="8"/>
  <c r="I1148" i="8"/>
  <c r="I1133" i="8"/>
  <c r="I578" i="8"/>
  <c r="I956" i="8"/>
  <c r="I899" i="8"/>
  <c r="I919" i="8"/>
  <c r="I263" i="8"/>
  <c r="I360" i="8"/>
  <c r="I304" i="8"/>
  <c r="I901" i="8"/>
  <c r="I1141" i="8"/>
  <c r="I945" i="8"/>
  <c r="I191" i="8"/>
  <c r="I149" i="8"/>
  <c r="I98" i="8"/>
  <c r="I1119" i="8"/>
  <c r="I569" i="8"/>
  <c r="I579" i="8"/>
  <c r="I585" i="8"/>
  <c r="I869" i="8"/>
  <c r="I1073" i="8"/>
  <c r="I965" i="8"/>
  <c r="I872" i="8"/>
  <c r="I1156" i="8"/>
  <c r="I1117" i="8"/>
  <c r="I183" i="8"/>
  <c r="I1017" i="8"/>
  <c r="I272" i="8"/>
  <c r="I1131" i="8"/>
  <c r="I195" i="8"/>
  <c r="I118" i="8"/>
  <c r="I104" i="8"/>
  <c r="I850" i="8"/>
  <c r="I108" i="8"/>
  <c r="I982" i="8"/>
  <c r="I273" i="8"/>
  <c r="I1136" i="8"/>
  <c r="I885" i="8"/>
  <c r="I166" i="8"/>
  <c r="I1237" i="8"/>
  <c r="I861" i="8"/>
  <c r="I198" i="8"/>
  <c r="I222" i="8"/>
  <c r="I311" i="8"/>
  <c r="I100" i="8"/>
  <c r="I84" i="8"/>
  <c r="I857" i="8"/>
  <c r="I571" i="8"/>
  <c r="I144" i="8"/>
  <c r="I221" i="8"/>
  <c r="I29" i="8"/>
  <c r="I226" i="8"/>
  <c r="I941" i="8"/>
  <c r="I1129" i="8"/>
  <c r="I1137" i="8"/>
  <c r="I380" i="8"/>
  <c r="I301" i="8"/>
  <c r="I1154" i="8"/>
  <c r="I883" i="8"/>
  <c r="I271" i="8"/>
  <c r="I1172" i="8"/>
  <c r="I38" i="8"/>
  <c r="I576" i="8"/>
  <c r="I586" i="8"/>
  <c r="I896" i="8"/>
  <c r="I45" i="8"/>
  <c r="I881" i="8"/>
  <c r="I1142" i="8"/>
  <c r="I874" i="8"/>
  <c r="I161" i="8"/>
  <c r="I1143" i="8"/>
  <c r="I78" i="8"/>
  <c r="I323" i="8"/>
  <c r="I206" i="8"/>
  <c r="I353" i="8"/>
  <c r="I1077" i="8"/>
  <c r="I354" i="8"/>
  <c r="I1146" i="8"/>
  <c r="I1095" i="8"/>
  <c r="I212" i="8"/>
  <c r="I953" i="8"/>
  <c r="I1165" i="8"/>
  <c r="I581" i="8"/>
  <c r="H351" i="8"/>
  <c r="F151" i="8"/>
  <c r="F330" i="8"/>
  <c r="F98" i="8"/>
  <c r="H939" i="8"/>
  <c r="F149" i="8"/>
  <c r="H1081" i="8"/>
  <c r="F1165" i="8"/>
  <c r="F1137" i="8"/>
  <c r="H1083" i="8"/>
  <c r="F226" i="8"/>
  <c r="H1155" i="8"/>
  <c r="H1125" i="8"/>
  <c r="F1129" i="8"/>
  <c r="F941" i="8"/>
  <c r="F108" i="8"/>
  <c r="H339" i="8"/>
  <c r="F850" i="8"/>
  <c r="H1182" i="8"/>
  <c r="F159" i="8"/>
  <c r="H934" i="8"/>
  <c r="H88" i="8"/>
  <c r="H337" i="8"/>
  <c r="H341" i="8"/>
  <c r="H918" i="8"/>
  <c r="F191" i="8"/>
  <c r="F1119" i="8"/>
  <c r="F901" i="8"/>
  <c r="H196" i="8"/>
  <c r="F886" i="8"/>
  <c r="F177" i="8"/>
  <c r="H917" i="8"/>
  <c r="H1166" i="8"/>
  <c r="H1181" i="8"/>
  <c r="F1077" i="8"/>
  <c r="F953" i="8"/>
  <c r="F1146" i="8"/>
  <c r="F354" i="8"/>
  <c r="F355" i="8"/>
  <c r="F985" i="8"/>
  <c r="H1094" i="8"/>
  <c r="H99" i="8"/>
  <c r="F1139" i="8"/>
  <c r="H203" i="8"/>
  <c r="F324" i="8"/>
  <c r="H286" i="8"/>
  <c r="F114" i="8"/>
  <c r="H1113" i="8"/>
  <c r="F195" i="8"/>
  <c r="F993" i="8"/>
  <c r="F367" i="8"/>
  <c r="H211" i="8"/>
  <c r="H223" i="8"/>
  <c r="H1138" i="8"/>
  <c r="H940" i="8"/>
  <c r="H1112" i="8"/>
  <c r="H1176" i="8"/>
  <c r="F914" i="8"/>
  <c r="F370" i="8"/>
  <c r="H1097" i="8"/>
  <c r="F989" i="8"/>
  <c r="H1177" i="8"/>
  <c r="H172" i="8"/>
  <c r="H1169" i="8"/>
  <c r="F937" i="8"/>
  <c r="F338" i="8"/>
  <c r="F212" i="8"/>
  <c r="F1095" i="8"/>
  <c r="H1145" i="8"/>
  <c r="H190" i="8"/>
  <c r="H102" i="8"/>
  <c r="H1120" i="8"/>
  <c r="H284" i="8"/>
  <c r="F118" i="8"/>
  <c r="H849" i="8"/>
  <c r="H933" i="8"/>
  <c r="F104" i="8"/>
  <c r="H936" i="8"/>
  <c r="H916" i="8"/>
  <c r="F353" i="8"/>
  <c r="F1141" i="8"/>
  <c r="F945" i="8"/>
  <c r="F206" i="8"/>
  <c r="H920" i="8"/>
  <c r="H343" i="8"/>
  <c r="H1170" i="8"/>
  <c r="H384" i="8"/>
  <c r="H335" i="8"/>
  <c r="H356" i="8"/>
  <c r="H1130" i="8"/>
  <c r="H1163" i="8"/>
  <c r="H205" i="8"/>
  <c r="H915" i="8"/>
  <c r="F180" i="8"/>
  <c r="H189" i="8"/>
  <c r="H336" i="8"/>
  <c r="F6" i="8"/>
  <c r="F958" i="8"/>
  <c r="H958" i="8"/>
  <c r="F81" i="8"/>
  <c r="H81" i="8"/>
  <c r="H134" i="8"/>
  <c r="F134" i="8"/>
  <c r="H163" i="8"/>
  <c r="F163" i="8"/>
  <c r="H283" i="8"/>
  <c r="F283" i="8"/>
  <c r="F372" i="8"/>
  <c r="H372" i="8"/>
  <c r="H949" i="8"/>
  <c r="F949" i="8"/>
  <c r="F904" i="8"/>
  <c r="H904" i="8"/>
  <c r="F1106" i="8"/>
  <c r="H1106" i="8"/>
  <c r="H862" i="8"/>
  <c r="F862" i="8"/>
  <c r="F146" i="8"/>
  <c r="H146" i="8"/>
  <c r="H220" i="8"/>
  <c r="F220" i="8"/>
  <c r="F344" i="8"/>
  <c r="H344" i="8"/>
  <c r="F160" i="8"/>
  <c r="H160" i="8"/>
  <c r="H413" i="8"/>
  <c r="F413" i="8"/>
  <c r="F879" i="8"/>
  <c r="H879" i="8"/>
  <c r="F1102" i="8"/>
  <c r="H1102" i="8"/>
  <c r="F1064" i="8"/>
  <c r="H1064" i="8"/>
  <c r="F366" i="8"/>
  <c r="H366" i="8"/>
  <c r="H472" i="8"/>
  <c r="F472" i="8"/>
  <c r="F241" i="8"/>
  <c r="H241" i="8"/>
  <c r="H995" i="8"/>
  <c r="F995" i="8"/>
  <c r="F131" i="8"/>
  <c r="H131" i="8"/>
  <c r="F207" i="8"/>
  <c r="H207" i="8"/>
  <c r="H136" i="8"/>
  <c r="F136" i="8"/>
  <c r="F1174" i="8"/>
  <c r="H1174" i="8"/>
  <c r="F350" i="8"/>
  <c r="H350" i="8"/>
  <c r="F1006" i="8"/>
  <c r="H1006" i="8"/>
  <c r="H132" i="8"/>
  <c r="F132" i="8"/>
  <c r="F1126" i="8"/>
  <c r="H1126" i="8"/>
  <c r="F135" i="8"/>
  <c r="H135" i="8"/>
  <c r="F267" i="8"/>
  <c r="H267" i="8"/>
  <c r="H175" i="8"/>
  <c r="F175" i="8"/>
  <c r="F1128" i="8"/>
  <c r="H1128" i="8"/>
  <c r="F320" i="8"/>
  <c r="H320" i="8"/>
  <c r="H882" i="8"/>
  <c r="F882" i="8"/>
  <c r="H305" i="8"/>
  <c r="F305" i="8"/>
  <c r="F176" i="8"/>
  <c r="H176" i="8"/>
  <c r="F889" i="8"/>
  <c r="H889" i="8"/>
  <c r="F352" i="8"/>
  <c r="H352" i="8"/>
  <c r="F109" i="8"/>
  <c r="H109" i="8"/>
  <c r="F368" i="8"/>
  <c r="H368" i="8"/>
  <c r="H319" i="8"/>
  <c r="F319" i="8"/>
  <c r="H329" i="8"/>
  <c r="F329" i="8"/>
  <c r="H1071" i="8"/>
  <c r="F1071" i="8"/>
  <c r="F1036" i="8"/>
  <c r="H1036" i="8"/>
  <c r="H864" i="8"/>
  <c r="F864" i="8"/>
  <c r="H1065" i="8"/>
  <c r="F1065" i="8"/>
  <c r="H268" i="8"/>
  <c r="F268" i="8"/>
  <c r="H80" i="8"/>
  <c r="F80" i="8"/>
  <c r="H258" i="8"/>
  <c r="F258" i="8"/>
  <c r="H309" i="8"/>
  <c r="F309" i="8"/>
  <c r="F1175" i="8"/>
  <c r="H1175" i="8"/>
  <c r="F909" i="8"/>
  <c r="H909" i="8"/>
  <c r="H264" i="8"/>
  <c r="F264" i="8"/>
  <c r="H147" i="8"/>
  <c r="F147" i="8"/>
  <c r="H307" i="8"/>
  <c r="F307" i="8"/>
  <c r="H214" i="8"/>
  <c r="F214" i="8"/>
  <c r="H907" i="8"/>
  <c r="F907" i="8"/>
  <c r="F215" i="8"/>
  <c r="H215" i="8"/>
  <c r="H1099" i="8"/>
  <c r="F1099" i="8"/>
  <c r="F911" i="8"/>
  <c r="H911" i="8"/>
  <c r="F269" i="8"/>
  <c r="H269" i="8"/>
  <c r="H204" i="8"/>
  <c r="F204" i="8"/>
  <c r="F931" i="8"/>
  <c r="H931" i="8"/>
  <c r="F1124" i="8"/>
  <c r="H1124" i="8"/>
  <c r="H185" i="8"/>
  <c r="F185" i="8"/>
  <c r="H349" i="8"/>
  <c r="F349" i="8"/>
  <c r="F851" i="8"/>
  <c r="H851" i="8"/>
  <c r="H218" i="8"/>
  <c r="F218" i="8"/>
  <c r="H54" i="8"/>
  <c r="F54" i="8"/>
  <c r="H179" i="8"/>
  <c r="F179" i="8"/>
  <c r="F1132" i="8"/>
  <c r="H1132" i="8"/>
  <c r="H373" i="8"/>
  <c r="F373" i="8"/>
  <c r="F105" i="8"/>
  <c r="H105" i="8"/>
  <c r="H155" i="8"/>
  <c r="F155" i="8"/>
  <c r="F948" i="8"/>
  <c r="H948" i="8"/>
  <c r="H197" i="8"/>
  <c r="F197" i="8"/>
  <c r="F117" i="8"/>
  <c r="H117" i="8"/>
  <c r="F1098" i="8"/>
  <c r="H1098" i="8"/>
  <c r="F265" i="8"/>
  <c r="H265" i="8"/>
  <c r="F127" i="8"/>
  <c r="H127" i="8"/>
  <c r="F865" i="8"/>
  <c r="H865" i="8"/>
  <c r="F348" i="8"/>
  <c r="H348" i="8"/>
  <c r="F378" i="8"/>
  <c r="H378" i="8"/>
  <c r="H955" i="8"/>
  <c r="F955" i="8"/>
  <c r="H1103" i="8"/>
  <c r="F1103" i="8"/>
  <c r="F314" i="8"/>
  <c r="H314" i="8"/>
  <c r="H1147" i="8"/>
  <c r="F1147" i="8"/>
  <c r="F1066" i="8"/>
  <c r="H1066" i="8"/>
  <c r="F1140" i="8"/>
  <c r="H1140" i="8"/>
  <c r="F1034" i="8"/>
  <c r="H1034" i="8"/>
  <c r="F150" i="8"/>
  <c r="H150" i="8"/>
  <c r="H383" i="8"/>
  <c r="F383" i="8"/>
  <c r="H199" i="8"/>
  <c r="F199" i="8"/>
  <c r="F1088" i="8"/>
  <c r="H1088" i="8"/>
  <c r="F162" i="8"/>
  <c r="H162" i="8"/>
  <c r="H202" i="8"/>
  <c r="F202" i="8"/>
  <c r="F927" i="8"/>
  <c r="H927" i="8"/>
  <c r="H888" i="8"/>
  <c r="F888" i="8"/>
  <c r="F194" i="8"/>
  <c r="H194" i="8"/>
  <c r="H979" i="8"/>
  <c r="F979" i="8"/>
  <c r="F90" i="8"/>
  <c r="H90" i="8"/>
  <c r="H173" i="8"/>
  <c r="F173" i="8"/>
  <c r="F93" i="8"/>
  <c r="H93" i="8"/>
  <c r="H193" i="8"/>
  <c r="F193" i="8"/>
  <c r="H56" i="8"/>
  <c r="F56" i="8"/>
  <c r="F928" i="8"/>
  <c r="H928" i="8"/>
  <c r="F174" i="8"/>
  <c r="H174" i="8"/>
  <c r="H938" i="8"/>
  <c r="F938" i="8"/>
  <c r="H1087" i="8"/>
  <c r="F1087" i="8"/>
  <c r="H145" i="8"/>
  <c r="F145" i="8"/>
  <c r="F257" i="8"/>
  <c r="H257" i="8"/>
  <c r="H210" i="8"/>
  <c r="F210" i="8"/>
  <c r="H331" i="8"/>
  <c r="F331" i="8"/>
  <c r="H116" i="8"/>
  <c r="F116" i="8"/>
  <c r="F121" i="8"/>
  <c r="H121" i="8"/>
  <c r="H854" i="8"/>
  <c r="F854" i="8"/>
  <c r="H260" i="8"/>
  <c r="F260" i="8"/>
  <c r="H369" i="8"/>
  <c r="F369" i="8"/>
  <c r="H971" i="8"/>
  <c r="F971" i="8"/>
  <c r="H345" i="8"/>
  <c r="F345" i="8"/>
  <c r="F19" i="8"/>
  <c r="H19" i="8"/>
  <c r="F328" i="8"/>
  <c r="H328" i="8"/>
  <c r="H256" i="8"/>
  <c r="F256" i="8"/>
  <c r="F53" i="8"/>
  <c r="H53" i="8"/>
  <c r="F929" i="8"/>
  <c r="H929" i="8"/>
  <c r="H238" i="8"/>
  <c r="F238" i="8"/>
  <c r="F259" i="8"/>
  <c r="H259" i="8"/>
  <c r="F219" i="8"/>
  <c r="H219" i="8"/>
  <c r="H1035" i="8"/>
  <c r="F1035" i="8"/>
  <c r="F182" i="8"/>
  <c r="H182" i="8"/>
  <c r="H1111" i="8"/>
  <c r="F1111" i="8"/>
  <c r="F1179" i="8"/>
  <c r="H1179" i="8"/>
  <c r="F1180" i="8"/>
  <c r="H1180" i="8"/>
  <c r="F593" i="8"/>
  <c r="H593" i="8"/>
  <c r="H1019" i="8"/>
  <c r="F1019" i="8"/>
  <c r="H181" i="8"/>
  <c r="F181" i="8"/>
  <c r="F376" i="8"/>
  <c r="H376" i="8"/>
  <c r="F178" i="8"/>
  <c r="H178" i="8"/>
  <c r="H208" i="8"/>
  <c r="F208" i="8"/>
  <c r="H868" i="8"/>
  <c r="F868" i="8"/>
  <c r="F261" i="8"/>
  <c r="H261" i="8"/>
  <c r="H92" i="8"/>
  <c r="F92" i="8"/>
  <c r="F103" i="8"/>
  <c r="H103" i="8"/>
  <c r="H6" i="8"/>
  <c r="G5101" i="5" l="1"/>
  <c r="G6018" i="5"/>
  <c r="G6043" i="5"/>
  <c r="G5977" i="5"/>
  <c r="G5980" i="5"/>
  <c r="G5124" i="5"/>
  <c r="F464" i="6"/>
  <c r="G452" i="6" s="1"/>
  <c r="G4345" i="5"/>
  <c r="H1592" i="8"/>
  <c r="I1592" i="8" s="1"/>
  <c r="F1592" i="8"/>
  <c r="F2093" i="8"/>
  <c r="H2093" i="8"/>
  <c r="I2093" i="8" s="1"/>
  <c r="H1590" i="8"/>
  <c r="I1590" i="8" s="1"/>
  <c r="F1590" i="8"/>
  <c r="H2101" i="8"/>
  <c r="I2101" i="8" s="1"/>
  <c r="F2101" i="8"/>
  <c r="F2089" i="8"/>
  <c r="H2089" i="8"/>
  <c r="I2089" i="8" s="1"/>
  <c r="I868" i="8"/>
  <c r="I181" i="8"/>
  <c r="I345" i="8"/>
  <c r="I854" i="8"/>
  <c r="I210" i="8"/>
  <c r="I938" i="8"/>
  <c r="I56" i="8"/>
  <c r="I199" i="8"/>
  <c r="I1103" i="8"/>
  <c r="I1132" i="8"/>
  <c r="I851" i="8"/>
  <c r="I931" i="8"/>
  <c r="I1175" i="8"/>
  <c r="I109" i="8"/>
  <c r="I175" i="8"/>
  <c r="I132" i="8"/>
  <c r="I136" i="8"/>
  <c r="I283" i="8"/>
  <c r="I336" i="8"/>
  <c r="I205" i="8"/>
  <c r="I920" i="8"/>
  <c r="I933" i="8"/>
  <c r="I223" i="8"/>
  <c r="I196" i="8"/>
  <c r="I934" i="8"/>
  <c r="I1125" i="8"/>
  <c r="I939" i="8"/>
  <c r="I259" i="8"/>
  <c r="I121" i="8"/>
  <c r="I257" i="8"/>
  <c r="I174" i="8"/>
  <c r="I1066" i="8"/>
  <c r="I127" i="8"/>
  <c r="I1099" i="8"/>
  <c r="I307" i="8"/>
  <c r="I268" i="8"/>
  <c r="I1071" i="8"/>
  <c r="I305" i="8"/>
  <c r="I267" i="8"/>
  <c r="I1006" i="8"/>
  <c r="I207" i="8"/>
  <c r="I879" i="8"/>
  <c r="I904" i="8"/>
  <c r="I1163" i="8"/>
  <c r="I849" i="8"/>
  <c r="I1097" i="8"/>
  <c r="I211" i="8"/>
  <c r="I203" i="8"/>
  <c r="I1155" i="8"/>
  <c r="I256" i="8"/>
  <c r="I971" i="8"/>
  <c r="I955" i="8"/>
  <c r="I215" i="8"/>
  <c r="I352" i="8"/>
  <c r="I472" i="8"/>
  <c r="I220" i="8"/>
  <c r="I163" i="8"/>
  <c r="I1130" i="8"/>
  <c r="I1182" i="8"/>
  <c r="I103" i="8"/>
  <c r="I208" i="8"/>
  <c r="I1019" i="8"/>
  <c r="I1111" i="8"/>
  <c r="I193" i="8"/>
  <c r="I979" i="8"/>
  <c r="I202" i="8"/>
  <c r="I383" i="8"/>
  <c r="I197" i="8"/>
  <c r="I373" i="8"/>
  <c r="I178" i="8"/>
  <c r="I593" i="8"/>
  <c r="I182" i="8"/>
  <c r="I328" i="8"/>
  <c r="I928" i="8"/>
  <c r="I93" i="8"/>
  <c r="I194" i="8"/>
  <c r="I162" i="8"/>
  <c r="I150" i="8"/>
  <c r="I378" i="8"/>
  <c r="I265" i="8"/>
  <c r="I948" i="8"/>
  <c r="I179" i="8"/>
  <c r="I349" i="8"/>
  <c r="I204" i="8"/>
  <c r="I147" i="8"/>
  <c r="I309" i="8"/>
  <c r="I1065" i="8"/>
  <c r="I329" i="8"/>
  <c r="I882" i="8"/>
  <c r="I320" i="8"/>
  <c r="I135" i="8"/>
  <c r="I350" i="8"/>
  <c r="I131" i="8"/>
  <c r="I366" i="8"/>
  <c r="I146" i="8"/>
  <c r="I356" i="8"/>
  <c r="I284" i="8"/>
  <c r="I99" i="8"/>
  <c r="I1181" i="8"/>
  <c r="I1083" i="8"/>
  <c r="I238" i="8"/>
  <c r="I889" i="8"/>
  <c r="I413" i="8"/>
  <c r="I949" i="8"/>
  <c r="I134" i="8"/>
  <c r="I335" i="8"/>
  <c r="I1120" i="8"/>
  <c r="I1176" i="8"/>
  <c r="I1094" i="8"/>
  <c r="I1166" i="8"/>
  <c r="I918" i="8"/>
  <c r="I339" i="8"/>
  <c r="I92" i="8"/>
  <c r="I369" i="8"/>
  <c r="I116" i="8"/>
  <c r="I145" i="8"/>
  <c r="I1147" i="8"/>
  <c r="I269" i="8"/>
  <c r="I261" i="8"/>
  <c r="I376" i="8"/>
  <c r="I1180" i="8"/>
  <c r="I929" i="8"/>
  <c r="I19" i="8"/>
  <c r="I1088" i="8"/>
  <c r="I1034" i="8"/>
  <c r="I314" i="8"/>
  <c r="I348" i="8"/>
  <c r="I1098" i="8"/>
  <c r="I54" i="8"/>
  <c r="I185" i="8"/>
  <c r="I907" i="8"/>
  <c r="I264" i="8"/>
  <c r="I258" i="8"/>
  <c r="I864" i="8"/>
  <c r="I319" i="8"/>
  <c r="I1128" i="8"/>
  <c r="I1126" i="8"/>
  <c r="I1174" i="8"/>
  <c r="I1064" i="8"/>
  <c r="I160" i="8"/>
  <c r="I372" i="8"/>
  <c r="I81" i="8"/>
  <c r="I189" i="8"/>
  <c r="I384" i="8"/>
  <c r="I916" i="8"/>
  <c r="I102" i="8"/>
  <c r="I1169" i="8"/>
  <c r="I1112" i="8"/>
  <c r="I1113" i="8"/>
  <c r="I917" i="8"/>
  <c r="I341" i="8"/>
  <c r="I351" i="8"/>
  <c r="I1035" i="8"/>
  <c r="I260" i="8"/>
  <c r="I331" i="8"/>
  <c r="I1087" i="8"/>
  <c r="I173" i="8"/>
  <c r="I888" i="8"/>
  <c r="I155" i="8"/>
  <c r="I1124" i="8"/>
  <c r="I911" i="8"/>
  <c r="I909" i="8"/>
  <c r="I1036" i="8"/>
  <c r="I368" i="8"/>
  <c r="I176" i="8"/>
  <c r="I995" i="8"/>
  <c r="I862" i="8"/>
  <c r="I1170" i="8"/>
  <c r="I936" i="8"/>
  <c r="I190" i="8"/>
  <c r="I172" i="8"/>
  <c r="I940" i="8"/>
  <c r="I337" i="8"/>
  <c r="I1081" i="8"/>
  <c r="I1179" i="8"/>
  <c r="I219" i="8"/>
  <c r="I53" i="8"/>
  <c r="I90" i="8"/>
  <c r="I927" i="8"/>
  <c r="I1140" i="8"/>
  <c r="I865" i="8"/>
  <c r="I117" i="8"/>
  <c r="I105" i="8"/>
  <c r="I218" i="8"/>
  <c r="I214" i="8"/>
  <c r="I80" i="8"/>
  <c r="I241" i="8"/>
  <c r="I1102" i="8"/>
  <c r="I344" i="8"/>
  <c r="I1106" i="8"/>
  <c r="I958" i="8"/>
  <c r="I915" i="8"/>
  <c r="I343" i="8"/>
  <c r="I1145" i="8"/>
  <c r="I1177" i="8"/>
  <c r="I1138" i="8"/>
  <c r="I286" i="8"/>
  <c r="I88" i="8"/>
  <c r="I6" i="8"/>
  <c r="G1807" i="5"/>
  <c r="F339" i="8"/>
  <c r="F337" i="8"/>
  <c r="F341" i="8"/>
  <c r="H324" i="8"/>
  <c r="G4514" i="5"/>
  <c r="G3878" i="5"/>
  <c r="G4177" i="5"/>
  <c r="G4204" i="5"/>
  <c r="G3761" i="5"/>
  <c r="G4471" i="5"/>
  <c r="G4603" i="5"/>
  <c r="G3627" i="5"/>
  <c r="G360" i="5"/>
  <c r="G2578" i="5"/>
  <c r="G2594" i="5"/>
  <c r="G2586" i="5"/>
  <c r="G3174" i="5"/>
  <c r="G3640" i="5"/>
  <c r="G315" i="5"/>
  <c r="G300" i="5"/>
  <c r="H114" i="8"/>
  <c r="H180" i="8"/>
  <c r="H338" i="8"/>
  <c r="F1112" i="8"/>
  <c r="F343" i="8"/>
  <c r="F102" i="8"/>
  <c r="F189" i="8"/>
  <c r="F335" i="8"/>
  <c r="H129" i="8"/>
  <c r="F336" i="8"/>
  <c r="H236" i="8"/>
  <c r="F115" i="8"/>
  <c r="G5122" i="5"/>
  <c r="F380" i="6"/>
  <c r="G380" i="6" s="1"/>
  <c r="G3565" i="5"/>
  <c r="G397" i="5"/>
  <c r="G3460" i="5"/>
  <c r="G3652" i="5"/>
  <c r="G442" i="5"/>
  <c r="G3858" i="5"/>
  <c r="G3435" i="5"/>
  <c r="F932" i="8"/>
  <c r="H932" i="8"/>
  <c r="F233" i="8"/>
  <c r="H233" i="8"/>
  <c r="H969" i="8"/>
  <c r="F969" i="8"/>
  <c r="F188" i="8"/>
  <c r="H188" i="8"/>
  <c r="H1085" i="8"/>
  <c r="F1085" i="8"/>
  <c r="F9" i="8"/>
  <c r="H9" i="8"/>
  <c r="F288" i="8"/>
  <c r="H288" i="8"/>
  <c r="F209" i="8"/>
  <c r="H209" i="8"/>
  <c r="F863" i="8"/>
  <c r="H863" i="8"/>
  <c r="F237" i="8"/>
  <c r="H237" i="8"/>
  <c r="H1069" i="8"/>
  <c r="F1069" i="8"/>
  <c r="F318" i="8"/>
  <c r="H318" i="8"/>
  <c r="F101" i="8"/>
  <c r="H101" i="8"/>
  <c r="H240" i="8"/>
  <c r="F240" i="8"/>
  <c r="H285" i="8"/>
  <c r="F285" i="8"/>
  <c r="H270" i="8"/>
  <c r="F270" i="8"/>
  <c r="F980" i="8"/>
  <c r="H980" i="8"/>
  <c r="F300" i="8"/>
  <c r="H300" i="8"/>
  <c r="H216" i="8"/>
  <c r="F216" i="8"/>
  <c r="F289" i="8"/>
  <c r="H289" i="8"/>
  <c r="H274" i="8"/>
  <c r="F274" i="8"/>
  <c r="H224" i="8"/>
  <c r="F224" i="8"/>
  <c r="F239" i="8"/>
  <c r="H239" i="8"/>
  <c r="F1068" i="8"/>
  <c r="H1068" i="8"/>
  <c r="F312" i="8"/>
  <c r="H312" i="8"/>
  <c r="F877" i="8"/>
  <c r="H877" i="8"/>
  <c r="H106" i="8"/>
  <c r="F106" i="8"/>
  <c r="F225" i="8"/>
  <c r="H225" i="8"/>
  <c r="H363" i="8"/>
  <c r="F363" i="8"/>
  <c r="H333" i="8"/>
  <c r="F333" i="8"/>
  <c r="H860" i="8"/>
  <c r="F860" i="8"/>
  <c r="F340" i="8"/>
  <c r="H340" i="8"/>
  <c r="H266" i="8"/>
  <c r="F266" i="8"/>
  <c r="G4027" i="5"/>
  <c r="G3472" i="5"/>
  <c r="G3400" i="5"/>
  <c r="G3557" i="5"/>
  <c r="G3411" i="5"/>
  <c r="G547" i="5"/>
  <c r="G3495" i="5"/>
  <c r="G3802" i="5"/>
  <c r="G3325" i="5"/>
  <c r="G557" i="5"/>
  <c r="G3720" i="5"/>
  <c r="G3801" i="5"/>
  <c r="G3510" i="5"/>
  <c r="F65" i="6"/>
  <c r="G1357" i="5"/>
  <c r="G3626" i="5"/>
  <c r="G4417" i="5"/>
  <c r="G4348" i="5"/>
  <c r="G274" i="5"/>
  <c r="G376" i="5"/>
  <c r="G4396" i="5"/>
  <c r="G2244" i="5"/>
  <c r="G3853" i="5"/>
  <c r="G430" i="5"/>
  <c r="G427" i="5"/>
  <c r="G694" i="5"/>
  <c r="G3367" i="5"/>
  <c r="G3668" i="5"/>
  <c r="G1344" i="5"/>
  <c r="G4412" i="5"/>
  <c r="G4388" i="5"/>
  <c r="G4333" i="5"/>
  <c r="G3360" i="5"/>
  <c r="F1555" i="8" l="1"/>
  <c r="H6018" i="5"/>
  <c r="E2602" i="8" s="1"/>
  <c r="H1591" i="8"/>
  <c r="I1591" i="8" s="1"/>
  <c r="F1591" i="8"/>
  <c r="H2090" i="8"/>
  <c r="I2090" i="8" s="1"/>
  <c r="F2090" i="8"/>
  <c r="H2091" i="8"/>
  <c r="I2091" i="8" s="1"/>
  <c r="F2091" i="8"/>
  <c r="I860" i="8"/>
  <c r="I106" i="8"/>
  <c r="I224" i="8"/>
  <c r="I318" i="8"/>
  <c r="I209" i="8"/>
  <c r="I188" i="8"/>
  <c r="I236" i="8"/>
  <c r="I877" i="8"/>
  <c r="I932" i="8"/>
  <c r="I338" i="8"/>
  <c r="I101" i="8"/>
  <c r="I863" i="8"/>
  <c r="I969" i="8"/>
  <c r="I1085" i="8"/>
  <c r="I312" i="8"/>
  <c r="I274" i="8"/>
  <c r="I300" i="8"/>
  <c r="I288" i="8"/>
  <c r="I129" i="8"/>
  <c r="I180" i="8"/>
  <c r="I233" i="8"/>
  <c r="I333" i="8"/>
  <c r="I216" i="8"/>
  <c r="I266" i="8"/>
  <c r="I363" i="8"/>
  <c r="I340" i="8"/>
  <c r="I225" i="8"/>
  <c r="I1068" i="8"/>
  <c r="I289" i="8"/>
  <c r="I285" i="8"/>
  <c r="I1069" i="8"/>
  <c r="I114" i="8"/>
  <c r="I270" i="8"/>
  <c r="I980" i="8"/>
  <c r="I237" i="8"/>
  <c r="I9" i="8"/>
  <c r="I324" i="8"/>
  <c r="I239" i="8"/>
  <c r="I240" i="8"/>
  <c r="H1806" i="5"/>
  <c r="H292" i="5"/>
  <c r="E82" i="8" s="1"/>
  <c r="H2585" i="5"/>
  <c r="H4184" i="5"/>
  <c r="H307" i="5"/>
  <c r="E83" i="8" s="1"/>
  <c r="H2593" i="5"/>
  <c r="H4602" i="5"/>
  <c r="H4168" i="5"/>
  <c r="E1134" i="8" s="1"/>
  <c r="H3634" i="5"/>
  <c r="E997" i="8" s="1"/>
  <c r="H2577" i="5"/>
  <c r="H4459" i="5"/>
  <c r="H3872" i="5"/>
  <c r="H3168" i="5"/>
  <c r="H353" i="5"/>
  <c r="H3756" i="5"/>
  <c r="H4509" i="5"/>
  <c r="F129" i="8"/>
  <c r="F236" i="8"/>
  <c r="H4025" i="5"/>
  <c r="H374" i="8"/>
  <c r="H115" i="8"/>
  <c r="F325" i="8"/>
  <c r="H112" i="8"/>
  <c r="F119" i="8"/>
  <c r="H5121" i="5"/>
  <c r="F389" i="6"/>
  <c r="G386" i="6" s="1"/>
  <c r="H2238" i="5"/>
  <c r="H3425" i="5"/>
  <c r="H3561" i="5"/>
  <c r="H396" i="5"/>
  <c r="H3450" i="5"/>
  <c r="H3857" i="5"/>
  <c r="H3647" i="5"/>
  <c r="H442" i="5"/>
  <c r="E96" i="8" s="1"/>
  <c r="H3396" i="5"/>
  <c r="H361" i="8"/>
  <c r="F361" i="8"/>
  <c r="H128" i="8"/>
  <c r="F128" i="8"/>
  <c r="H385" i="8"/>
  <c r="F385" i="8"/>
  <c r="F322" i="8"/>
  <c r="H322" i="8"/>
  <c r="F334" i="8"/>
  <c r="H334" i="8"/>
  <c r="F113" i="8"/>
  <c r="H113" i="8"/>
  <c r="F306" i="8"/>
  <c r="H306" i="8"/>
  <c r="F287" i="8"/>
  <c r="H287" i="8"/>
  <c r="F107" i="8"/>
  <c r="H107" i="8"/>
  <c r="F97" i="8"/>
  <c r="H97" i="8"/>
  <c r="F235" i="8"/>
  <c r="H235" i="8"/>
  <c r="F1018" i="8"/>
  <c r="H1018" i="8"/>
  <c r="H555" i="5"/>
  <c r="E111" i="8" s="1"/>
  <c r="H3324" i="5"/>
  <c r="H3467" i="5"/>
  <c r="H547" i="5"/>
  <c r="E110" i="8" s="1"/>
  <c r="H3555" i="5"/>
  <c r="E986" i="8" s="1"/>
  <c r="H3406" i="5"/>
  <c r="H3486" i="5"/>
  <c r="H3718" i="5"/>
  <c r="H3790" i="5"/>
  <c r="H3508" i="5"/>
  <c r="G63" i="6"/>
  <c r="H3359" i="5"/>
  <c r="H4340" i="5"/>
  <c r="E1153" i="8" s="1"/>
  <c r="H2308" i="5"/>
  <c r="E371" i="8" s="1"/>
  <c r="H4410" i="5"/>
  <c r="E1161" i="8" s="1"/>
  <c r="H3366" i="5"/>
  <c r="H688" i="5"/>
  <c r="H373" i="5"/>
  <c r="H4416" i="5"/>
  <c r="E1162" i="8" s="1"/>
  <c r="H1342" i="5"/>
  <c r="E232" i="8" s="1"/>
  <c r="H3662" i="5"/>
  <c r="E1016" i="8" s="1"/>
  <c r="H424" i="5"/>
  <c r="E94" i="8" s="1"/>
  <c r="H1355" i="5"/>
  <c r="E234" i="8" s="1"/>
  <c r="H4328" i="5"/>
  <c r="E1152" i="8" s="1"/>
  <c r="H4386" i="5"/>
  <c r="E1157" i="8" s="1"/>
  <c r="H3847" i="5"/>
  <c r="E1078" i="8" s="1"/>
  <c r="H4394" i="5"/>
  <c r="E1158" i="8" s="1"/>
  <c r="H270" i="5"/>
  <c r="E79" i="8" s="1"/>
  <c r="H3622" i="5"/>
  <c r="E996" i="8" s="1"/>
  <c r="E959" i="8" l="1"/>
  <c r="E130" i="8"/>
  <c r="E951" i="8"/>
  <c r="E987" i="8"/>
  <c r="E1082" i="8"/>
  <c r="E1135" i="8"/>
  <c r="E960" i="8"/>
  <c r="E1070" i="8"/>
  <c r="E970" i="8"/>
  <c r="E1114" i="8"/>
  <c r="E1168" i="8"/>
  <c r="E574" i="8"/>
  <c r="E1059" i="8"/>
  <c r="E966" i="8"/>
  <c r="E364" i="8"/>
  <c r="E573" i="8"/>
  <c r="E290" i="8"/>
  <c r="E976" i="8"/>
  <c r="E967" i="8"/>
  <c r="E999" i="8"/>
  <c r="E1344" i="8"/>
  <c r="E1173" i="8"/>
  <c r="E1079" i="8"/>
  <c r="E1067" i="8"/>
  <c r="E1185" i="8"/>
  <c r="E972" i="8"/>
  <c r="E87" i="8"/>
  <c r="E575" i="8"/>
  <c r="E89" i="8"/>
  <c r="E978" i="8"/>
  <c r="E973" i="8"/>
  <c r="E91" i="8"/>
  <c r="E926" i="8"/>
  <c r="H1555" i="8"/>
  <c r="I1555" i="8" s="1"/>
  <c r="F2094" i="8"/>
  <c r="H2094" i="8"/>
  <c r="I2094" i="8" s="1"/>
  <c r="F1338" i="8"/>
  <c r="H1338" i="8"/>
  <c r="I1338" i="8" s="1"/>
  <c r="H325" i="8"/>
  <c r="I325" i="8" s="1"/>
  <c r="F374" i="8"/>
  <c r="I287" i="8"/>
  <c r="I113" i="8"/>
  <c r="I322" i="8"/>
  <c r="I306" i="8"/>
  <c r="I385" i="8"/>
  <c r="I112" i="8"/>
  <c r="I97" i="8"/>
  <c r="I1018" i="8"/>
  <c r="I128" i="8"/>
  <c r="I115" i="8"/>
  <c r="I107" i="8"/>
  <c r="I334" i="8"/>
  <c r="I374" i="8"/>
  <c r="I235" i="8"/>
  <c r="I361" i="8"/>
  <c r="F112" i="8"/>
  <c r="F275" i="8"/>
  <c r="H119" i="8"/>
  <c r="H867" i="8"/>
  <c r="F279" i="8"/>
  <c r="F930" i="8"/>
  <c r="H930" i="8"/>
  <c r="F326" i="8"/>
  <c r="H326" i="8"/>
  <c r="F1058" i="8"/>
  <c r="H1058" i="8"/>
  <c r="H187" i="8"/>
  <c r="F187" i="8"/>
  <c r="F310" i="8"/>
  <c r="H310" i="8"/>
  <c r="F148" i="8"/>
  <c r="H148" i="8"/>
  <c r="H171" i="8"/>
  <c r="F171" i="8"/>
  <c r="H327" i="8"/>
  <c r="F327" i="8"/>
  <c r="F902" i="8"/>
  <c r="H902" i="8"/>
  <c r="F382" i="8"/>
  <c r="H382" i="8"/>
  <c r="H262" i="8"/>
  <c r="F262" i="8"/>
  <c r="F332" i="8"/>
  <c r="H332" i="8"/>
  <c r="H381" i="8"/>
  <c r="F381" i="8"/>
  <c r="G1476" i="5"/>
  <c r="G1461" i="5"/>
  <c r="G5970" i="5" l="1"/>
  <c r="G5981" i="5"/>
  <c r="G5102" i="5"/>
  <c r="I327" i="8"/>
  <c r="I867" i="8"/>
  <c r="I187" i="8"/>
  <c r="I171" i="8"/>
  <c r="I1058" i="8"/>
  <c r="I381" i="8"/>
  <c r="I382" i="8"/>
  <c r="I148" i="8"/>
  <c r="I332" i="8"/>
  <c r="I326" i="8"/>
  <c r="I902" i="8"/>
  <c r="I310" i="8"/>
  <c r="I930" i="8"/>
  <c r="I119" i="8"/>
  <c r="I262" i="8"/>
  <c r="H275" i="8"/>
  <c r="H279" i="8"/>
  <c r="F227" i="8"/>
  <c r="F867" i="8"/>
  <c r="H165" i="8"/>
  <c r="F165" i="8"/>
  <c r="F278" i="8"/>
  <c r="H278" i="8"/>
  <c r="F282" i="8"/>
  <c r="H282" i="8"/>
  <c r="H281" i="8"/>
  <c r="F281" i="8"/>
  <c r="F1076" i="8"/>
  <c r="H1076" i="8"/>
  <c r="F280" i="8"/>
  <c r="H280" i="8"/>
  <c r="H1465" i="5"/>
  <c r="E246" i="8" s="1"/>
  <c r="G1431" i="5"/>
  <c r="G1491" i="5"/>
  <c r="H1450" i="5"/>
  <c r="E245" i="8" s="1"/>
  <c r="G1416" i="5"/>
  <c r="G1446" i="5"/>
  <c r="H5963" i="5" l="1"/>
  <c r="E2595" i="8" s="1"/>
  <c r="H5974" i="5"/>
  <c r="E2596" i="8" s="1"/>
  <c r="I280" i="8"/>
  <c r="I279" i="8"/>
  <c r="I278" i="8"/>
  <c r="I275" i="8"/>
  <c r="I1076" i="8"/>
  <c r="I165" i="8"/>
  <c r="I281" i="8"/>
  <c r="I282" i="8"/>
  <c r="H227" i="8"/>
  <c r="G5098" i="5"/>
  <c r="G5097" i="5"/>
  <c r="H120" i="8"/>
  <c r="F120" i="8"/>
  <c r="G1506" i="5"/>
  <c r="H1480" i="5"/>
  <c r="E247" i="8" s="1"/>
  <c r="H1405" i="5"/>
  <c r="H1420" i="5"/>
  <c r="E243" i="8" s="1"/>
  <c r="G3824" i="5"/>
  <c r="H1435" i="5"/>
  <c r="E244" i="8" s="1"/>
  <c r="E242" i="8" l="1"/>
  <c r="H2602" i="8"/>
  <c r="I2602" i="8" s="1"/>
  <c r="F2602" i="8"/>
  <c r="F1344" i="8"/>
  <c r="H1344" i="8"/>
  <c r="I1344" i="8" s="1"/>
  <c r="I227" i="8"/>
  <c r="I120" i="8"/>
  <c r="H5095" i="5"/>
  <c r="E1339" i="8" s="1"/>
  <c r="H3824" i="5"/>
  <c r="H1495" i="5"/>
  <c r="E1075" i="8" l="1"/>
  <c r="E248" i="8"/>
  <c r="F290" i="8"/>
  <c r="H290" i="8"/>
  <c r="F1016" i="8"/>
  <c r="F1153" i="8"/>
  <c r="F79" i="8"/>
  <c r="F1152" i="8"/>
  <c r="F978" i="8"/>
  <c r="H978" i="8"/>
  <c r="H2088" i="8" l="1"/>
  <c r="I2088" i="8" s="1"/>
  <c r="F2088" i="8"/>
  <c r="H2087" i="8"/>
  <c r="I2087" i="8" s="1"/>
  <c r="F2087" i="8"/>
  <c r="I290" i="8"/>
  <c r="I978" i="8"/>
  <c r="H1016" i="8"/>
  <c r="H1153" i="8"/>
  <c r="H79" i="8"/>
  <c r="H1152" i="8"/>
  <c r="H371" i="8"/>
  <c r="F371" i="8"/>
  <c r="H232" i="8"/>
  <c r="F232" i="8"/>
  <c r="H234" i="8"/>
  <c r="F234" i="8"/>
  <c r="F1744" i="8" l="1"/>
  <c r="F2595" i="8"/>
  <c r="H2595" i="8"/>
  <c r="I2595" i="8" s="1"/>
  <c r="F1743" i="8"/>
  <c r="H1743" i="8"/>
  <c r="I1743" i="8" s="1"/>
  <c r="I234" i="8"/>
  <c r="I1016" i="8"/>
  <c r="I1153" i="8"/>
  <c r="I371" i="8"/>
  <c r="I79" i="8"/>
  <c r="I232" i="8"/>
  <c r="I1152" i="8"/>
  <c r="H1742" i="8" l="1"/>
  <c r="I1742" i="8" s="1"/>
  <c r="H1741" i="8"/>
  <c r="I1741" i="8" s="1"/>
  <c r="H1744" i="8"/>
  <c r="I1744" i="8" s="1"/>
  <c r="F2596" i="8"/>
  <c r="H2596" i="8"/>
  <c r="I2596" i="8" s="1"/>
  <c r="H1745" i="8"/>
  <c r="I1745" i="8" s="1"/>
  <c r="F1745" i="8"/>
  <c r="H242" i="8"/>
  <c r="F242" i="8"/>
  <c r="H246" i="8"/>
  <c r="F246" i="8"/>
  <c r="F243" i="8"/>
  <c r="H243" i="8"/>
  <c r="F247" i="8"/>
  <c r="H247" i="8"/>
  <c r="F245" i="8"/>
  <c r="H245" i="8"/>
  <c r="F1742" i="8" l="1"/>
  <c r="F1741" i="8"/>
  <c r="H1075" i="8"/>
  <c r="F1739" i="8"/>
  <c r="H1739" i="8"/>
  <c r="I1739" i="8" s="1"/>
  <c r="I245" i="8"/>
  <c r="I246" i="8"/>
  <c r="I247" i="8"/>
  <c r="I242" i="8"/>
  <c r="I243" i="8"/>
  <c r="F1339" i="8"/>
  <c r="H1339" i="8"/>
  <c r="H244" i="8"/>
  <c r="F244" i="8"/>
  <c r="F1075" i="8" l="1"/>
  <c r="F1738" i="8"/>
  <c r="H1738" i="8"/>
  <c r="I1738" i="8" s="1"/>
  <c r="I1075" i="8"/>
  <c r="I1339" i="8"/>
  <c r="I244" i="8"/>
  <c r="H248" i="8"/>
  <c r="F248" i="8"/>
  <c r="I248" i="8" l="1"/>
  <c r="F1185" i="8" l="1"/>
  <c r="H1185" i="8"/>
  <c r="F91" i="8"/>
  <c r="H91" i="8"/>
  <c r="F942" i="8"/>
  <c r="H942" i="8"/>
  <c r="F1168" i="8"/>
  <c r="H1168" i="8"/>
  <c r="H110" i="8"/>
  <c r="F110" i="8"/>
  <c r="F1173" i="8"/>
  <c r="H1173" i="8"/>
  <c r="F986" i="8"/>
  <c r="H986" i="8"/>
  <c r="F921" i="8"/>
  <c r="H921" i="8"/>
  <c r="H951" i="8"/>
  <c r="F951" i="8"/>
  <c r="F970" i="8"/>
  <c r="H970" i="8"/>
  <c r="F251" i="8"/>
  <c r="H251" i="8"/>
  <c r="H973" i="8"/>
  <c r="F973" i="8"/>
  <c r="F95" i="8"/>
  <c r="H95" i="8"/>
  <c r="H1161" i="8"/>
  <c r="F1161" i="8"/>
  <c r="F1162" i="8"/>
  <c r="H1162" i="8"/>
  <c r="F960" i="8"/>
  <c r="H960" i="8"/>
  <c r="F255" i="8"/>
  <c r="H255" i="8"/>
  <c r="H999" i="8"/>
  <c r="F999" i="8"/>
  <c r="H1079" i="8"/>
  <c r="F1079" i="8"/>
  <c r="H967" i="8"/>
  <c r="F967" i="8"/>
  <c r="F1134" i="8"/>
  <c r="H1134" i="8"/>
  <c r="F972" i="8"/>
  <c r="H972" i="8"/>
  <c r="F1158" i="8"/>
  <c r="H1158" i="8"/>
  <c r="F89" i="8"/>
  <c r="H89" i="8"/>
  <c r="H959" i="8"/>
  <c r="F959" i="8"/>
  <c r="H252" i="8"/>
  <c r="F252" i="8"/>
  <c r="F253" i="8"/>
  <c r="H253" i="8"/>
  <c r="H1135" i="8"/>
  <c r="F1135" i="8"/>
  <c r="F364" i="8"/>
  <c r="H364" i="8"/>
  <c r="F922" i="8"/>
  <c r="H922" i="8"/>
  <c r="H250" i="8"/>
  <c r="F250" i="8"/>
  <c r="F976" i="8"/>
  <c r="H976" i="8"/>
  <c r="H230" i="8"/>
  <c r="F230" i="8"/>
  <c r="H943" i="8"/>
  <c r="F943" i="8"/>
  <c r="F966" i="8"/>
  <c r="H966" i="8"/>
  <c r="H1059" i="8"/>
  <c r="F1059" i="8"/>
  <c r="I1135" i="8" l="1"/>
  <c r="I967" i="8"/>
  <c r="I970" i="8"/>
  <c r="I1173" i="8"/>
  <c r="I91" i="8"/>
  <c r="I253" i="8"/>
  <c r="I1158" i="8"/>
  <c r="I999" i="8"/>
  <c r="I1161" i="8"/>
  <c r="I89" i="8"/>
  <c r="I976" i="8"/>
  <c r="I250" i="8"/>
  <c r="I1079" i="8"/>
  <c r="I255" i="8"/>
  <c r="I95" i="8"/>
  <c r="I1185" i="8"/>
  <c r="I922" i="8"/>
  <c r="I972" i="8"/>
  <c r="I951" i="8"/>
  <c r="I110" i="8"/>
  <c r="I252" i="8"/>
  <c r="I960" i="8"/>
  <c r="I921" i="8"/>
  <c r="I1168" i="8"/>
  <c r="I364" i="8"/>
  <c r="I1134" i="8"/>
  <c r="I973" i="8"/>
  <c r="I230" i="8"/>
  <c r="I1059" i="8"/>
  <c r="I966" i="8"/>
  <c r="I959" i="8"/>
  <c r="I1162" i="8"/>
  <c r="I251" i="8"/>
  <c r="I986" i="8"/>
  <c r="I942" i="8"/>
  <c r="I943" i="8"/>
  <c r="H903" i="8"/>
  <c r="F903" i="8"/>
  <c r="F1078" i="8"/>
  <c r="H1078" i="8"/>
  <c r="H987" i="8"/>
  <c r="F987" i="8"/>
  <c r="H228" i="8"/>
  <c r="F228" i="8"/>
  <c r="H94" i="8"/>
  <c r="F94" i="8"/>
  <c r="F1070" i="8"/>
  <c r="H1070" i="8"/>
  <c r="F1114" i="8"/>
  <c r="H1114" i="8"/>
  <c r="F231" i="8"/>
  <c r="H231" i="8"/>
  <c r="H254" i="8"/>
  <c r="F254" i="8"/>
  <c r="H130" i="8"/>
  <c r="F130" i="8"/>
  <c r="F86" i="8"/>
  <c r="H86" i="8"/>
  <c r="F925" i="8"/>
  <c r="H925" i="8"/>
  <c r="F111" i="8"/>
  <c r="H111" i="8"/>
  <c r="F249" i="8"/>
  <c r="H249" i="8"/>
  <c r="H96" i="8"/>
  <c r="F96" i="8"/>
  <c r="F1074" i="8"/>
  <c r="H1074" i="8"/>
  <c r="F229" i="8"/>
  <c r="H229" i="8"/>
  <c r="H1157" i="8"/>
  <c r="F1157" i="8"/>
  <c r="I1074" i="8" l="1"/>
  <c r="I925" i="8"/>
  <c r="I231" i="8"/>
  <c r="I228" i="8"/>
  <c r="I86" i="8"/>
  <c r="I1114" i="8"/>
  <c r="I96" i="8"/>
  <c r="I987" i="8"/>
  <c r="I249" i="8"/>
  <c r="I1070" i="8"/>
  <c r="I1078" i="8"/>
  <c r="I130" i="8"/>
  <c r="I229" i="8"/>
  <c r="I111" i="8"/>
  <c r="I1157" i="8"/>
  <c r="I254" i="8"/>
  <c r="I94" i="8"/>
  <c r="I903" i="8"/>
  <c r="H1067" i="8" l="1"/>
  <c r="F1067" i="8"/>
  <c r="H997" i="8"/>
  <c r="F997" i="8"/>
  <c r="F994" i="8"/>
  <c r="H994" i="8"/>
  <c r="F83" i="8"/>
  <c r="H83" i="8"/>
  <c r="F996" i="8"/>
  <c r="H996" i="8"/>
  <c r="H82" i="8"/>
  <c r="F82" i="8"/>
  <c r="I994" i="8" l="1"/>
  <c r="I997" i="8"/>
  <c r="I82" i="8"/>
  <c r="I996" i="8"/>
  <c r="I83" i="8"/>
  <c r="I1067" i="8"/>
  <c r="H574" i="8"/>
  <c r="F574" i="8"/>
  <c r="F575" i="8"/>
  <c r="H575" i="8"/>
  <c r="F1082" i="8"/>
  <c r="H1082" i="8"/>
  <c r="F87" i="8"/>
  <c r="H87" i="8"/>
  <c r="F926" i="8"/>
  <c r="H926" i="8"/>
  <c r="F573" i="8"/>
  <c r="H573" i="8"/>
  <c r="I575" i="8" l="1"/>
  <c r="I573" i="8"/>
  <c r="I926" i="8"/>
  <c r="I87" i="8"/>
  <c r="I574" i="8"/>
  <c r="I1082" i="8"/>
  <c r="G2128" i="5" l="1"/>
  <c r="G2134" i="5"/>
  <c r="H2132" i="5" l="1"/>
  <c r="E347" i="8" s="1"/>
  <c r="H2126" i="5"/>
  <c r="E346" i="8" s="1"/>
  <c r="H347" i="8" l="1"/>
  <c r="F347" i="8"/>
  <c r="F346" i="8"/>
  <c r="H346" i="8"/>
  <c r="I346" i="8" l="1"/>
  <c r="I347" i="8"/>
  <c r="G5264" i="5" l="1"/>
  <c r="G5179" i="5"/>
  <c r="G5238" i="5"/>
  <c r="G5232" i="5"/>
  <c r="G5265" i="5"/>
  <c r="G5230" i="5"/>
  <c r="G5240" i="5"/>
  <c r="G5172" i="5"/>
  <c r="G5247" i="5"/>
  <c r="G5294" i="5"/>
  <c r="G5253" i="5"/>
  <c r="G5263" i="5"/>
  <c r="G5246" i="5"/>
  <c r="G5186" i="5"/>
  <c r="G5239" i="5"/>
  <c r="G5173" i="5"/>
  <c r="G5231" i="5"/>
  <c r="G5197" i="5" l="1"/>
  <c r="H5170" i="5"/>
  <c r="E1357" i="8" s="1"/>
  <c r="G5323" i="5"/>
  <c r="H5246" i="5"/>
  <c r="H5184" i="5"/>
  <c r="E1359" i="8" s="1"/>
  <c r="H5294" i="5"/>
  <c r="H5230" i="5"/>
  <c r="H5238" i="5"/>
  <c r="E1368" i="8" s="1"/>
  <c r="H5177" i="5"/>
  <c r="E1358" i="8" s="1"/>
  <c r="E1367" i="8" l="1"/>
  <c r="E1389" i="8"/>
  <c r="E1374" i="8"/>
  <c r="H5323" i="5"/>
  <c r="H5197" i="5"/>
  <c r="E1361" i="8" l="1"/>
  <c r="E1396" i="8"/>
  <c r="F1357" i="8" l="1"/>
  <c r="H1357" i="8"/>
  <c r="I1357" i="8" s="1"/>
  <c r="F1358" i="8"/>
  <c r="H1358" i="8"/>
  <c r="I1358" i="8" s="1"/>
  <c r="H1368" i="8"/>
  <c r="I1368" i="8" s="1"/>
  <c r="F1368" i="8"/>
  <c r="H1359" i="8"/>
  <c r="I1359" i="8" s="1"/>
  <c r="F1359" i="8"/>
  <c r="F1396" i="8"/>
  <c r="H1396" i="8"/>
  <c r="I1396" i="8" s="1"/>
  <c r="F1389" i="8"/>
  <c r="H1389" i="8"/>
  <c r="I1389" i="8" s="1"/>
  <c r="F1367" i="8"/>
  <c r="H1367" i="8"/>
  <c r="I1367" i="8" s="1"/>
  <c r="H1549" i="8"/>
  <c r="I1549" i="8" s="1"/>
  <c r="F1549" i="8"/>
  <c r="H1374" i="8"/>
  <c r="I1374" i="8" s="1"/>
  <c r="F1374" i="8"/>
  <c r="F1361" i="8" l="1"/>
  <c r="H1361" i="8"/>
  <c r="I1361" i="8" s="1"/>
  <c r="F510" i="6" l="1"/>
  <c r="F103" i="7"/>
  <c r="F509" i="6" l="1"/>
  <c r="G504" i="6" s="1"/>
  <c r="G96" i="7"/>
  <c r="G5259" i="5" l="1"/>
  <c r="F497" i="6"/>
  <c r="G5271" i="5"/>
  <c r="F498" i="6" l="1"/>
  <c r="G485" i="6" s="1"/>
  <c r="G5254" i="5"/>
  <c r="G5257" i="5"/>
  <c r="G5269" i="5"/>
  <c r="G5266" i="5"/>
  <c r="G5270" i="5" l="1"/>
  <c r="G5258" i="5" l="1"/>
  <c r="H5263" i="5"/>
  <c r="E1378" i="8" s="1"/>
  <c r="H5253" i="5" l="1"/>
  <c r="E1375" i="8" s="1"/>
  <c r="H1375" i="8" l="1"/>
  <c r="I1375" i="8" s="1"/>
  <c r="F1375" i="8"/>
  <c r="H1378" i="8"/>
  <c r="I1378" i="8" s="1"/>
  <c r="F1378" i="8"/>
  <c r="G6053" i="5" l="1"/>
  <c r="H6053" i="5" l="1"/>
  <c r="G6192" i="5"/>
  <c r="G6199" i="5"/>
  <c r="E2607" i="8" l="1"/>
  <c r="H6199" i="5"/>
  <c r="H6192" i="5"/>
  <c r="E2622" i="8" l="1"/>
  <c r="E2623" i="8"/>
  <c r="H2636" i="8" l="1"/>
  <c r="I2636" i="8" s="1"/>
  <c r="F2636" i="8"/>
  <c r="H2655" i="8"/>
  <c r="I2655" i="8" s="1"/>
  <c r="F2655" i="8"/>
  <c r="H2670" i="8"/>
  <c r="I2670" i="8" s="1"/>
  <c r="F2670" i="8"/>
  <c r="H2679" i="8"/>
  <c r="I2679" i="8" s="1"/>
  <c r="F2679" i="8"/>
  <c r="H2644" i="8"/>
  <c r="I2644" i="8" s="1"/>
  <c r="F2644" i="8"/>
  <c r="I2660" i="8"/>
  <c r="H2660" i="8"/>
  <c r="F2660" i="8"/>
  <c r="H2634" i="8"/>
  <c r="I2634" i="8" s="1"/>
  <c r="F2634" i="8"/>
  <c r="H2639" i="8"/>
  <c r="I2639" i="8" s="1"/>
  <c r="F2639" i="8"/>
  <c r="I2657" i="8"/>
  <c r="H2657" i="8"/>
  <c r="F2657" i="8"/>
  <c r="I2671" i="8"/>
  <c r="H2671" i="8"/>
  <c r="F2671" i="8"/>
  <c r="H2680" i="8"/>
  <c r="I2680" i="8" s="1"/>
  <c r="F2680" i="8"/>
  <c r="H2646" i="8"/>
  <c r="I2646" i="8" s="1"/>
  <c r="F2646" i="8"/>
  <c r="H2662" i="8"/>
  <c r="I2662" i="8" s="1"/>
  <c r="F2662" i="8"/>
  <c r="I2640" i="8"/>
  <c r="H2640" i="8"/>
  <c r="F2640" i="8"/>
  <c r="H2643" i="8"/>
  <c r="I2643" i="8" s="1"/>
  <c r="F2643" i="8"/>
  <c r="H2659" i="8"/>
  <c r="I2659" i="8" s="1"/>
  <c r="F2659" i="8"/>
  <c r="H2672" i="8"/>
  <c r="I2672" i="8" s="1"/>
  <c r="F2672" i="8"/>
  <c r="I2681" i="8"/>
  <c r="H2681" i="8"/>
  <c r="F2681" i="8"/>
  <c r="H2648" i="8"/>
  <c r="I2648" i="8" s="1"/>
  <c r="F2648" i="8"/>
  <c r="H2664" i="8"/>
  <c r="I2664" i="8" s="1"/>
  <c r="F2664" i="8"/>
  <c r="H2628" i="8"/>
  <c r="I2628" i="8" s="1"/>
  <c r="F2628" i="8"/>
  <c r="I2645" i="8"/>
  <c r="H2645" i="8"/>
  <c r="F2645" i="8"/>
  <c r="H2661" i="8"/>
  <c r="I2661" i="8" s="1"/>
  <c r="F2661" i="8"/>
  <c r="H2673" i="8"/>
  <c r="I2673" i="8" s="1"/>
  <c r="F2673" i="8"/>
  <c r="H2625" i="8"/>
  <c r="I2625" i="8" s="1"/>
  <c r="F2625" i="8"/>
  <c r="I2650" i="8"/>
  <c r="H2650" i="8"/>
  <c r="F2650" i="8"/>
  <c r="H2666" i="8"/>
  <c r="I2666" i="8" s="1"/>
  <c r="F2666" i="8"/>
  <c r="H2633" i="8"/>
  <c r="I2633" i="8" s="1"/>
  <c r="F2633" i="8"/>
  <c r="H2647" i="8"/>
  <c r="I2647" i="8" s="1"/>
  <c r="F2647" i="8"/>
  <c r="I2663" i="8"/>
  <c r="H2663" i="8"/>
  <c r="F2663" i="8"/>
  <c r="H2675" i="8"/>
  <c r="I2675" i="8" s="1"/>
  <c r="F2675" i="8"/>
  <c r="H2630" i="8"/>
  <c r="I2630" i="8" s="1"/>
  <c r="F2630" i="8"/>
  <c r="H2652" i="8"/>
  <c r="I2652" i="8" s="1"/>
  <c r="F2652" i="8"/>
  <c r="I2669" i="8"/>
  <c r="H2669" i="8"/>
  <c r="F2669" i="8"/>
  <c r="H2641" i="8"/>
  <c r="I2641" i="8" s="1"/>
  <c r="F2641" i="8"/>
  <c r="H2649" i="8"/>
  <c r="I2649" i="8" s="1"/>
  <c r="F2649" i="8"/>
  <c r="H2665" i="8"/>
  <c r="I2665" i="8" s="1"/>
  <c r="F2665" i="8"/>
  <c r="I2676" i="8"/>
  <c r="H2676" i="8"/>
  <c r="F2676" i="8"/>
  <c r="H2635" i="8"/>
  <c r="I2635" i="8" s="1"/>
  <c r="F2635" i="8"/>
  <c r="H2654" i="8"/>
  <c r="I2654" i="8" s="1"/>
  <c r="F2654" i="8"/>
  <c r="H2674" i="8"/>
  <c r="I2674" i="8" s="1"/>
  <c r="F2674" i="8"/>
  <c r="I2626" i="8"/>
  <c r="H2626" i="8"/>
  <c r="F2626" i="8"/>
  <c r="H2627" i="8"/>
  <c r="I2627" i="8" s="1"/>
  <c r="F2627" i="8"/>
  <c r="H2651" i="8"/>
  <c r="I2651" i="8" s="1"/>
  <c r="F2651" i="8"/>
  <c r="H2667" i="8"/>
  <c r="I2667" i="8" s="1"/>
  <c r="F2667" i="8"/>
  <c r="I2677" i="8"/>
  <c r="H2677" i="8"/>
  <c r="F2677" i="8"/>
  <c r="H2637" i="8"/>
  <c r="I2637" i="8" s="1"/>
  <c r="F2637" i="8"/>
  <c r="H2656" i="8"/>
  <c r="I2656" i="8" s="1"/>
  <c r="F2656" i="8"/>
  <c r="H2624" i="8"/>
  <c r="I2624" i="8" s="1"/>
  <c r="F2624" i="8"/>
  <c r="I2631" i="8"/>
  <c r="H2631" i="8"/>
  <c r="F2631" i="8"/>
  <c r="H2632" i="8"/>
  <c r="I2632" i="8" s="1"/>
  <c r="F2632" i="8"/>
  <c r="H2653" i="8"/>
  <c r="I2653" i="8" s="1"/>
  <c r="F2653" i="8"/>
  <c r="H2668" i="8"/>
  <c r="I2668" i="8" s="1"/>
  <c r="F2668" i="8"/>
  <c r="I2678" i="8"/>
  <c r="H2678" i="8"/>
  <c r="F2678" i="8"/>
  <c r="H2642" i="8"/>
  <c r="I2642" i="8" s="1"/>
  <c r="F2642" i="8"/>
  <c r="H2658" i="8"/>
  <c r="I2658" i="8" s="1"/>
  <c r="F2658" i="8"/>
  <c r="H2629" i="8"/>
  <c r="I2629" i="8" s="1"/>
  <c r="F2629" i="8"/>
  <c r="I2638" i="8"/>
  <c r="H2638" i="8"/>
  <c r="F2638" i="8"/>
  <c r="F2623" i="8"/>
  <c r="H2623" i="8"/>
  <c r="I2623" i="8" s="1"/>
  <c r="F2607" i="8"/>
  <c r="H2607" i="8"/>
  <c r="I2607" i="8" s="1"/>
  <c r="H2622" i="8" l="1"/>
  <c r="I2622" i="8" s="1"/>
  <c r="F2622" i="8"/>
  <c r="G6074" i="5" l="1"/>
  <c r="F586" i="6" l="1"/>
  <c r="G583" i="6" s="1"/>
  <c r="G6083" i="5"/>
  <c r="G6131" i="5"/>
  <c r="G6132" i="5"/>
  <c r="H6079" i="5" l="1"/>
  <c r="E2611" i="8" s="1"/>
  <c r="H6040" i="5" l="1"/>
  <c r="E2605" i="8" s="1"/>
  <c r="G6073" i="5" l="1"/>
  <c r="H2611" i="8" l="1"/>
  <c r="I2611" i="8" s="1"/>
  <c r="F2611" i="8"/>
  <c r="H2605" i="8" l="1"/>
  <c r="I2605" i="8" s="1"/>
  <c r="F2605" i="8"/>
  <c r="F117" i="7"/>
  <c r="G110" i="7" l="1"/>
  <c r="F520" i="6" l="1"/>
  <c r="F570" i="6"/>
  <c r="F601" i="6"/>
  <c r="F521" i="6"/>
  <c r="F571" i="6"/>
  <c r="F602" i="6"/>
  <c r="G595" i="6" l="1"/>
  <c r="G516" i="6"/>
  <c r="G564" i="6"/>
  <c r="G6173" i="5"/>
  <c r="F535" i="6" l="1"/>
  <c r="F541" i="6"/>
  <c r="G539" i="6" s="1"/>
  <c r="G6133" i="5"/>
  <c r="G6111" i="5" l="1"/>
  <c r="G6172" i="5"/>
  <c r="G533" i="6"/>
  <c r="G6128" i="5"/>
  <c r="G6075" i="5"/>
  <c r="G6125" i="5"/>
  <c r="H6104" i="5"/>
  <c r="E2614" i="8" l="1"/>
  <c r="H6163" i="5"/>
  <c r="H6068" i="5"/>
  <c r="E2609" i="8" l="1"/>
  <c r="E2619" i="8"/>
  <c r="G6129" i="5"/>
  <c r="G6130" i="5"/>
  <c r="G6135" i="5"/>
  <c r="G6134" i="5" l="1"/>
  <c r="H6115" i="5" l="1"/>
  <c r="E2615" i="8" l="1"/>
  <c r="H2614" i="8"/>
  <c r="I2614" i="8" s="1"/>
  <c r="F2614" i="8"/>
  <c r="H2619" i="8"/>
  <c r="I2619" i="8" s="1"/>
  <c r="F2619" i="8"/>
  <c r="H2609" i="8" l="1"/>
  <c r="I2609" i="8" s="1"/>
  <c r="F2609" i="8"/>
  <c r="F2615" i="8" l="1"/>
  <c r="H2615" i="8"/>
  <c r="I2615" i="8" s="1"/>
  <c r="I2684" i="8" s="1"/>
  <c r="I2683" i="8" l="1"/>
</calcChain>
</file>

<file path=xl/sharedStrings.xml><?xml version="1.0" encoding="utf-8"?>
<sst xmlns="http://schemas.openxmlformats.org/spreadsheetml/2006/main" count="22071" uniqueCount="6704">
  <si>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</si>
  <si>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</si>
  <si>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</si>
  <si>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</si>
  <si>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</si>
  <si>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</si>
  <si>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</si>
  <si>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</si>
  <si>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</si>
  <si>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</si>
  <si>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</si>
  <si>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</si>
  <si>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</si>
  <si>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</si>
  <si>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</si>
  <si>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</si>
  <si>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</si>
  <si>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</si>
  <si>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</si>
  <si>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</si>
  <si>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</si>
  <si>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</si>
  <si>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</si>
  <si>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</si>
  <si>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</si>
  <si>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</si>
  <si>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</si>
  <si>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</si>
  <si>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</si>
  <si>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</si>
  <si>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</si>
  <si>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</si>
  <si>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</si>
  <si>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</si>
  <si>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</si>
  <si>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</si>
  <si>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</si>
  <si>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</si>
  <si>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</si>
  <si>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</si>
  <si>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</si>
  <si>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</si>
  <si>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</si>
  <si>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</si>
  <si>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</si>
  <si>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</si>
  <si>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</si>
  <si>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</si>
  <si>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</si>
  <si>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</si>
  <si>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</si>
  <si>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</si>
  <si>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</si>
  <si>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</si>
  <si>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</si>
  <si>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</si>
  <si>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</si>
  <si>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</si>
  <si>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</si>
  <si>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</si>
  <si>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</si>
  <si>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</si>
  <si>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</si>
  <si>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</si>
  <si>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</si>
  <si>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</si>
  <si>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</si>
  <si>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</si>
  <si>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</si>
  <si>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</si>
  <si>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</si>
  <si>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</si>
  <si>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</si>
  <si>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</si>
  <si>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</si>
  <si>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</si>
  <si>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</si>
  <si>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</si>
  <si>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</si>
  <si>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</si>
  <si>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</si>
  <si>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</si>
  <si>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</si>
  <si>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</si>
  <si>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</si>
  <si>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LOCACAO DE ANDAIME METALICO TIPO FACHADEIRO, LARGURA DE 1,20 M, ALTURA POR PECA DE 2,0 M, INCLUINDO SAPATAS E ITENS NECESSARIOS A INSTALACAO</t>
  </si>
  <si>
    <t>M2XMES</t>
  </si>
  <si>
    <t>SF-00049</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</si>
  <si>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</si>
  <si>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</si>
  <si>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</si>
  <si>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</si>
  <si>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</si>
  <si>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</si>
  <si>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</si>
  <si>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</si>
  <si>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</si>
  <si>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</si>
  <si>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TABUA DE MADEIRA NAO APARELHADA *2,5 X 30* CM, CEDRINHO OU EQUIVALENTE DA REGIAO</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</si>
  <si>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</si>
  <si>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</si>
  <si>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</si>
  <si>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</si>
  <si>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</si>
  <si>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</si>
  <si>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</si>
  <si>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</si>
  <si>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</si>
  <si>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</si>
  <si>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</si>
  <si>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</si>
  <si>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</si>
  <si>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</si>
  <si>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</si>
  <si>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LANÇAMENTO COM USO DE BALDES, ADENSAMENTO E ACABAMENTO DE CONCRETO EM ESTRUTURAS. AF_12/2015</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</si>
  <si>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</si>
  <si>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</si>
  <si>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</si>
  <si>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</si>
  <si>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</si>
  <si>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</si>
  <si>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</si>
  <si>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</si>
  <si>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</si>
  <si>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</si>
  <si>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</si>
  <si>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</si>
  <si>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</si>
  <si>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</si>
  <si>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</si>
  <si>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</si>
  <si>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</si>
  <si>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ACETILENO (RECARGA PARA CILINDRO DE CONJUNTO OXICORTE GRANDE)</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</si>
  <si>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</si>
  <si>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</si>
  <si>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</si>
  <si>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</si>
  <si>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</si>
  <si>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</si>
  <si>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</si>
  <si>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</si>
  <si>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</si>
  <si>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</si>
  <si>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</si>
  <si>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</si>
  <si>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</si>
  <si>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</si>
  <si>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</si>
  <si>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</si>
  <si>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</si>
  <si>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</si>
  <si>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</si>
  <si>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</si>
  <si>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mil</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</si>
  <si>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</si>
  <si>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</si>
  <si>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</si>
  <si>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</si>
  <si>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</si>
  <si>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</si>
  <si>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</si>
  <si>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</si>
  <si>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</si>
  <si>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</si>
  <si>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</si>
  <si>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</si>
  <si>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</si>
  <si>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</si>
  <si>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</si>
  <si>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</si>
  <si>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</si>
  <si>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</si>
  <si>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</si>
  <si>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</si>
  <si>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</si>
  <si>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</si>
  <si>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</si>
  <si>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</si>
  <si>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Bloco ceramico de vedacao com furos na vertical, 9 x 19 x 39 cm - 4,5 MPa (NBR 15270)</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</si>
  <si>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</si>
  <si>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</si>
  <si>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</si>
  <si>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</si>
  <si>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</si>
  <si>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</si>
  <si>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</si>
  <si>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</si>
  <si>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</si>
  <si>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</si>
  <si>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</si>
  <si>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</si>
  <si>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</si>
  <si>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</si>
  <si>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</si>
  <si>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RESINA ACRILICA BASE AGUA - COR BRANCA</t>
  </si>
  <si>
    <t>SELANTE A BASE DE RESINAS ACRILICAS PARA TRINCAS</t>
  </si>
  <si>
    <t>Obs.: Rendimento da resina e do selante de acordo com recomendações do fabricante (Bautech). Consumo médio. Selante: 5 m por kg. Resina: 165 m2 por embalagem de 18 L.</t>
  </si>
  <si>
    <t>http://www.bautechbrasil.com.br/produtos/selantes-especiais/bautech-selante-acr%C3%ADlico</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</si>
  <si>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</si>
  <si>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</si>
  <si>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</si>
  <si>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</si>
  <si>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</si>
  <si>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</si>
  <si>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</si>
  <si>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</si>
  <si>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</si>
  <si>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Lixa em folha para parede ou madeira, numero 120 (cor vermelha)</t>
  </si>
  <si>
    <t>Massa acrilica para paredes interior/exterior</t>
  </si>
  <si>
    <t>gl</t>
  </si>
  <si>
    <t>SF-00099</t>
  </si>
  <si>
    <t>SF-00100</t>
  </si>
  <si>
    <t>Tinta acrilica premium, cor branco fosco</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</si>
  <si>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</si>
  <si>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</si>
  <si>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</si>
  <si>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</si>
  <si>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</si>
  <si>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</si>
  <si>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</si>
  <si>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</si>
  <si>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</si>
  <si>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</si>
  <si>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</si>
  <si>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</si>
  <si>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</si>
  <si>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</si>
  <si>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</si>
  <si>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</si>
  <si>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</si>
  <si>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</si>
  <si>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</si>
  <si>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</si>
  <si>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</si>
  <si>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</si>
  <si>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</si>
  <si>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</si>
  <si>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</si>
  <si>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</si>
  <si>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</si>
  <si>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</si>
  <si>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</si>
  <si>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</si>
  <si>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</si>
  <si>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</si>
  <si>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</si>
  <si>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</si>
  <si>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</si>
  <si>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</si>
  <si>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</si>
  <si>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</si>
  <si>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</si>
  <si>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FURO PARA TORNEIRA OU OUTROS ACESSORIOS  EM BANCADA DE MARMORE/ GRANITO OU OUTRO TIPO DE PEDRA NATURAL</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</si>
  <si>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</si>
  <si>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</si>
  <si>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</si>
  <si>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</si>
  <si>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</si>
  <si>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</si>
  <si>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</si>
  <si>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</si>
  <si>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</si>
  <si>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</si>
  <si>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</si>
  <si>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</si>
  <si>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</si>
  <si>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</si>
  <si>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</si>
  <si>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</si>
  <si>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</si>
  <si>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</si>
  <si>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</si>
  <si>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</si>
  <si>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</si>
  <si>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</si>
  <si>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</si>
  <si>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</si>
  <si>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</si>
  <si>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</si>
  <si>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</si>
  <si>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</si>
  <si>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</si>
  <si>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</si>
  <si>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</si>
  <si>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</si>
  <si>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</si>
  <si>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</si>
  <si>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</si>
  <si>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</si>
  <si>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</si>
  <si>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</si>
  <si>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</si>
  <si>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</si>
  <si>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</si>
  <si>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</si>
  <si>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</si>
  <si>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</si>
  <si>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</si>
  <si>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ADESIVO ACRILICO/COLA DE CONTATO</t>
  </si>
  <si>
    <t>SF-00152</t>
  </si>
  <si>
    <t>Baguetes metálicos</t>
  </si>
  <si>
    <t>SF-00153</t>
  </si>
  <si>
    <t>Massa para vidro</t>
  </si>
  <si>
    <t>SF-00154</t>
  </si>
  <si>
    <t>Espelho cristal comum #5mm</t>
  </si>
  <si>
    <t>SF-00155</t>
  </si>
  <si>
    <t>SF-00156</t>
  </si>
  <si>
    <t>Silicone acetico uso geral incolor 280 g</t>
  </si>
  <si>
    <t>Obs.: considerando que cada bisnaga rende, no mínimo, 3 m de aplicação.</t>
  </si>
  <si>
    <t>SF-00157</t>
  </si>
  <si>
    <t>Vidro liso incolor 4mm - sem colocacao</t>
  </si>
  <si>
    <t>SF-00158</t>
  </si>
  <si>
    <t>VIDRO LISO INCOLOR 6 MM - SEM COLOCACAO</t>
  </si>
  <si>
    <t>SF-00159</t>
  </si>
  <si>
    <t>SF-00160</t>
  </si>
  <si>
    <t>SF-00161</t>
  </si>
  <si>
    <t>SF-00166</t>
  </si>
  <si>
    <t>Vedacao PVC, 100 mm, para saida vaso sanitario</t>
  </si>
  <si>
    <t>Tubo de ligação para bacia sanitária em PVC, com acabamento cromado, ajustável ou não. Ref.: DECA 1968C ou equivalente</t>
  </si>
  <si>
    <t>SF-00167</t>
  </si>
  <si>
    <t>Adesivo plastico para PVC, frasco com 850 gr</t>
  </si>
  <si>
    <t>Solucao limpadora para PVC, frasco com 1000 cm3</t>
  </si>
  <si>
    <t>Lixa d'agua em folha, grao 100</t>
  </si>
  <si>
    <t>SF-00168</t>
  </si>
  <si>
    <t>SF-00169</t>
  </si>
  <si>
    <t>SF-00170</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</si>
  <si>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</si>
  <si>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</si>
  <si>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</si>
  <si>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</si>
  <si>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</si>
  <si>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</si>
  <si>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</si>
  <si>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</si>
  <si>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</si>
  <si>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</si>
  <si>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</si>
  <si>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</si>
  <si>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Anel borracha para tubo esgoto predial DN 75 mm (NBR 5688)</t>
  </si>
  <si>
    <t>Caixa sifonada PVC, 150 x 185 x 75 mm, com grelha quadrada branca</t>
  </si>
  <si>
    <t>Pasta lubrificante para tubos e conexoes com junta elastica (uso em PVC, aco, polietileno e outros) ( de *400* g)</t>
  </si>
  <si>
    <t>SF-00177</t>
  </si>
  <si>
    <t>CAIXA SIFONADA PVC, 250 X 230 X 75 MM, COM TAMPA E PORTA TAMPA QUADRADA BRANCA</t>
  </si>
  <si>
    <t>SF-00178</t>
  </si>
  <si>
    <t>Grelha quadrada para ralo, com caixilho, dimensões 10x10cm, em Aço polido, ref.: Moldenox ou equivalente</t>
  </si>
  <si>
    <t>SF-00179</t>
  </si>
  <si>
    <t>Grelha quadrada para ralo, com caixilho, dimensões 15x15cm, em Aço polido, ref.: Moldenox ou equivalente</t>
  </si>
  <si>
    <t>SF-00180</t>
  </si>
  <si>
    <t>Ralo seco PVC conico, 100 x 40 mm,  com grelha redonda branca</t>
  </si>
  <si>
    <t>SF-00181</t>
  </si>
  <si>
    <t>Assento poliéster com fixação cromada na cor branco gelo, ref: AP.75.17 – Linha Fast/Aspen – Deca ou equivalente</t>
  </si>
  <si>
    <t>SF-00182</t>
  </si>
  <si>
    <t>Bacia sanitaria (vaso) convencional de louca branca</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</si>
  <si>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</si>
  <si>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</si>
  <si>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</si>
  <si>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</si>
  <si>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</si>
  <si>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</si>
  <si>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</si>
  <si>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</si>
  <si>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</si>
  <si>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</si>
  <si>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</si>
  <si>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</si>
  <si>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</si>
  <si>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</si>
  <si>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</si>
  <si>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</si>
  <si>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</si>
  <si>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Lavatorio louca branca suspenso *40 x 30* cm</t>
  </si>
  <si>
    <t>SF-00191</t>
  </si>
  <si>
    <t>Mictorio sifonado louca branca sem complementos</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</si>
  <si>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</si>
  <si>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</si>
  <si>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</si>
  <si>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</si>
  <si>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</si>
  <si>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</si>
  <si>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</si>
  <si>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</si>
  <si>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</si>
  <si>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</si>
  <si>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</si>
  <si>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</si>
  <si>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</si>
  <si>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</si>
  <si>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</si>
  <si>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</si>
  <si>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</si>
  <si>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</si>
  <si>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</si>
  <si>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</si>
  <si>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</si>
  <si>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</si>
  <si>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</si>
  <si>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</si>
  <si>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</si>
  <si>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</si>
  <si>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</si>
  <si>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</si>
  <si>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TORNEIRA CROMADA DE MESA PARA LAVATORIO TEMPORIZADA PRESSAO BICA BAIXA</t>
  </si>
  <si>
    <t>SF-00207</t>
  </si>
  <si>
    <t>Torneira de parede para cozinha bica móvel com arejador articulado, cromada. Ref.: Código B5815C2CRB – Linha City – Celite</t>
  </si>
  <si>
    <t>SF-00208</t>
  </si>
  <si>
    <t>Torneira cromada com bico para jardim/tanque 1/2 " ou 3/4 " (ref 1153)</t>
  </si>
  <si>
    <t>SF-00209</t>
  </si>
  <si>
    <t xml:space="preserve">Válvula de descarga 1 1/2" cromada. ref.: modelo 2565.C.112.CONF – linha Hydra Eco Conforto – Deca </t>
  </si>
  <si>
    <t>Fita veda rosca em rolos de 18 mm x 50 m (L x C)</t>
  </si>
  <si>
    <t>SF-00210</t>
  </si>
  <si>
    <t>Valvula de descarga metalica, base 1 1/2 " e acabamento metalico cromado</t>
  </si>
  <si>
    <t>SF-00211</t>
  </si>
  <si>
    <t>Válvula de descarga 1 1/4" . Ref.: Modelo 2565.C.114.CONF – Linha Hydra Eco Conforto – Deca</t>
  </si>
  <si>
    <t>SF-00212</t>
  </si>
  <si>
    <t>Valvula de descarga metalica, base 1 1/4 " e acabamento metalico cromado</t>
  </si>
  <si>
    <t>SF-00213</t>
  </si>
  <si>
    <t>Valvula em metal cromado para lavatorio, 1 " sem ladrao</t>
  </si>
  <si>
    <t>SF-00214</t>
  </si>
  <si>
    <t>Valvula em metal cromado para tanque, 1.1/2 " sem ladrao</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</si>
  <si>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</si>
  <si>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</si>
  <si>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</si>
  <si>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</si>
  <si>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</si>
  <si>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</si>
  <si>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</si>
  <si>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</si>
  <si>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</si>
  <si>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</si>
  <si>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</si>
  <si>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</si>
  <si>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</si>
  <si>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</si>
  <si>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</si>
  <si>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</si>
  <si>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</si>
  <si>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</si>
  <si>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</si>
  <si>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Fixação utilizando parafuso e bucha de nylon, somente mão de obra. af_10/2016</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</si>
  <si>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</si>
  <si>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</si>
  <si>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</si>
  <si>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</si>
  <si>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</si>
  <si>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</si>
  <si>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</si>
  <si>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</si>
  <si>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</si>
  <si>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</si>
  <si>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</si>
  <si>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</si>
  <si>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</si>
  <si>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</si>
  <si>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</si>
  <si>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</si>
  <si>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</si>
  <si>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</si>
  <si>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</si>
  <si>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</si>
  <si>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</si>
  <si>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</si>
  <si>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</si>
  <si>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</si>
  <si>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</si>
  <si>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</si>
  <si>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</si>
  <si>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</si>
  <si>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</si>
  <si>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</si>
  <si>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</si>
  <si>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</si>
  <si>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</si>
  <si>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</si>
  <si>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</si>
  <si>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</si>
  <si>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</si>
  <si>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</si>
  <si>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</si>
  <si>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</si>
  <si>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</si>
  <si>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</si>
  <si>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</si>
  <si>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</si>
  <si>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</si>
  <si>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</si>
  <si>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</si>
  <si>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</si>
  <si>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</si>
  <si>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</si>
  <si>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</si>
  <si>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</si>
  <si>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</si>
  <si>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</si>
  <si>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</si>
  <si>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</si>
  <si>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</si>
  <si>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</si>
  <si>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</si>
  <si>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</si>
  <si>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</si>
  <si>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</si>
  <si>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</si>
  <si>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Fixação de tubos verticais de PPR diâmetros menores ou iguais a 40 mm com abraçadeira metálica rígida tipo D 1/2", fixada em perfilado em alvenaria. af_05/2015</t>
  </si>
  <si>
    <t>Luva de emenda para eletroduto, aço galvanizado, DN 40 mm (1 1/2''), aparente, instalada em parede - fornecimento e instalação. af_11/2016_p</t>
  </si>
  <si>
    <t>SF-00245</t>
  </si>
  <si>
    <t>Eletroduto de aço com costura galvanização eletrolítica Ø 1 1/4"</t>
  </si>
  <si>
    <t>Luva de emenda para eletroduto, aço galvanizado, DN 32 mm (1 1/4''), aparente, instalada em parede - fornecimento e instalação. af_11/2016_p</t>
  </si>
  <si>
    <t>SF-00246</t>
  </si>
  <si>
    <t>Eletroduto de aço com costura galvanização eletrolítica Ø 1"</t>
  </si>
  <si>
    <t>Luva de emenda para eletroduto, aço galvanizado, DN 25 mm (1''), aparente, instalada em parede - fornecimento e instalação. af_11/2016_p</t>
  </si>
  <si>
    <t>SF-00247</t>
  </si>
  <si>
    <t>Eletroduto de aço com costura galvanização eletrolítica Ø 2"</t>
  </si>
  <si>
    <t>FIXAÇÃO DE TUBOS VERTICAIS DE PPR DIÂMETROS MAIORES QUE 40 MM E MENORES OU IGUAIS A 75 MM COM ABRAÇADEIRA METÁLICA RÍGIDA TIPO D 2", FIXADA EM PERFILADO EM ALVENARIA. AF_05/2015</t>
  </si>
  <si>
    <t>M</t>
  </si>
  <si>
    <t>Luva de emenda para eletroduto, aço galvanizado, DN 50 mm (2''), aparente, instalada em parede - fornecimento e instalação. af_11/2016_p</t>
  </si>
  <si>
    <t>SF-00248</t>
  </si>
  <si>
    <t>Eletroduto de aço com costura galvanização eletrolítica Ø 3/4"</t>
  </si>
  <si>
    <t>Luva de emenda para eletroduto, aço galvanizado, DN 20 mm (3/4''), aparente, instalada em parede - fornecimento e instalação. af_11/2016_p</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</si>
  <si>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</si>
  <si>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</si>
  <si>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</si>
  <si>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</si>
  <si>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</si>
  <si>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</si>
  <si>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</si>
  <si>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</si>
  <si>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</si>
  <si>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</si>
  <si>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</si>
  <si>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</si>
  <si>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</si>
  <si>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</si>
  <si>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</si>
  <si>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</si>
  <si>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</si>
  <si>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</si>
  <si>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</si>
  <si>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</si>
  <si>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</si>
  <si>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</si>
  <si>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</si>
  <si>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</si>
  <si>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</si>
  <si>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</si>
  <si>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</si>
  <si>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</si>
  <si>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</si>
  <si>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</si>
  <si>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</si>
  <si>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</si>
  <si>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</si>
  <si>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</si>
  <si>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</si>
  <si>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</si>
  <si>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TOMADA 2P+T 10A, 250V  (APENAS MODULO)</t>
  </si>
  <si>
    <t>SF-00264</t>
  </si>
  <si>
    <t>TOMADA 2P+T 20A, 250V  (APENAS MODULO)</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</si>
  <si>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</si>
  <si>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</si>
  <si>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</si>
  <si>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</si>
  <si>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</si>
  <si>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</si>
  <si>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</si>
  <si>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</si>
  <si>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</si>
  <si>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</si>
  <si>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</si>
  <si>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</si>
  <si>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</si>
  <si>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</si>
  <si>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</si>
  <si>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</si>
  <si>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</si>
  <si>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</si>
  <si>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</si>
  <si>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</si>
  <si>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</si>
  <si>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</si>
  <si>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</si>
  <si>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</si>
  <si>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</si>
  <si>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</si>
  <si>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</si>
  <si>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</si>
  <si>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</si>
  <si>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</si>
  <si>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</si>
  <si>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</si>
  <si>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</si>
  <si>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</si>
  <si>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</si>
  <si>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</si>
  <si>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</si>
  <si>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</si>
  <si>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</si>
  <si>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</si>
  <si>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</si>
  <si>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</si>
  <si>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</si>
  <si>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</si>
  <si>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</si>
  <si>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</si>
  <si>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</si>
  <si>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dispositovos de proteção contra surto (DPS), módulo diferencial residual (DR), borneiras, barramentos e outros itens necessários, conforme especificação</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</si>
  <si>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</si>
  <si>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</si>
  <si>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</si>
  <si>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</si>
  <si>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</si>
  <si>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</si>
  <si>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</si>
  <si>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</si>
  <si>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</si>
  <si>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</si>
  <si>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</si>
  <si>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</si>
  <si>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</si>
  <si>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</si>
  <si>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</si>
  <si>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</si>
  <si>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</si>
  <si>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</si>
  <si>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</si>
  <si>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</si>
  <si>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</si>
  <si>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</si>
  <si>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</si>
  <si>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</si>
  <si>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</si>
  <si>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</si>
  <si>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</si>
  <si>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</si>
  <si>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</si>
  <si>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</si>
  <si>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</si>
  <si>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</si>
  <si>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</si>
  <si>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</si>
  <si>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</si>
  <si>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</si>
  <si>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</si>
  <si>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</si>
  <si>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</si>
  <si>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</si>
  <si>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</si>
  <si>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</si>
  <si>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</si>
  <si>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</si>
  <si>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</si>
  <si>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</si>
  <si>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</si>
  <si>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</si>
  <si>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</si>
  <si>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</si>
  <si>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</si>
  <si>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</si>
  <si>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</si>
  <si>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</si>
  <si>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</si>
  <si>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</si>
  <si>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</si>
  <si>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</si>
  <si>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</si>
  <si>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</si>
  <si>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</si>
  <si>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</si>
  <si>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</si>
  <si>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</si>
  <si>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</si>
  <si>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</si>
  <si>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</si>
  <si>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</si>
  <si>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</si>
  <si>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</si>
  <si>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</si>
  <si>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</si>
  <si>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</si>
  <si>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</si>
  <si>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</si>
  <si>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</si>
  <si>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</si>
  <si>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</si>
  <si>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</si>
  <si>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</si>
  <si>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</si>
  <si>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</si>
  <si>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</si>
  <si>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</si>
  <si>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</si>
  <si>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</si>
  <si>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</si>
  <si>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</si>
  <si>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</si>
  <si>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</si>
  <si>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</si>
  <si>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</si>
  <si>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</si>
  <si>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</si>
  <si>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</si>
  <si>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</si>
  <si>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</si>
  <si>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</si>
  <si>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</si>
  <si>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</si>
  <si>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</si>
  <si>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</si>
  <si>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</si>
  <si>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</si>
  <si>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</si>
  <si>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</si>
  <si>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</si>
  <si>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</si>
  <si>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</si>
  <si>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</si>
  <si>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</si>
  <si>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</si>
  <si>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</si>
  <si>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</si>
  <si>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</si>
  <si>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</si>
  <si>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</si>
  <si>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</si>
  <si>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</si>
  <si>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</si>
  <si>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</si>
  <si>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</si>
  <si>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</si>
  <si>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</si>
  <si>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Painel de TV de 120 x 180 cm, fabricado em MDP. Ref.: Urbe Móveis Plus</t>
  </si>
  <si>
    <t>SF-00357</t>
  </si>
  <si>
    <t>Painel de TV de 160 x 160 cm, fabricado em MDP. Ref.: HB Móveis Life Canyon, HB Móveis Livin</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</si>
  <si>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</si>
  <si>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</si>
  <si>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</si>
  <si>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</si>
  <si>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</si>
  <si>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</si>
  <si>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</si>
  <si>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</si>
  <si>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</si>
  <si>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</si>
  <si>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</si>
  <si>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</si>
  <si>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</si>
  <si>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</si>
  <si>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</si>
  <si>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</si>
  <si>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</si>
  <si>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</si>
  <si>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</si>
  <si>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</si>
  <si>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</si>
  <si>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</si>
  <si>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</si>
  <si>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</si>
  <si>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</si>
  <si>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</si>
  <si>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</si>
  <si>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</si>
  <si>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</si>
  <si>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</si>
  <si>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</si>
  <si>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</si>
  <si>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</si>
  <si>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</si>
  <si>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</si>
  <si>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</si>
  <si>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</si>
  <si>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</si>
  <si>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</si>
  <si>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</si>
  <si>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</si>
  <si>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</si>
  <si>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</si>
  <si>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</si>
  <si>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</si>
  <si>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</si>
  <si>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</si>
  <si>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</si>
  <si>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</si>
  <si>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</si>
  <si>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</si>
  <si>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</si>
  <si>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</si>
  <si>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</si>
  <si>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</si>
  <si>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</si>
  <si>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</si>
  <si>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</si>
  <si>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</si>
  <si>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</si>
  <si>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</si>
  <si>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</si>
  <si>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</si>
  <si>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</si>
  <si>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</si>
  <si>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</si>
  <si>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</si>
  <si>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</si>
  <si>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</si>
  <si>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</si>
  <si>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</si>
  <si>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</si>
  <si>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</si>
  <si>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</si>
  <si>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</si>
  <si>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</si>
  <si>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</si>
  <si>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</si>
  <si>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</si>
  <si>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</si>
  <si>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</si>
  <si>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</si>
  <si>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</si>
  <si>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</si>
  <si>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</si>
  <si>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</si>
  <si>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</si>
  <si>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</si>
  <si>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</si>
  <si>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</si>
  <si>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</si>
  <si>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</si>
  <si>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</si>
  <si>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</si>
  <si>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</si>
  <si>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</si>
  <si>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</si>
  <si>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</si>
  <si>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</si>
  <si>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</si>
  <si>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</si>
  <si>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</si>
  <si>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</si>
  <si>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</si>
  <si>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</si>
  <si>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</si>
  <si>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</si>
  <si>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</si>
  <si>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</si>
  <si>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</si>
  <si>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</si>
  <si>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</si>
  <si>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</si>
  <si>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</si>
  <si>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</si>
  <si>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</si>
  <si>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</si>
  <si>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</si>
  <si>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</si>
  <si>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</si>
  <si>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</si>
  <si>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</si>
  <si>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</si>
  <si>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</si>
  <si>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</si>
  <si>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</si>
  <si>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</si>
  <si>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</si>
  <si>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</si>
  <si>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</si>
  <si>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</si>
  <si>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</si>
  <si>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</si>
  <si>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</si>
  <si>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</si>
  <si>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</si>
  <si>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</si>
  <si>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</si>
  <si>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</si>
  <si>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</si>
  <si>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</si>
  <si>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</si>
  <si>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</si>
  <si>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</si>
  <si>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</si>
  <si>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</si>
  <si>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</si>
  <si>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</si>
  <si>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</si>
  <si>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</si>
  <si>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</si>
  <si>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</si>
  <si>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</si>
  <si>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</si>
  <si>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</si>
  <si>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</si>
  <si>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</si>
  <si>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</si>
  <si>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</si>
  <si>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</si>
  <si>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</si>
  <si>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</si>
  <si>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</si>
  <si>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</si>
  <si>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</si>
  <si>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</si>
  <si>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</si>
  <si>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</si>
  <si>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</si>
  <si>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</si>
  <si>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</si>
  <si>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</si>
  <si>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</si>
  <si>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</si>
  <si>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</si>
  <si>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</si>
  <si>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</si>
  <si>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</si>
  <si>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</si>
  <si>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</si>
  <si>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</si>
  <si>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</si>
  <si>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</si>
  <si>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</si>
  <si>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</si>
  <si>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</si>
  <si>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</si>
  <si>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</si>
  <si>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</si>
  <si>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</si>
  <si>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</si>
  <si>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</si>
  <si>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</si>
  <si>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</si>
  <si>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</si>
  <si>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</si>
  <si>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</si>
  <si>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</si>
  <si>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</si>
  <si>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</si>
  <si>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</si>
  <si>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</si>
  <si>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</si>
  <si>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</si>
  <si>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</si>
  <si>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</si>
  <si>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</si>
  <si>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</si>
  <si>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</si>
  <si>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</si>
  <si>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CORTE E DOBRA DE AÇO CA-50, DIÂMETRO DE 8,0 MM, UTILIZADO EM ESTRUTURAS DIVERSAS, EXCETO LAJES. AF_12/2015</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</si>
  <si>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</si>
  <si>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</si>
  <si>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</si>
  <si>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</si>
  <si>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</si>
  <si>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</si>
  <si>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</si>
  <si>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</si>
  <si>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</si>
  <si>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</si>
  <si>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</si>
  <si>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</si>
  <si>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</si>
  <si>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</si>
  <si>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</si>
  <si>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</si>
  <si>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</si>
  <si>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</si>
  <si>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</si>
  <si>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</si>
  <si>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</si>
  <si>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</si>
  <si>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</si>
  <si>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</si>
  <si>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</si>
  <si>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</si>
  <si>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</si>
  <si>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</si>
  <si>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</si>
  <si>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</si>
  <si>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</si>
  <si>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</si>
  <si>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CORTE E DOBRA DE AÇO CA-50, DIÂMETRO DE 12,5 MM, UTILIZADO EM ESTRUTURAS DIVERSAS, EXCETO LAJES. AF_12/2015</t>
  </si>
  <si>
    <t>SF-00917</t>
  </si>
  <si>
    <t>CORTE E DOBRA DE AÇO CA-50, DIÂMETRO DE 20,0 MM, UTILIZADO EM ESTRUTURAS DIVERSAS, EXCETO LAJES. AF_12/2015</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</si>
  <si>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</si>
  <si>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</si>
  <si>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</si>
  <si>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</si>
  <si>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</si>
  <si>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</si>
  <si>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</si>
  <si>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</si>
  <si>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</si>
  <si>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</si>
  <si>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</si>
  <si>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</si>
  <si>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</si>
  <si>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</si>
  <si>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</si>
  <si>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</si>
  <si>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</si>
  <si>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</si>
  <si>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</si>
  <si>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</si>
  <si>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</si>
  <si>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</si>
  <si>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</si>
  <si>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VEDACAO PVC, 100 MM, PARA SAIDA VASO SANITARIO</t>
  </si>
  <si>
    <t>BACIA SANITARIA (VASO) CONVENCIONAL PARA PCD SEM FURO FRONTAL, DE LOUCA BRANCA, SEM ASSENTO</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</si>
  <si>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</si>
  <si>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</si>
  <si>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</si>
  <si>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</si>
  <si>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</si>
  <si>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</si>
  <si>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</si>
  <si>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</si>
  <si>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</si>
  <si>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</si>
  <si>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</si>
  <si>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</si>
  <si>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</si>
  <si>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</si>
  <si>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</si>
  <si>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</si>
  <si>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</si>
  <si>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</si>
  <si>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</si>
  <si>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</si>
  <si>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</si>
  <si>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</si>
  <si>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</si>
  <si>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</si>
  <si>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</si>
  <si>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</si>
  <si>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</si>
  <si>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</si>
  <si>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</si>
  <si>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</si>
  <si>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</si>
  <si>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</si>
  <si>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</si>
  <si>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</si>
  <si>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</si>
  <si>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</si>
  <si>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</si>
  <si>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</si>
  <si>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</si>
  <si>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</si>
  <si>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</si>
  <si>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</si>
  <si>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</si>
  <si>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</si>
  <si>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</si>
  <si>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</si>
  <si>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</si>
  <si>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</si>
  <si>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</si>
  <si>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</si>
  <si>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</si>
  <si>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</si>
  <si>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</si>
  <si>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</si>
  <si>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</si>
  <si>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</si>
  <si>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</si>
  <si>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</si>
  <si>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</si>
  <si>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</si>
  <si>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</si>
  <si>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</si>
  <si>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</si>
  <si>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</si>
  <si>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</si>
  <si>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</si>
  <si>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</si>
  <si>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</si>
  <si>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</si>
  <si>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</si>
  <si>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</si>
  <si>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</si>
  <si>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</si>
  <si>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</si>
  <si>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</si>
  <si>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</si>
  <si>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</si>
  <si>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</si>
  <si>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</si>
  <si>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</si>
  <si>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</si>
  <si>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</si>
  <si>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</si>
  <si>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</si>
  <si>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</si>
  <si>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</si>
  <si>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</si>
  <si>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</si>
  <si>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</si>
  <si>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</si>
  <si>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</si>
  <si>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</si>
  <si>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</si>
  <si>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</si>
  <si>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</si>
  <si>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</si>
  <si>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</si>
  <si>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</si>
  <si>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</si>
  <si>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</si>
  <si>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</si>
  <si>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</si>
  <si>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</si>
  <si>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</si>
  <si>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</si>
  <si>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</si>
  <si>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</si>
  <si>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</si>
  <si>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</si>
  <si>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</si>
  <si>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</si>
  <si>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</si>
  <si>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</si>
  <si>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</si>
  <si>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</si>
  <si>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</si>
  <si>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</si>
  <si>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</si>
  <si>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</si>
  <si>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</si>
  <si>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</si>
  <si>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</si>
  <si>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</si>
  <si>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</si>
  <si>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</si>
  <si>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</si>
  <si>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</si>
  <si>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</si>
  <si>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</si>
  <si>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</si>
  <si>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</si>
  <si>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</si>
  <si>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</si>
  <si>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</si>
  <si>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</si>
  <si>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</si>
  <si>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</si>
  <si>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</si>
  <si>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</si>
  <si>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</si>
  <si>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</si>
  <si>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</si>
  <si>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</si>
  <si>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</si>
  <si>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</si>
  <si>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</si>
  <si>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</si>
  <si>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LOCACAO DE CONTAINER 2,30  X  6,00 M, ALT. 2,50 M, COM 1 SANITARIO, PARA ESCRITORIO, COMPLETO, SEM DIVISORIAS INTERNAS</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</si>
  <si>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</si>
  <si>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</si>
  <si>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</si>
  <si>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</si>
  <si>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</si>
  <si>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</si>
  <si>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</si>
  <si>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</si>
  <si>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</si>
  <si>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</si>
  <si>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POLIDORA DE PISO (POLITRIZ), PESO DE 100KG, DIÂMETRO 450 MM, MOTOR ELÉTRICO, POTÊNCIA 4 HP - CHP DIURNO. AF_09/2016</t>
  </si>
  <si>
    <t>POLIDORA DE PISO (POLITRIZ), PESO DE 100KG, DIÂMETRO 450 MM, MOTOR ELÉTRICO, POTÊNCIA 4 HP - CHI DIURNO. AF_09/2016</t>
  </si>
  <si>
    <t>SF-01029</t>
  </si>
  <si>
    <t>LOCACAO DE CONTAINER 2,30 X 6,00 M, ALT. 2,50 M,  PARA SANITARIO,  COM 4 BACIAS, 8 CHUVEIROS,1 LAVATORIO E 1 MICTORIO</t>
  </si>
  <si>
    <t>SF-01030</t>
  </si>
  <si>
    <t>LOCACAO DE CONTAINER 2,30  X  6,00 M, ALT. 2,50 M, PARA ESCRITORIO, SEM DIVISORIAS INTERNAS E SEM SANITARIO</t>
  </si>
  <si>
    <t>SF-01031</t>
  </si>
  <si>
    <t>PLACA DE OBRA (PARA CONSTRUCAO CIVIL) EM CHAPA GALVANIZADA *N. 22*, ADESIVADA, DE *2,0 X 1,125* M</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</si>
  <si>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</si>
  <si>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</si>
  <si>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</si>
  <si>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</si>
  <si>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</si>
  <si>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</si>
  <si>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</si>
  <si>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</si>
  <si>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</si>
  <si>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</si>
  <si>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</si>
  <si>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</si>
  <si>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GUARNICAO/MOLDURA DE ACABAMENTO PARA ESQUADRIA DE ALUMINIO ANODIZADO NATURAL, PARA 1 FACE</t>
  </si>
  <si>
    <t>PORTA DE ABRIR EM ALUMINIO TIPO VENEZIANA, ACABAMENTO ANODIZADO NATURAL, SEM GUARNICAO/ALIZAR/VISTA, 87 X 210 CM</t>
  </si>
  <si>
    <t>Pedreiro com encargos complementares</t>
  </si>
  <si>
    <t>SF-01061</t>
  </si>
  <si>
    <t>JANELA MAXIM AR EM ALUMINIO, 80 X 60 CM (A X L), BATENTE/REQUADRO DE 4 A 14 CM, COM VIDRO, SEM GUARNICAO/ALIZAR</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</si>
  <si>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</si>
  <si>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</si>
  <si>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</si>
  <si>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</si>
  <si>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</si>
  <si>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</si>
  <si>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</si>
  <si>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</si>
  <si>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</si>
  <si>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</si>
  <si>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</si>
  <si>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</si>
  <si>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</si>
  <si>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</si>
  <si>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</si>
  <si>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</si>
  <si>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CHAPA DE MADEIRA COMPENSADA RESINADA PARA FORMA DE CONCRETO, DE *2,2 X 1,1* M, E = 17 MM</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</si>
  <si>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</si>
  <si>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</si>
  <si>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</si>
  <si>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</si>
  <si>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</si>
  <si>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</si>
  <si>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</si>
  <si>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CONCRETO FCK = 15MPA, TRAÇO 1:3,4:3,5 (CIMENTO/ AREIA MÉDIA/ BRITA 1)  - PREPARO MECÂNICO COM BETONEIRA 600 L. AF_07/2016</t>
  </si>
  <si>
    <t>SF-01066</t>
  </si>
  <si>
    <t>ELETRODUTO/DUTO PEAD FLEXIVEL PAREDE SIMPLES, CORRUGACAO HELICOIDAL, COR PRETA, SEM ROSCA, DE 3",  PARA CABEAMENTO SUBTERRANEO (NBR 15715)</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</si>
  <si>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</si>
  <si>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</si>
  <si>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</si>
  <si>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</si>
  <si>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</si>
  <si>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</si>
  <si>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</si>
  <si>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</si>
  <si>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</si>
  <si>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</si>
  <si>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</si>
  <si>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PISO TATIL ALERTA OU DIRECIONAL, DE BORRACHA, COLORIDO, 25 X 25 CM, E = 5 MM, PARA COLA</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</si>
  <si>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</si>
  <si>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</si>
  <si>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</si>
  <si>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</si>
  <si>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</si>
  <si>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</si>
  <si>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</si>
  <si>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</si>
  <si>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</si>
  <si>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</si>
  <si>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</si>
  <si>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</si>
  <si>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</si>
  <si>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</si>
  <si>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</si>
  <si>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</si>
  <si>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</si>
  <si>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</si>
  <si>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</si>
  <si>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</si>
  <si>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</si>
  <si>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</si>
  <si>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</si>
  <si>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</si>
  <si>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</si>
  <si>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</si>
  <si>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</si>
  <si>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</si>
  <si>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</si>
  <si>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</si>
  <si>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</si>
  <si>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</si>
  <si>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</si>
  <si>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</si>
  <si>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</si>
  <si>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</si>
  <si>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</si>
  <si>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</si>
  <si>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</si>
  <si>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</si>
  <si>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</si>
  <si>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</si>
  <si>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</si>
  <si>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</si>
  <si>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</si>
  <si>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</si>
  <si>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</si>
  <si>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</si>
  <si>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</si>
  <si>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</si>
  <si>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</si>
  <si>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</si>
  <si>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</si>
  <si>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</si>
  <si>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</si>
  <si>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</si>
  <si>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JUNTA PLASTICA DE DILATACAO PARA PISOS, COR CINZA, 17 X 3 MM (ALTURA X ESPESSURA)</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</si>
  <si>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</si>
  <si>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</si>
  <si>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</si>
  <si>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</si>
  <si>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</si>
  <si>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</si>
  <si>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</si>
  <si>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</si>
  <si>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</si>
  <si>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</si>
  <si>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</si>
  <si>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</si>
  <si>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</si>
  <si>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</si>
  <si>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</si>
  <si>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</si>
  <si>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</si>
  <si>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</si>
  <si>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</si>
  <si>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</si>
  <si>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</si>
  <si>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SISAL EM FIBRA</t>
  </si>
  <si>
    <t>CENTO</t>
  </si>
  <si>
    <t>GESSEIRO COM ENCARGOS COMPLEMENTARES</t>
  </si>
  <si>
    <t>SF-01120</t>
  </si>
  <si>
    <t>MASSA PARA TEXTURA LISA DE BASE ACRILICA, USO INTERNO E EXTERNO</t>
  </si>
  <si>
    <t>SF-01121</t>
  </si>
  <si>
    <t>TINTA ACRILICA PREMIUM, COR BRANCO FOSCO</t>
  </si>
  <si>
    <t>Obs.: Acréscimo de 15% no coeficiente da tinta para suprir a diferença de preço da tinta branca para as tintas de cores especiais.</t>
  </si>
  <si>
    <t>SF-01122</t>
  </si>
  <si>
    <t>SF-01123</t>
  </si>
  <si>
    <t>SF-01124</t>
  </si>
  <si>
    <t>PRIMER EPOXI</t>
  </si>
  <si>
    <t>GL</t>
  </si>
  <si>
    <t>SF-01125</t>
  </si>
  <si>
    <t>SOLVENTE DILUENTE A BASE DE AGUARRAS</t>
  </si>
  <si>
    <t>SF-01126</t>
  </si>
  <si>
    <t>Carga inerte para tratamento antiderrapante em piso (ref.: Sikadur 512 ou 515)</t>
  </si>
  <si>
    <t>SF-01127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</si>
  <si>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</si>
  <si>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</si>
  <si>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</si>
  <si>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</si>
  <si>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</si>
  <si>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</si>
  <si>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</si>
  <si>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</si>
  <si>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</si>
  <si>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</si>
  <si>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</si>
  <si>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</si>
  <si>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</si>
  <si>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</si>
  <si>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</si>
  <si>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</si>
  <si>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</si>
  <si>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</si>
  <si>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</si>
  <si>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</si>
  <si>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</si>
  <si>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</si>
  <si>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</si>
  <si>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</si>
  <si>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</si>
  <si>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</si>
  <si>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</si>
  <si>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</si>
  <si>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</si>
  <si>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</si>
  <si>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</si>
  <si>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</si>
  <si>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</si>
  <si>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</si>
  <si>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</si>
  <si>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</si>
  <si>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</si>
  <si>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</si>
  <si>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</si>
  <si>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</si>
  <si>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</si>
  <si>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CAMINHÃO TOCO, PBT 16.000 KG, CARGA ÚTIL MÁX. 10.685 KG, DIST. ENTRE EIXOS 4,8 M, POTÊNCIA 189 CV, INCLUSIVE CARROCERIA FIXA ABERTA DE MADEIRA P/ TRANSPORTE GERAL DE CARGA SECA, DIMEN. APROX. 2,5 X 7,00 X 0,50 M - CHP DIURNO. AF_06/2014</t>
  </si>
  <si>
    <t>TINTA A BASE DE RESINA ACRILICA, PARA SINALIZACAO HORIZONTAL VIARIA (NBR 11862)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</si>
  <si>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</si>
  <si>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</si>
  <si>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</si>
  <si>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</si>
  <si>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</si>
  <si>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</si>
  <si>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</si>
  <si>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</si>
  <si>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</si>
  <si>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</si>
  <si>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</si>
  <si>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</si>
  <si>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</si>
  <si>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</si>
  <si>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</si>
  <si>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</si>
  <si>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</si>
  <si>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</si>
  <si>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</si>
  <si>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</si>
  <si>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</si>
  <si>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</si>
  <si>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</si>
  <si>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</si>
  <si>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</si>
  <si>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</si>
  <si>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</si>
  <si>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</si>
  <si>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</si>
  <si>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</si>
  <si>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</si>
  <si>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</si>
  <si>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</si>
  <si>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</si>
  <si>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</si>
  <si>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</si>
  <si>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</si>
  <si>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</si>
  <si>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</si>
  <si>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</si>
  <si>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PASTA LUBRIFICANTE PARA TUBOS E CONEXOES COM JUNTA ELASTICA (USO EM PVC, ACO, POLIETILENO E OUTROS) ( DE *400* G)</t>
  </si>
  <si>
    <t>ADESIVO PLASTICO PARA PVC, FRASCO COM 850 GR</t>
  </si>
  <si>
    <t>SOLUCAO LIMPADORA PARA PVC, FRASCO COM 1000 CM3</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</si>
  <si>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</si>
  <si>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</si>
  <si>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</si>
  <si>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</si>
  <si>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</si>
  <si>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</si>
  <si>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</si>
  <si>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</si>
  <si>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</si>
  <si>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</si>
  <si>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</si>
  <si>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</si>
  <si>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</si>
  <si>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</si>
  <si>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</si>
  <si>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</si>
  <si>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</si>
  <si>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</si>
  <si>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</si>
  <si>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</si>
  <si>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</si>
  <si>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</si>
  <si>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</si>
  <si>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</si>
  <si>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</si>
  <si>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</si>
  <si>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</si>
  <si>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</si>
  <si>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</si>
  <si>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TELA DE ACO SOLDADA NERVURADA, CA-60, Q-92, (1,48 KG/M2), DIAMETRO DO FIO = 4,2 MM, LARGURA = 2,45 X 60 M DE COMPRIMENTO, ESPACAMENTO DA MALHA = 15  X 15 CM</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</si>
  <si>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</si>
  <si>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</si>
  <si>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</si>
  <si>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</si>
  <si>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</si>
  <si>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</si>
  <si>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</si>
  <si>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</si>
  <si>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</si>
  <si>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</si>
  <si>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</si>
  <si>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</si>
  <si>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</si>
  <si>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</si>
  <si>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</si>
  <si>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</si>
  <si>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</si>
  <si>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</si>
  <si>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</si>
  <si>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</si>
  <si>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</si>
  <si>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</si>
  <si>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</si>
  <si>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</si>
  <si>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</si>
  <si>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</si>
  <si>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</si>
  <si>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</si>
  <si>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</si>
  <si>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</si>
  <si>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</si>
  <si>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</si>
  <si>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</si>
  <si>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</si>
  <si>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</si>
  <si>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</si>
  <si>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</si>
  <si>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</si>
  <si>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</si>
  <si>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</si>
  <si>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</si>
  <si>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</si>
  <si>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</si>
  <si>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</si>
  <si>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</si>
  <si>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</si>
  <si>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COMPOSIÇÕES DE CUSTO UNITÁRIO AUXILIARES DE 1º NÍVEL</t>
  </si>
  <si>
    <t>TOTAL</t>
  </si>
  <si>
    <t>Servente com encargos complementares</t>
  </si>
  <si>
    <t>Encanador ou bombeiro hidráulico com encargos complementares</t>
  </si>
  <si>
    <t>Abracadeira em aco para amarracao de eletrodutos, tipo D, com 1/2" e parafuso de fixacao</t>
  </si>
  <si>
    <t>Chapa de madeira compensada resinada para forma de concreto, de *2,2 x 1,1* m, e = 17 mm</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</si>
  <si>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</si>
  <si>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</si>
  <si>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</si>
  <si>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</si>
  <si>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</si>
  <si>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</si>
  <si>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</si>
  <si>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</si>
  <si>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</si>
  <si>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</si>
  <si>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</si>
  <si>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</si>
  <si>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</si>
  <si>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</si>
  <si>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</si>
  <si>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Fixação de tubos verticais de PPR diâmetros maiores que 40 mm e menores ou iguais a 75 mm com abraçadeira metálica rígida tipo D 2", fixada em perfilado em alvenaria. af_05/2015</t>
  </si>
  <si>
    <t>Abracadeira em aco para amarracao de eletrodutos, tipo D, com 2" e parafuso de fixacao</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</si>
  <si>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</si>
  <si>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</si>
  <si>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ACO CA-50, 20,0 MM OU 25,0 MM, VERGALHAO</t>
  </si>
  <si>
    <t>Vibrador de imersão, diâmetro de ponteira 45mm, motor elétrico trifásico potência de 2 CV - CHP diurno. AF_06/2015</t>
  </si>
  <si>
    <t>Vibrador de imersão, diâmetro de ponteira 45mm, motor elétrico trifásico potência de 2 CV - CHI diurno. AF_06/2015</t>
  </si>
  <si>
    <t>M3XKM</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</si>
  <si>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</si>
  <si>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</si>
  <si>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</si>
  <si>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BATENTE/ PORTAL/ ADUELA/ MARCO MACICO, E= *3 CM, L= *13 CM, *60 CM A 120* CM X *210 CM,  EM CEDRINHO/ ANGELIM COMERCIAL/ EUCALIPTO/ CURUPIXA/ PEROBA/ CUMARU OU EQUIVALENTE DA REGIAO (NAO INCLUI ALIZARES)</t>
  </si>
  <si>
    <t>JG</t>
  </si>
  <si>
    <t>PREGO DE ACO POLIDO COM CABECA 12 X 12</t>
  </si>
  <si>
    <t>CORTE E DOBRA DE AÇO CA-60, DIÂMETRO DE 4,2 MM, UTILIZADO EM LAJE. AF_12/2015</t>
  </si>
  <si>
    <t>Contrapiso em argamassa traço 1:4 (cimento e areia), preparo mecânico com betoneira 400 l, aplicado em áreas secas sobre laje, aderido, espessura 3cm. AF_06/2014</t>
  </si>
  <si>
    <t>Fixação de tubos verticais de PPR diâmetros maiores que 40 mm e menores ou iguais a 75 mm com abraçadeira metálica rígida tipo D 1 1/2", fixada em perfilado em alvenaria. af_05/2015</t>
  </si>
  <si>
    <t>Abracadeira em aco para amarracao de eletrodutos, tipo D, com 1 1/2" e parafuso de fixacao</t>
  </si>
  <si>
    <t>CONCRETO MAGRO PARA LASTRO, TRAÇO 1:4,5:4,5 (CIMENTO/ AREIA MÉDIA/ BRITA 1)  - PREPARO MECÂNICO COM BETONEIRA 400 L. AF_07/2016</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</si>
  <si>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</si>
  <si>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</si>
  <si>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</si>
  <si>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</si>
  <si>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</si>
  <si>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</si>
  <si>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</si>
  <si>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</si>
  <si>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</si>
  <si>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</si>
  <si>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</si>
  <si>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</si>
  <si>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</si>
  <si>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</si>
  <si>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</si>
  <si>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</si>
  <si>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</si>
  <si>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</si>
  <si>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</si>
  <si>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</si>
  <si>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</si>
  <si>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</si>
  <si>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</si>
  <si>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</si>
  <si>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</si>
  <si>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</si>
  <si>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</si>
  <si>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</si>
  <si>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</si>
  <si>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</si>
  <si>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</si>
  <si>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</si>
  <si>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</si>
  <si>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</si>
  <si>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</si>
  <si>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</si>
  <si>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</si>
  <si>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</si>
  <si>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</si>
  <si>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</si>
  <si>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</si>
  <si>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</si>
  <si>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</si>
  <si>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</si>
  <si>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</si>
  <si>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</si>
  <si>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</si>
  <si>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</si>
  <si>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</si>
  <si>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</si>
  <si>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</si>
  <si>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</si>
  <si>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</si>
  <si>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</si>
  <si>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</si>
  <si>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</si>
  <si>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</si>
  <si>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</si>
  <si>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</si>
  <si>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</si>
  <si>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</si>
  <si>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</si>
  <si>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</si>
  <si>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</si>
  <si>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</si>
  <si>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</si>
  <si>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</si>
  <si>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</si>
  <si>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</si>
  <si>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</si>
  <si>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</si>
  <si>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</si>
  <si>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</si>
  <si>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</si>
  <si>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</si>
  <si>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</si>
  <si>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</si>
  <si>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</si>
  <si>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</si>
  <si>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</si>
  <si>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</si>
  <si>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</si>
  <si>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</si>
  <si>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</si>
  <si>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</si>
  <si>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</si>
  <si>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</si>
  <si>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</si>
  <si>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</si>
  <si>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</si>
  <si>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</si>
  <si>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</si>
  <si>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</si>
  <si>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</si>
  <si>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</si>
  <si>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</si>
  <si>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</si>
  <si>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</si>
  <si>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Tapume</t>
  </si>
  <si>
    <t>SF-00071</t>
  </si>
  <si>
    <t>Trole para linha de vida horizontal</t>
  </si>
  <si>
    <t>SF-00072</t>
  </si>
  <si>
    <t>Trole para travaqueda retrátil</t>
  </si>
  <si>
    <t>Abertura/fechamento rasgo em alvenaria</t>
  </si>
  <si>
    <t>Furo em concreto para diâmetros maiores que 75mm</t>
  </si>
  <si>
    <t>Concreto virado em betoneira, fck = 15 MPa</t>
  </si>
  <si>
    <t>Concreto virado em betoneira, fck = 25MPa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</si>
  <si>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</si>
  <si>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</si>
  <si>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</si>
  <si>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</si>
  <si>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</si>
  <si>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</si>
  <si>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</si>
  <si>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</si>
  <si>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</si>
  <si>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</si>
  <si>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</si>
  <si>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</si>
  <si>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</si>
  <si>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Reboco com argamassa industrializada e=2,0 cm</t>
  </si>
  <si>
    <t>Regularização com argamassa industrializada e=0,5 cm</t>
  </si>
  <si>
    <t>Tratamento de trincas superficiais</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</si>
  <si>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</si>
  <si>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</si>
  <si>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</si>
  <si>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</si>
  <si>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</si>
  <si>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</si>
  <si>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</si>
  <si>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</si>
  <si>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</si>
  <si>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(e=2cm)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</si>
  <si>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</si>
  <si>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</si>
  <si>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</si>
  <si>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</si>
  <si>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</si>
  <si>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</si>
  <si>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</si>
  <si>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</si>
  <si>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</si>
  <si>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</si>
  <si>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</si>
  <si>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</si>
  <si>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</si>
  <si>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</si>
  <si>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</si>
  <si>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</si>
  <si>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20mm para rodabancada</t>
  </si>
  <si>
    <t>Granito Cinza Andorinha 20mm para bancadas</t>
  </si>
  <si>
    <t>Granito Cinza Andorinha 20mm para divisória</t>
  </si>
  <si>
    <t>Granito Preto São Gabriel 20mm para rodabancada</t>
  </si>
  <si>
    <t>Granito Preto São Gabriel 20mm para bancadas</t>
  </si>
  <si>
    <t>Instalação de bancada de granito ou mármore reaproveitada</t>
  </si>
  <si>
    <t>Instalação de soleira ou peitoril, de mármore ou granito, reaproveitados</t>
  </si>
  <si>
    <t>Mármore Branco Especial 20mm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</si>
  <si>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</si>
  <si>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</si>
  <si>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</si>
  <si>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</si>
  <si>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</si>
  <si>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</si>
  <si>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</si>
  <si>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</si>
  <si>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</si>
  <si>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</si>
  <si>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</si>
  <si>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</si>
  <si>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</si>
  <si>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</si>
  <si>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6000mm</t>
  </si>
  <si>
    <t>Forro de PVC em réguas de 100 x 6000mm,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</si>
  <si>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</si>
  <si>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</si>
  <si>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</si>
  <si>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</si>
  <si>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</si>
  <si>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</si>
  <si>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</si>
  <si>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</si>
  <si>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</si>
  <si>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</si>
  <si>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</si>
  <si>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e=5 mm</t>
  </si>
  <si>
    <t>Instalação de vidro reaproveitado</t>
  </si>
  <si>
    <t>Substituição da calafetação com selante</t>
  </si>
  <si>
    <t>Vidro liso comum transparente 4mm</t>
  </si>
  <si>
    <t>Vidro liso comum transparente 6mm</t>
  </si>
  <si>
    <t>Instalação de painéis de vidro temperado reaproveitados</t>
  </si>
  <si>
    <t>Mola hidráulica de piso</t>
  </si>
  <si>
    <t>Instalação de persianas reaproveitadas</t>
  </si>
  <si>
    <t>SF-00162</t>
  </si>
  <si>
    <t>Persiana vertical em alumínio 90 mm, cor verde claro</t>
  </si>
  <si>
    <t>SF-00163</t>
  </si>
  <si>
    <t>Persiana vertical em tecido Juta Resinado sem blecaute de 90mm, cor bege</t>
  </si>
  <si>
    <t>SF-00164</t>
  </si>
  <si>
    <t>Persiana vertical em tecido sintético sem blecaute de 90mm, cores verde escuro ou branca</t>
  </si>
  <si>
    <t>SF-00165</t>
  </si>
  <si>
    <t>Película jateada</t>
  </si>
  <si>
    <t>Tubo de ligação para bacia sanitária</t>
  </si>
  <si>
    <t>Tubo PVC esgoto ou aguas pluviais predial DN 100mm</t>
  </si>
  <si>
    <t>Tubo PVC esgoto ou aguas pluviais predial DN 40mm</t>
  </si>
  <si>
    <t>Tubo PVC esgoto ou aguas pluviais predial DN 50mm</t>
  </si>
  <si>
    <t>Tubo PVC esgoto ou aguas pluviais predial DN 75mm</t>
  </si>
  <si>
    <t>Base registro gaveta 3/4"</t>
  </si>
  <si>
    <t>Caixa sifonada de PVC DN 150mm</t>
  </si>
  <si>
    <t>Caixa sifonada de PVC DN 250mm</t>
  </si>
  <si>
    <t>Grelha quadrada para ralo 10x10cm</t>
  </si>
  <si>
    <t>Grelha quadrada para ralo 15x15cm</t>
  </si>
  <si>
    <t>Ralo seco PVC DN 100x40mm</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</si>
  <si>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</si>
  <si>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</si>
  <si>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</si>
  <si>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</si>
  <si>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</si>
  <si>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</si>
  <si>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</si>
  <si>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</si>
  <si>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</si>
  <si>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</si>
  <si>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</si>
  <si>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</si>
  <si>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</si>
  <si>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</si>
  <si>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</si>
  <si>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</si>
  <si>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Barra de apoio 40cm – Linha Acessibilidade</t>
  </si>
  <si>
    <t>Barra de apoio 70cm – Linha Acessibilidade</t>
  </si>
  <si>
    <t>Barra de apoio 80cm – Linha Acessibilidade</t>
  </si>
  <si>
    <t>Barra de apoio lateral fixa 30cm – Linha Acessibilidade</t>
  </si>
  <si>
    <t>Lavatório suspenso – Linha Acessibilidade</t>
  </si>
  <si>
    <t>Lavatório suspenso com Coluna – Linha Acessibilidade</t>
  </si>
  <si>
    <t>Caixa 4x2 de embutir para alvenaria</t>
  </si>
  <si>
    <t>Caixa 4x4 de embutir para alvenaria</t>
  </si>
  <si>
    <t>Caixa de passagem em alumínio 100x100x50mm</t>
  </si>
  <si>
    <t>Caixa de passagem em alumínio 200x200x100mm</t>
  </si>
  <si>
    <t>Caixa de passagem em PVC 150x150x75mm</t>
  </si>
  <si>
    <t>Caixa para piso elevado</t>
  </si>
  <si>
    <t>Canaleta em alumínio aparente 73mmx25mm</t>
  </si>
  <si>
    <t>Eletrocalha 100x50 mm</t>
  </si>
  <si>
    <t>Eletrocalha 200x100 mm</t>
  </si>
  <si>
    <t>Eletrocalha 200x50 mm</t>
  </si>
  <si>
    <t>Eletrocalha 300x100 mm</t>
  </si>
  <si>
    <t>Eletrocalha 300x50 mm</t>
  </si>
  <si>
    <t>Eletrocalha 400x50 mm</t>
  </si>
  <si>
    <t>Eletrocalha 50x50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</si>
  <si>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</si>
  <si>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</si>
  <si>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</si>
  <si>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</si>
  <si>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</si>
  <si>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32mm)</t>
  </si>
  <si>
    <t>Eletroduto de PVC Corrugado Reforçado 3/4'' (DE 25mm)</t>
  </si>
  <si>
    <t>Eletroduto flexível metálico com capa de PVC 1’’</t>
  </si>
  <si>
    <t>Eletroduto flexível metálico com capa de PVC 3/4"</t>
  </si>
  <si>
    <t>Perfilado 38x38mm</t>
  </si>
  <si>
    <t>Espelho 4x2</t>
  </si>
  <si>
    <t>Espelho 4x4</t>
  </si>
  <si>
    <t>Interruptor para condulete</t>
  </si>
  <si>
    <t>Módulo interruptor paralelo</t>
  </si>
  <si>
    <t>Módulo interruptor simples</t>
  </si>
  <si>
    <t>Módulo tomada 10 A</t>
  </si>
  <si>
    <t>Módulo tomada 20 A</t>
  </si>
  <si>
    <t>Tampa cega metálica para caixas de piso 4x2</t>
  </si>
  <si>
    <t>Tampa cega metálica para caixas de piso 4x4</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</si>
  <si>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</si>
  <si>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</si>
  <si>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</si>
  <si>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</si>
  <si>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</si>
  <si>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</si>
  <si>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</si>
  <si>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</si>
  <si>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</si>
  <si>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</si>
  <si>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2,5 mm²</t>
  </si>
  <si>
    <t>Condutor 3x2,5 mm²</t>
  </si>
  <si>
    <t>Condutor 4 mm²</t>
  </si>
  <si>
    <t>Condutor 4x2,5 mm²</t>
  </si>
  <si>
    <t>Condutor 6 mm²</t>
  </si>
  <si>
    <t>Quadro elétrico TTA</t>
  </si>
  <si>
    <t>SF-00286</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</si>
  <si>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</si>
  <si>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</si>
  <si>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</si>
  <si>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</si>
  <si>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</si>
  <si>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</si>
  <si>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</si>
  <si>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</si>
  <si>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</si>
  <si>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</si>
  <si>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</si>
  <si>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</si>
  <si>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</si>
  <si>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</si>
  <si>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</si>
  <si>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</si>
  <si>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</si>
  <si>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</si>
  <si>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</si>
  <si>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</si>
  <si>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com caixa plenum AK6 360x360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</si>
  <si>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</si>
  <si>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</si>
  <si>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</si>
  <si>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</si>
  <si>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</si>
  <si>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</si>
  <si>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</si>
  <si>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</si>
  <si>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</si>
  <si>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</si>
  <si>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</si>
  <si>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</si>
  <si>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</si>
  <si>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</si>
  <si>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</si>
  <si>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</si>
  <si>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</si>
  <si>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</si>
  <si>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</si>
  <si>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</si>
  <si>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</si>
  <si>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</si>
  <si>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</si>
  <si>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</si>
  <si>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</si>
  <si>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</si>
  <si>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</si>
  <si>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</si>
  <si>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</si>
  <si>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</si>
  <si>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</si>
  <si>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</si>
  <si>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</si>
  <si>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</si>
  <si>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</si>
  <si>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</si>
  <si>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</si>
  <si>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</si>
  <si>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</si>
  <si>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</si>
  <si>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</si>
  <si>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</si>
  <si>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</si>
  <si>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</si>
  <si>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</si>
  <si>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</si>
  <si>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</si>
  <si>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</si>
  <si>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</si>
  <si>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</si>
  <si>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</si>
  <si>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</si>
  <si>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</si>
  <si>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</si>
  <si>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</si>
  <si>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</si>
  <si>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</si>
  <si>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</si>
  <si>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</si>
  <si>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</si>
  <si>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</si>
  <si>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</si>
  <si>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</si>
  <si>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</si>
  <si>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</si>
  <si>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</si>
  <si>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</si>
  <si>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</si>
  <si>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</si>
  <si>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</si>
  <si>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</si>
  <si>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</si>
  <si>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</si>
  <si>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SF-00383</t>
  </si>
  <si>
    <t>Veladura</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</si>
  <si>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</si>
  <si>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</si>
  <si>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</si>
  <si>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</si>
  <si>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</si>
  <si>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</si>
  <si>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</si>
  <si>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</si>
  <si>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</si>
  <si>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</si>
  <si>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</si>
  <si>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</si>
  <si>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</si>
  <si>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</si>
  <si>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</si>
  <si>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</si>
  <si>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</si>
  <si>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</si>
  <si>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</si>
  <si>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</si>
  <si>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</si>
  <si>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</si>
  <si>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- 10mm x 15mm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</si>
  <si>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</si>
  <si>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</si>
  <si>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</si>
  <si>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</si>
  <si>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</si>
  <si>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</si>
  <si>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</si>
  <si>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</si>
  <si>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</si>
  <si>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</si>
  <si>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</si>
  <si>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</si>
  <si>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</si>
  <si>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</si>
  <si>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</si>
  <si>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</si>
  <si>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</si>
  <si>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</si>
  <si>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</si>
  <si>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</si>
  <si>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</si>
  <si>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</si>
  <si>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</si>
  <si>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</si>
  <si>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</si>
  <si>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</si>
  <si>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</si>
  <si>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</si>
  <si>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</si>
  <si>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</si>
  <si>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</si>
  <si>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</si>
  <si>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</si>
  <si>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</si>
  <si>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</si>
  <si>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</si>
  <si>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</si>
  <si>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</si>
  <si>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</si>
  <si>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</si>
  <si>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</si>
  <si>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</si>
  <si>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</si>
  <si>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</si>
  <si>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</si>
  <si>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</si>
  <si>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</si>
  <si>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</si>
  <si>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</si>
  <si>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</si>
  <si>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</si>
  <si>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</si>
  <si>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</si>
  <si>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</si>
  <si>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</si>
  <si>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</si>
  <si>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</si>
  <si>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</si>
  <si>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</si>
  <si>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</si>
  <si>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</si>
  <si>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</si>
  <si>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</si>
  <si>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</si>
  <si>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25mm de diâmetro</t>
  </si>
  <si>
    <t>SF-00428</t>
  </si>
  <si>
    <t>Puxador em botão convexo de 25mm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</si>
  <si>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</si>
  <si>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</si>
  <si>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</si>
  <si>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</si>
  <si>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</si>
  <si>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</si>
  <si>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</si>
  <si>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</si>
  <si>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</si>
  <si>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</si>
  <si>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</si>
  <si>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</si>
  <si>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</si>
  <si>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</si>
  <si>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</si>
  <si>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</si>
  <si>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</si>
  <si>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</si>
  <si>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</si>
  <si>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</si>
  <si>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</si>
  <si>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</si>
  <si>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</si>
  <si>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</si>
  <si>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</si>
  <si>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</si>
  <si>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</si>
  <si>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</si>
  <si>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</si>
  <si>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</si>
  <si>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Puxador alça 102mm</t>
  </si>
  <si>
    <t>SF-00444</t>
  </si>
  <si>
    <t>Puxador tipo “C” em arco - 128mm</t>
  </si>
  <si>
    <t>SF-00445</t>
  </si>
  <si>
    <t>Puxador tipo “C” em arco - 96mm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</si>
  <si>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</si>
  <si>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</si>
  <si>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</si>
  <si>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</si>
  <si>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</si>
  <si>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</si>
  <si>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</si>
  <si>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</si>
  <si>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</si>
  <si>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</si>
  <si>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</si>
  <si>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</si>
  <si>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</si>
  <si>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</si>
  <si>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</si>
  <si>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</si>
  <si>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</si>
  <si>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</si>
  <si>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</si>
  <si>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</si>
  <si>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</si>
  <si>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</si>
  <si>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</si>
  <si>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</si>
  <si>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</si>
  <si>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</si>
  <si>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</si>
  <si>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</si>
  <si>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</si>
  <si>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</si>
  <si>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</si>
  <si>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25mmx25mm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</si>
  <si>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</si>
  <si>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</si>
  <si>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</si>
  <si>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</si>
  <si>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</si>
  <si>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</si>
  <si>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</si>
  <si>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</si>
  <si>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</si>
  <si>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</si>
  <si>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</si>
  <si>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</si>
  <si>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</si>
  <si>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</si>
  <si>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</si>
  <si>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</si>
  <si>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</si>
  <si>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</si>
  <si>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</si>
  <si>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</si>
  <si>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</si>
  <si>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</si>
  <si>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</si>
  <si>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</si>
  <si>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</si>
  <si>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</si>
  <si>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</si>
  <si>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</si>
  <si>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</si>
  <si>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</si>
  <si>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</si>
  <si>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</si>
  <si>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</si>
  <si>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</si>
  <si>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</si>
  <si>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</si>
  <si>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</si>
  <si>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</si>
  <si>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</si>
  <si>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</si>
  <si>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</si>
  <si>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</si>
  <si>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</si>
  <si>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</si>
  <si>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</si>
  <si>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</si>
  <si>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</si>
  <si>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</si>
  <si>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</si>
  <si>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</si>
  <si>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</si>
  <si>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</si>
  <si>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</si>
  <si>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</si>
  <si>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</si>
  <si>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</si>
  <si>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</si>
  <si>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</si>
  <si>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</si>
  <si>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</si>
  <si>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</si>
  <si>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</si>
  <si>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</si>
  <si>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Painel de MDF Laminado – Branco - 06mm</t>
  </si>
  <si>
    <t>SF-00495</t>
  </si>
  <si>
    <t>Painel de MDF Laminado – Ovo - 06mm</t>
  </si>
  <si>
    <t>SF-00496</t>
  </si>
  <si>
    <t>Painel de MDF Laminado - Branco - 15mm</t>
  </si>
  <si>
    <t>SF-00497</t>
  </si>
  <si>
    <t>Painel de MDF Laminado – Ovo - 15mm</t>
  </si>
  <si>
    <t>SF-00498</t>
  </si>
  <si>
    <t>Painel de MDF Laminado – Branco - 18mm</t>
  </si>
  <si>
    <t>SF-00499</t>
  </si>
  <si>
    <t>Painel de MDF Laminado – Ovo - 18mm</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</si>
  <si>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</si>
  <si>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</si>
  <si>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</si>
  <si>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</si>
  <si>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</si>
  <si>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</si>
  <si>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</si>
  <si>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</si>
  <si>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</si>
  <si>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</si>
  <si>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</si>
  <si>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</si>
  <si>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</si>
  <si>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</si>
  <si>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</si>
  <si>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</si>
  <si>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</si>
  <si>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</si>
  <si>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</si>
  <si>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</si>
  <si>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</si>
  <si>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</si>
  <si>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</si>
  <si>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</si>
  <si>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</si>
  <si>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</si>
  <si>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</si>
  <si>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</si>
  <si>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</si>
  <si>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</si>
  <si>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</si>
  <si>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Perfil trilho Stanley 60mm x 55mm, # 16</t>
  </si>
  <si>
    <t>SF-00516</t>
  </si>
  <si>
    <t>Perfil U Enrijecido 100mm x 50mm x 17mm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</si>
  <si>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</si>
  <si>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</si>
  <si>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</si>
  <si>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</si>
  <si>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</si>
  <si>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</si>
  <si>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</si>
  <si>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</si>
  <si>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</si>
  <si>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</si>
  <si>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</si>
  <si>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</si>
  <si>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</si>
  <si>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</si>
  <si>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</si>
  <si>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</si>
  <si>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</si>
  <si>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</si>
  <si>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</si>
  <si>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</si>
  <si>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</si>
  <si>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</si>
  <si>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</si>
  <si>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</si>
  <si>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</si>
  <si>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</si>
  <si>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</si>
  <si>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</si>
  <si>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</si>
  <si>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</si>
  <si>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</si>
  <si>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</si>
  <si>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</si>
  <si>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</si>
  <si>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</si>
  <si>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</si>
  <si>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</si>
  <si>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</si>
  <si>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</si>
  <si>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</si>
  <si>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</si>
  <si>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</si>
  <si>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</si>
  <si>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</si>
  <si>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</si>
  <si>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</si>
  <si>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</si>
  <si>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</si>
  <si>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</si>
  <si>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</si>
  <si>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</si>
  <si>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</si>
  <si>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</si>
  <si>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</si>
  <si>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</si>
  <si>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</si>
  <si>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</si>
  <si>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</si>
  <si>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</si>
  <si>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</si>
  <si>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</si>
  <si>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</si>
  <si>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</si>
  <si>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</si>
  <si>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</si>
  <si>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</si>
  <si>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</si>
  <si>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</si>
  <si>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</si>
  <si>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- 16x16 a 20x20 - chapa 18</t>
  </si>
  <si>
    <t>SF-00552</t>
  </si>
  <si>
    <t>Tubo quadrado em metalon - 25x25 a 40x40 - chapa 18</t>
  </si>
  <si>
    <t>SF-00553</t>
  </si>
  <si>
    <t>Tubo quadrado em metalon - 50x50 - chapa 18</t>
  </si>
  <si>
    <t>SF-00554</t>
  </si>
  <si>
    <t>Tubo retangular em metalon - 30x20 - chapa 18</t>
  </si>
  <si>
    <t>SF-00555</t>
  </si>
  <si>
    <t>Tubo retangular em metalon - 40x20 a 50x30 - chapa 18</t>
  </si>
  <si>
    <t>SF-00556</t>
  </si>
  <si>
    <t>Concertina simples em aço galvanizado, lâminas de 22 x 15mm, diâmetro 45 cm (rolo com 40 espiras)</t>
  </si>
  <si>
    <t>Rolo</t>
  </si>
  <si>
    <t>SF-00557</t>
  </si>
  <si>
    <t>Tela de estuque</t>
  </si>
  <si>
    <t>SF-00558</t>
  </si>
  <si>
    <t>Tela tipo galinheiro (hexagonal) galvanizada 2" BWG 22</t>
  </si>
  <si>
    <t>SF-00559</t>
  </si>
  <si>
    <t>Arame galvanizado, bitola 16 BWG (1,65mm)</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</si>
  <si>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</si>
  <si>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</si>
  <si>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</si>
  <si>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</si>
  <si>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</si>
  <si>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</si>
  <si>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</si>
  <si>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</si>
  <si>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</si>
  <si>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</si>
  <si>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</si>
  <si>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Argamassa Colante tipo AC III</t>
  </si>
  <si>
    <t>20 kg</t>
  </si>
  <si>
    <t>Gesso Para Uso Geral</t>
  </si>
  <si>
    <t>Areia Média</t>
  </si>
  <si>
    <t>Brita Nº 0</t>
  </si>
  <si>
    <t>Brita Nº 1</t>
  </si>
  <si>
    <t>Bloco Cerâmico De 08 Furos</t>
  </si>
  <si>
    <t>Tijolo Maciço</t>
  </si>
  <si>
    <t>Bloco De Concreto Com 02 Furos</t>
  </si>
  <si>
    <t>Bloco De Concreto Tipo Canaleta</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</si>
  <si>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</si>
  <si>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</si>
  <si>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</si>
  <si>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</si>
  <si>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</si>
  <si>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</si>
  <si>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</si>
  <si>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</si>
  <si>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</si>
  <si>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</si>
  <si>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</si>
  <si>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</si>
  <si>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</si>
  <si>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</si>
  <si>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</si>
  <si>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</si>
  <si>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</si>
  <si>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</si>
  <si>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</si>
  <si>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</si>
  <si>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</si>
  <si>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</si>
  <si>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</si>
  <si>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</si>
  <si>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</si>
  <si>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</si>
  <si>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</si>
  <si>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</si>
  <si>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</si>
  <si>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</si>
  <si>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</si>
  <si>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</si>
  <si>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</si>
  <si>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</si>
  <si>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</si>
  <si>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</si>
  <si>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</si>
  <si>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</si>
  <si>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</si>
  <si>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</si>
  <si>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</si>
  <si>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</si>
  <si>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</si>
  <si>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</si>
  <si>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</si>
  <si>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</si>
  <si>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</si>
  <si>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</si>
  <si>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</si>
  <si>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</si>
  <si>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</si>
  <si>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</si>
  <si>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</si>
  <si>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</si>
  <si>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</si>
  <si>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</si>
  <si>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</si>
  <si>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</si>
  <si>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</si>
  <si>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</si>
  <si>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</si>
  <si>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</si>
  <si>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</si>
  <si>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</si>
  <si>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</si>
  <si>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</si>
  <si>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</si>
  <si>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</si>
  <si>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</si>
  <si>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</si>
  <si>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</si>
  <si>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</si>
  <si>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</si>
  <si>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</si>
  <si>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</si>
  <si>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t>
  </si>
  <si>
    <t>SF-00617</t>
  </si>
  <si>
    <t>Parafuso Philips Cabeça Chata - 3.0 x 22</t>
  </si>
  <si>
    <t>SF-00618</t>
  </si>
  <si>
    <t>Parafuso Philips Cabeça Chata - 3.0 x 25</t>
  </si>
  <si>
    <t>SF-00619</t>
  </si>
  <si>
    <t>Parafuso Philips Cabeça Chata - 3.0 x 30</t>
  </si>
  <si>
    <t>SF-00620</t>
  </si>
  <si>
    <t>Parafuso Philips Cabeça Chata - 3.5 x 14</t>
  </si>
  <si>
    <t>SF-00621</t>
  </si>
  <si>
    <t>Parafuso Philips Cabeça Chata - 3.5 x 16</t>
  </si>
  <si>
    <t>SF-00622</t>
  </si>
  <si>
    <t>Parafuso Philips Cabeça Chata - 3.5 x 20</t>
  </si>
  <si>
    <t>SF-00623</t>
  </si>
  <si>
    <t>Parafuso Philips Cabeça Chata - 3.5 x 22  mm</t>
  </si>
  <si>
    <t>SF-00624</t>
  </si>
  <si>
    <t>Parafuso Philips Cabeça Chata - 3.5 x 25 mm</t>
  </si>
  <si>
    <t>SF-00625</t>
  </si>
  <si>
    <t>Parafuso Philips Cabeça Chata - 3.5 x 30</t>
  </si>
  <si>
    <t>SF-00626</t>
  </si>
  <si>
    <t>Parafuso Philips Cabeça Chata - 3.5 x 35</t>
  </si>
  <si>
    <t>SF-00627</t>
  </si>
  <si>
    <t>Parafuso Philips Cabeça Chata - 3.5 x 40</t>
  </si>
  <si>
    <t>SF-00628</t>
  </si>
  <si>
    <t>Parafuso Phillips Cabeça Chata - 40x40mm</t>
  </si>
  <si>
    <t>SF-00629</t>
  </si>
  <si>
    <t>Parafuso Phillips Cabeça Chata - 4.0x45mm</t>
  </si>
  <si>
    <t>SF-00630</t>
  </si>
  <si>
    <t>Parafuso Phillips Cabeça Chata - 4.0x50mm</t>
  </si>
  <si>
    <t>SF-00631</t>
  </si>
  <si>
    <t>Parafuso Phillips cabeça chata - 4.0x60mm</t>
  </si>
  <si>
    <t>SF-00632</t>
  </si>
  <si>
    <t>Parafuso Philips Cabeça Chata - 4.0 x 30</t>
  </si>
  <si>
    <t>SF-00633</t>
  </si>
  <si>
    <t>Parafuso Philips Cabeça Chata - 4.0 x 35</t>
  </si>
  <si>
    <t>SF-00634</t>
  </si>
  <si>
    <t>Parafuso Philips Cabeça Chata - 5.0 x 60</t>
  </si>
  <si>
    <t>SF-00635</t>
  </si>
  <si>
    <t>Parafuso Philips Cabeça Chata - 6.0 x 60</t>
  </si>
  <si>
    <t>SF-00636</t>
  </si>
  <si>
    <t>Parafuso Philips Cabeça Chata - 6.0 x 65</t>
  </si>
  <si>
    <t>SF-00637</t>
  </si>
  <si>
    <t>Porca Tipo Borboleta – 1/4”</t>
  </si>
  <si>
    <t>SF-00638</t>
  </si>
  <si>
    <t>Parafuso Philips Cabeça Oval - 4.0 x 16</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</si>
  <si>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</si>
  <si>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</si>
  <si>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</si>
  <si>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</si>
  <si>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</si>
  <si>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</si>
  <si>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</si>
  <si>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</si>
  <si>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</si>
  <si>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</si>
  <si>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</si>
  <si>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</si>
  <si>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</si>
  <si>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</si>
  <si>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</si>
  <si>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</si>
  <si>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</si>
  <si>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</si>
  <si>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</si>
  <si>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</si>
  <si>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</si>
  <si>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</si>
  <si>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</si>
  <si>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</si>
  <si>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</si>
  <si>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</si>
  <si>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</si>
  <si>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</si>
  <si>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</si>
  <si>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</si>
  <si>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</si>
  <si>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</si>
  <si>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</si>
  <si>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</si>
  <si>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</si>
  <si>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</si>
  <si>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</si>
  <si>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</si>
  <si>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</si>
  <si>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</si>
  <si>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</si>
  <si>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</si>
  <si>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</si>
  <si>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</si>
  <si>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</si>
  <si>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</si>
  <si>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</si>
  <si>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</si>
  <si>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</si>
  <si>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</si>
  <si>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</si>
  <si>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</si>
  <si>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</si>
  <si>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</si>
  <si>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</si>
  <si>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</si>
  <si>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</si>
  <si>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</si>
  <si>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</si>
  <si>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</si>
  <si>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</si>
  <si>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</si>
  <si>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</si>
  <si>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</si>
  <si>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</si>
  <si>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</si>
  <si>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</si>
  <si>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</si>
  <si>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</si>
  <si>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</si>
  <si>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</si>
  <si>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</si>
  <si>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</si>
  <si>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</si>
  <si>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</si>
  <si>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</si>
  <si>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</si>
  <si>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</si>
  <si>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</si>
  <si>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</si>
  <si>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</si>
  <si>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</si>
  <si>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</si>
  <si>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</si>
  <si>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</si>
  <si>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</si>
  <si>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</si>
  <si>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</si>
  <si>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</si>
  <si>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</si>
  <si>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</si>
  <si>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</si>
  <si>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</si>
  <si>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</si>
  <si>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</si>
  <si>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</si>
  <si>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</si>
  <si>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</si>
  <si>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</si>
  <si>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</si>
  <si>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</si>
  <si>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</si>
  <si>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</si>
  <si>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</si>
  <si>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</si>
  <si>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</si>
  <si>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</si>
  <si>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</si>
  <si>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</si>
  <si>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</si>
  <si>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</si>
  <si>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</si>
  <si>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</si>
  <si>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</si>
  <si>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</si>
  <si>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</si>
  <si>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</si>
  <si>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</si>
  <si>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</si>
  <si>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</si>
  <si>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</si>
  <si>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</si>
  <si>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</si>
  <si>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</si>
  <si>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</si>
  <si>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</si>
  <si>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</si>
  <si>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</si>
  <si>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</si>
  <si>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</si>
  <si>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</si>
  <si>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</si>
  <si>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</si>
  <si>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</si>
  <si>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</si>
  <si>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</si>
  <si>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</si>
  <si>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</si>
  <si>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</si>
  <si>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</si>
  <si>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</si>
  <si>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</si>
  <si>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</si>
  <si>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</si>
  <si>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</si>
  <si>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</si>
  <si>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</si>
  <si>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</si>
  <si>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</si>
  <si>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</si>
  <si>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</si>
  <si>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</si>
  <si>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</si>
  <si>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</si>
  <si>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</si>
  <si>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SF-00722</t>
  </si>
  <si>
    <t>Alicate universal de 8"</t>
  </si>
  <si>
    <t>SF-00723</t>
  </si>
  <si>
    <t>Arco de serra</t>
  </si>
  <si>
    <t>SF-00724</t>
  </si>
  <si>
    <t>Aspirador de pó industrial</t>
  </si>
  <si>
    <t>SF-00725</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</si>
  <si>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</si>
  <si>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</si>
  <si>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</si>
  <si>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</si>
  <si>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</si>
  <si>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</si>
  <si>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</si>
  <si>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</si>
  <si>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</si>
  <si>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</si>
  <si>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</si>
  <si>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SF-00732</t>
  </si>
  <si>
    <t>Chave de fenda de 3/16" x 5"</t>
  </si>
  <si>
    <t>SF-00733</t>
  </si>
  <si>
    <t>Chave Philips PH2 1/4" x 6"</t>
  </si>
  <si>
    <t>SF-00734</t>
  </si>
  <si>
    <t>Chave Philips PH3 5/16" x 8"</t>
  </si>
  <si>
    <t>SF-00735</t>
  </si>
  <si>
    <t>SF-00736</t>
  </si>
  <si>
    <t>Enxadão com cabo</t>
  </si>
  <si>
    <t>SF-00737</t>
  </si>
  <si>
    <t>Enxadão estreito com cabo</t>
  </si>
  <si>
    <t>SF-00738</t>
  </si>
  <si>
    <t>SF-00739</t>
  </si>
  <si>
    <t>Escada tipo tesoura e singela de fibra com 2 m</t>
  </si>
  <si>
    <t>SF-00740</t>
  </si>
  <si>
    <t>Escala métrica de madeira 2m</t>
  </si>
  <si>
    <t>SF-00741</t>
  </si>
  <si>
    <t>Esmerilhadeira Angular 4,5’’</t>
  </si>
  <si>
    <t>SF-00742</t>
  </si>
  <si>
    <t>Esmerilhadeira Angular 7’’</t>
  </si>
  <si>
    <t>SF-00743</t>
  </si>
  <si>
    <t>Espátula forjada de 12 cm</t>
  </si>
  <si>
    <t>SF-00744</t>
  </si>
  <si>
    <t>Espátula forjada de 4 cm</t>
  </si>
  <si>
    <t>SF-00745</t>
  </si>
  <si>
    <t>Espátula forjada de 8 cm</t>
  </si>
  <si>
    <t>SF-00746</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</si>
  <si>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</si>
  <si>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</si>
  <si>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</si>
  <si>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</si>
  <si>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</si>
  <si>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</si>
  <si>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</si>
  <si>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</si>
  <si>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</si>
  <si>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</si>
  <si>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</si>
  <si>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</si>
  <si>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</si>
  <si>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</si>
  <si>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</si>
  <si>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</si>
  <si>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</si>
  <si>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Linha de pedreiro de 100m</t>
  </si>
  <si>
    <t>SF-00756</t>
  </si>
  <si>
    <t>Marreta de 1 kg</t>
  </si>
  <si>
    <t>SF-00757</t>
  </si>
  <si>
    <t>Marreta de borracha de 600g</t>
  </si>
  <si>
    <t>SF-00758</t>
  </si>
  <si>
    <t>Martelo de bola, 500 gramas</t>
  </si>
  <si>
    <t>SF-00759</t>
  </si>
  <si>
    <t>Martelo de pena, 300 gramas</t>
  </si>
  <si>
    <t>SF-00760</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</si>
  <si>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</si>
  <si>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</si>
  <si>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</si>
  <si>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</si>
  <si>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</si>
  <si>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</si>
  <si>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</si>
  <si>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</si>
  <si>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</si>
  <si>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</si>
  <si>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</si>
  <si>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</si>
  <si>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</si>
  <si>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</si>
  <si>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</si>
  <si>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</si>
  <si>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</si>
  <si>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</si>
  <si>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</si>
  <si>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</si>
  <si>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</si>
  <si>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SF-00772</t>
  </si>
  <si>
    <t>Régua de alumínio para pedreiro com 2m</t>
  </si>
  <si>
    <t>SF-00773</t>
  </si>
  <si>
    <t>SF-00774</t>
  </si>
  <si>
    <t>Serrote de costa</t>
  </si>
  <si>
    <t>SF-00775</t>
  </si>
  <si>
    <t>SF-00776</t>
  </si>
  <si>
    <t>Tesoura de chapas tipo aviação</t>
  </si>
  <si>
    <t>SF-00777</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</si>
  <si>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</si>
  <si>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</si>
  <si>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</si>
  <si>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</si>
  <si>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</si>
  <si>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</si>
  <si>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</si>
  <si>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</si>
  <si>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</si>
  <si>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</si>
  <si>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</si>
  <si>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</si>
  <si>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</si>
  <si>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</si>
  <si>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</si>
  <si>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</si>
  <si>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</si>
  <si>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</si>
  <si>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</si>
  <si>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</si>
  <si>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</si>
  <si>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</si>
  <si>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</si>
  <si>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</si>
  <si>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</si>
  <si>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</si>
  <si>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</si>
  <si>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</si>
  <si>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</si>
  <si>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</si>
  <si>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</si>
  <si>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</si>
  <si>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</si>
  <si>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</si>
  <si>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</si>
  <si>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</si>
  <si>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</si>
  <si>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</si>
  <si>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</si>
  <si>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</si>
  <si>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</si>
  <si>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</si>
  <si>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</si>
  <si>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</si>
  <si>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</si>
  <si>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</si>
  <si>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</si>
  <si>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</si>
  <si>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</si>
  <si>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</si>
  <si>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</si>
  <si>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</si>
  <si>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</si>
  <si>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</si>
  <si>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</si>
  <si>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250A</t>
  </si>
  <si>
    <t>SF-00806</t>
  </si>
  <si>
    <t>Maçarico para gás GLP</t>
  </si>
  <si>
    <t>SF-00807</t>
  </si>
  <si>
    <t>Máquina de solda inversora AC/DC 180 A 220 Volts</t>
  </si>
  <si>
    <t>SF-00808</t>
  </si>
  <si>
    <t>Betoneira monofásica 400 litros</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</si>
  <si>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</si>
  <si>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</si>
  <si>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</si>
  <si>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</si>
  <si>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</si>
  <si>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</si>
  <si>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</si>
  <si>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</si>
  <si>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</si>
  <si>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</si>
  <si>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</si>
  <si>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</si>
  <si>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</si>
  <si>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</si>
  <si>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</si>
  <si>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</si>
  <si>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</si>
  <si>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</si>
  <si>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</si>
  <si>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Martelete demolidor 2kW (30 kg)</t>
  </si>
  <si>
    <t>SF-00819</t>
  </si>
  <si>
    <t>Rolo lã de carneiro 23cm com suporte</t>
  </si>
  <si>
    <t>SF-00820</t>
  </si>
  <si>
    <t>Trado perfurador para terra manual 25 cm</t>
  </si>
  <si>
    <t>SF-00821</t>
  </si>
  <si>
    <t>Plataforma de trabalho aéreo articulada</t>
  </si>
  <si>
    <t>dia</t>
  </si>
  <si>
    <t>SF-00822</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</si>
  <si>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</si>
  <si>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</si>
  <si>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</si>
  <si>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</si>
  <si>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</si>
  <si>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</si>
  <si>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SF-00826</t>
  </si>
  <si>
    <t>Gorros com pala (boné) na mesma cor da camisa</t>
  </si>
  <si>
    <t>SF-00827</t>
  </si>
  <si>
    <t>SF-00828</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</si>
  <si>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</si>
  <si>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</si>
  <si>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</si>
  <si>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</si>
  <si>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</si>
  <si>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</si>
  <si>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</si>
  <si>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</si>
  <si>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</si>
  <si>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</si>
  <si>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</si>
  <si>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</si>
  <si>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</si>
  <si>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</si>
  <si>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</si>
  <si>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SF-00837</t>
  </si>
  <si>
    <t>SF-00838</t>
  </si>
  <si>
    <t>Protetor Facial</t>
  </si>
  <si>
    <t>SF-00839</t>
  </si>
  <si>
    <t>SF-00840</t>
  </si>
  <si>
    <t>Talabarte em Y</t>
  </si>
  <si>
    <t>SF-00841</t>
  </si>
  <si>
    <t>SF-00842</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</si>
  <si>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</si>
  <si>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</si>
  <si>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</si>
  <si>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</si>
  <si>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</si>
  <si>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</si>
  <si>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</si>
  <si>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</si>
  <si>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</si>
  <si>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</si>
  <si>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</si>
  <si>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</si>
  <si>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</si>
  <si>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</si>
  <si>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</si>
  <si>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</si>
  <si>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</si>
  <si>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</si>
  <si>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</si>
  <si>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</si>
  <si>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</si>
  <si>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</si>
  <si>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</si>
  <si>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</si>
  <si>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</si>
  <si>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</si>
  <si>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1,58mm</t>
  </si>
  <si>
    <t>Trilho superior em alumínio 60mm x 49,5mm, para vidro temperado</t>
  </si>
  <si>
    <t>Perfil em alumínio para acabamento de trilho superior</t>
  </si>
  <si>
    <t>Perfil guia inferior de alumínio 39,3 mm x 24 mm para vidro temperado 10mm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</si>
  <si>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</si>
  <si>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</si>
  <si>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</si>
  <si>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</si>
  <si>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</si>
  <si>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</si>
  <si>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</si>
  <si>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</si>
  <si>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</si>
  <si>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</si>
  <si>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</si>
  <si>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</si>
  <si>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</si>
  <si>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</si>
  <si>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</si>
  <si>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</si>
  <si>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</si>
  <si>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</si>
  <si>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</si>
  <si>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</si>
  <si>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Tubo de alumínio quadrado 50x50</t>
  </si>
  <si>
    <t>Veda fresta adesivo “E” branco</t>
  </si>
  <si>
    <t>Vedapress 10mm</t>
  </si>
  <si>
    <t>Regulagem de ferragens</t>
  </si>
  <si>
    <t>Vidro fumê / bronze temperado 10mm</t>
  </si>
  <si>
    <t>Puxador em aço inox sob medida – Tipo B</t>
  </si>
  <si>
    <t>Armação de aço CA-50 bitolas de 5,0mm a 8,00mm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</si>
  <si>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</si>
  <si>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</si>
  <si>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</si>
  <si>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</si>
  <si>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</si>
  <si>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</si>
  <si>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</si>
  <si>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</si>
  <si>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</si>
  <si>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</si>
  <si>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</si>
  <si>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4mm (canelado, martelado, pontilhado e mini-boreal)</t>
  </si>
  <si>
    <t>Vidro fumê/bronze 5mm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</si>
  <si>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</si>
  <si>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</si>
  <si>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</si>
  <si>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</si>
  <si>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</si>
  <si>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</si>
  <si>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</si>
  <si>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</si>
  <si>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</si>
  <si>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</si>
  <si>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</si>
  <si>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</si>
  <si>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SF-00939</t>
  </si>
  <si>
    <t>Tensor com indicador de tensão para linha de vida</t>
  </si>
  <si>
    <t>SF-00941</t>
  </si>
  <si>
    <t>Plataforma de trabalho aéreo tesoura</t>
  </si>
  <si>
    <t>Remoção de folha de porta de enrolar</t>
  </si>
  <si>
    <t>Base registro de gaveta 1"</t>
  </si>
  <si>
    <t>Base registro de pressão 3/4"</t>
  </si>
  <si>
    <t>SF-00945</t>
  </si>
  <si>
    <t>Porta para box de banheiro em laminado estrutural</t>
  </si>
  <si>
    <t>Tampa em ferro fundido T33</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</si>
  <si>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</si>
  <si>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</si>
  <si>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</si>
  <si>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</si>
  <si>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</si>
  <si>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</si>
  <si>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</si>
  <si>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</si>
  <si>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</si>
  <si>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</si>
  <si>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</si>
  <si>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</si>
  <si>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</si>
  <si>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</si>
  <si>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</si>
  <si>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</si>
  <si>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</si>
  <si>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</si>
  <si>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</si>
  <si>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</si>
  <si>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</si>
  <si>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</si>
  <si>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</si>
  <si>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</si>
  <si>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</si>
  <si>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</si>
  <si>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</si>
  <si>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</si>
  <si>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</si>
  <si>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</si>
  <si>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</si>
  <si>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</si>
  <si>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</si>
  <si>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</si>
  <si>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</si>
  <si>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</si>
  <si>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</si>
  <si>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</si>
  <si>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</si>
  <si>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</si>
  <si>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</si>
  <si>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</si>
  <si>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</si>
  <si>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</si>
  <si>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</si>
  <si>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</si>
  <si>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</si>
  <si>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</si>
  <si>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</si>
  <si>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</si>
  <si>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</si>
  <si>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</si>
  <si>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</si>
  <si>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</si>
  <si>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</si>
  <si>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</si>
  <si>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</si>
  <si>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</si>
  <si>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</si>
  <si>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</si>
  <si>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</si>
  <si>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</si>
  <si>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</si>
  <si>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</si>
  <si>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Corda de poliéster 8mm</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</si>
  <si>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</si>
  <si>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</si>
  <si>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</si>
  <si>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</si>
  <si>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</si>
  <si>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</si>
  <si>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</si>
  <si>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</si>
  <si>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</si>
  <si>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</si>
  <si>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</si>
  <si>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Painel de MDF Laminado – Ovo - 25mm</t>
  </si>
  <si>
    <t>SF-01008</t>
  </si>
  <si>
    <t>Rodízio Giratório sem Freio - 2 Polegadas</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</si>
  <si>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</si>
  <si>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</si>
  <si>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</si>
  <si>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</si>
  <si>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</si>
  <si>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</si>
  <si>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</si>
  <si>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</si>
  <si>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</si>
  <si>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Porta metálica de giro com dimensões 0,92 x 2,20m</t>
  </si>
  <si>
    <t>SF-01016</t>
  </si>
  <si>
    <t>Porta metálica de giro com dimensões 0,92 x 2,35 m</t>
  </si>
  <si>
    <t>SF-01017</t>
  </si>
  <si>
    <t>Esquadria metálica de 4 folhas fixas com dimensões de 5,30x1,00m – Bloco 19 (Centro de Treinamento)</t>
  </si>
  <si>
    <t>SF-01018</t>
  </si>
  <si>
    <t>Esquadria metálica de 3 folhas, sendo 2 folhas fixas e 1 de correr com dimensões de 4,10x1,15m – Bloco 19 (Centro de Treinamento)</t>
  </si>
  <si>
    <t>SF-01019</t>
  </si>
  <si>
    <t>Esquadria metálica de 4 folhas, sendo 2 folhas fixas e 2 folhas de correr, com dimensões total de 5,15x1,00m  – Bloco 19 (Centro de Treinamento)</t>
  </si>
  <si>
    <t>SF-01020</t>
  </si>
  <si>
    <t>Esquadria metálica de 4 folhas, sendo 2 fixas e 2 de correr dimensões de 5,30x1,15m – Bloco 19 (Centro de Treinamento)</t>
  </si>
  <si>
    <t>SF-01021</t>
  </si>
  <si>
    <t>Esquadria metálica de 2 folhas basculante com dimensões de 2,31x0,45m – Bloco 19 (Centro de Treinamento)</t>
  </si>
  <si>
    <t>SF-01022</t>
  </si>
  <si>
    <t>Perfil Veneziana Enrijecido 70x19mm</t>
  </si>
  <si>
    <t>SF-01023</t>
  </si>
  <si>
    <t>Perfil U Enrijecido 150mm x 40mm x 15mm</t>
  </si>
  <si>
    <t>SF-01024</t>
  </si>
  <si>
    <t>Perfil Trilho Peitoril - 150mm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</si>
  <si>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</si>
  <si>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</si>
  <si>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</si>
  <si>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</si>
  <si>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</si>
  <si>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</si>
  <si>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</si>
  <si>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</si>
  <si>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</si>
  <si>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</si>
  <si>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</si>
  <si>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</si>
  <si>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</si>
  <si>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</si>
  <si>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</si>
  <si>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</si>
  <si>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</si>
  <si>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</si>
  <si>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</si>
  <si>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</si>
  <si>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</si>
  <si>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</si>
  <si>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</si>
  <si>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</si>
  <si>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</si>
  <si>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</si>
  <si>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</si>
  <si>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</si>
  <si>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</si>
  <si>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</si>
  <si>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</si>
  <si>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</si>
  <si>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</si>
  <si>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Trena de 100m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</si>
  <si>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</si>
  <si>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</si>
  <si>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</si>
  <si>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</si>
  <si>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</si>
  <si>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</si>
  <si>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</si>
  <si>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</si>
  <si>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</si>
  <si>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</si>
  <si>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</si>
  <si>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</si>
  <si>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</si>
  <si>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</si>
  <si>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</si>
  <si>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</si>
  <si>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</si>
  <si>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</si>
  <si>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</si>
  <si>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</si>
  <si>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</si>
  <si>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</si>
  <si>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</si>
  <si>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</si>
  <si>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</si>
  <si>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</si>
  <si>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</si>
  <si>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</si>
  <si>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Porta metálica de enrolar</t>
  </si>
  <si>
    <t>Medidor de Gás</t>
  </si>
  <si>
    <t>Registro Esfera para Gás 3/4”</t>
  </si>
  <si>
    <t>Placa de Concreto Pré-Moldado 15 Mpa</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</si>
  <si>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</si>
  <si>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</si>
  <si>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</si>
  <si>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</si>
  <si>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</si>
  <si>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</si>
  <si>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</si>
  <si>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</si>
  <si>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</si>
  <si>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</si>
  <si>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</si>
  <si>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</si>
  <si>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</si>
  <si>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</si>
  <si>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</si>
  <si>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</si>
  <si>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</si>
  <si>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25mm</t>
  </si>
  <si>
    <t>SF-01081</t>
  </si>
  <si>
    <t>Tubo retangular em aço 100 x 50mm</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</si>
  <si>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</si>
  <si>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</si>
  <si>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</si>
  <si>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</si>
  <si>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</si>
  <si>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</si>
  <si>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</si>
  <si>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</si>
  <si>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</si>
  <si>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</si>
  <si>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SF-01091</t>
  </si>
  <si>
    <t>Painel metálico para retorno</t>
  </si>
  <si>
    <t>SF-01095</t>
  </si>
  <si>
    <t>SF-01096</t>
  </si>
  <si>
    <t>SF-01099</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</si>
  <si>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</si>
  <si>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</si>
  <si>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</si>
  <si>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</si>
  <si>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</si>
  <si>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</si>
  <si>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</si>
  <si>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</si>
  <si>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Granitina para revestimento de pisos</t>
  </si>
  <si>
    <t>Piso vinílico flexível em manta</t>
  </si>
  <si>
    <t>Tratamento de juntas de dilatação ou movimentação</t>
  </si>
  <si>
    <t>Recuperação superficial de preparação para pintura epóxi de alto desempenho</t>
  </si>
  <si>
    <t>Piso de borracha antiderrapante tipo moeda</t>
  </si>
  <si>
    <t>Forro monolítico de gesso em placas</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</si>
  <si>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</si>
  <si>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</si>
  <si>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</si>
  <si>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</si>
  <si>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</si>
  <si>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</si>
  <si>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</si>
  <si>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</si>
  <si>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</si>
  <si>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</si>
  <si>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</si>
  <si>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</si>
  <si>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</si>
  <si>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</si>
  <si>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</si>
  <si>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8mm</t>
  </si>
  <si>
    <t>Cumeeira articulada ABA SUPERIOR de fibrocimento para telha modulada - espessura 6 mm</t>
  </si>
  <si>
    <t>Cumeeira articulada ABA INFERIOR de fibrocimento para telha modulada - espessura 6 mm</t>
  </si>
  <si>
    <t>Telha de fibrocimento ondulada - espessura 6mm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</si>
  <si>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</si>
  <si>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</si>
  <si>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</si>
  <si>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</si>
  <si>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</si>
  <si>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</si>
  <si>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</si>
  <si>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</si>
  <si>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</si>
  <si>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</si>
  <si>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</si>
  <si>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</si>
  <si>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</si>
  <si>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</si>
  <si>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- 3cm</t>
  </si>
  <si>
    <t>Regularização de substrato para Impermeabilização - 6cm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</si>
  <si>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</si>
  <si>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</si>
  <si>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</si>
  <si>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</si>
  <si>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</si>
  <si>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</si>
  <si>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</si>
  <si>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</si>
  <si>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</si>
  <si>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</si>
  <si>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</si>
  <si>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</si>
  <si>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</si>
  <si>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</si>
  <si>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</si>
  <si>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</si>
  <si>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</si>
  <si>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</si>
  <si>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</si>
  <si>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</si>
  <si>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</si>
  <si>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</si>
  <si>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</si>
  <si>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</si>
  <si>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</si>
  <si>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</si>
  <si>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</si>
  <si>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</si>
  <si>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</si>
  <si>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</si>
  <si>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</si>
  <si>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</si>
  <si>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</si>
  <si>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</si>
  <si>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</si>
  <si>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</si>
  <si>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</si>
  <si>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</si>
  <si>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</si>
  <si>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</si>
  <si>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</si>
  <si>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</si>
  <si>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</si>
  <si>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</si>
  <si>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</si>
  <si>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</si>
  <si>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</si>
  <si>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</si>
  <si>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</si>
  <si>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</si>
  <si>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</si>
  <si>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</si>
  <si>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SF-01193</t>
  </si>
  <si>
    <t>SF-01194</t>
  </si>
  <si>
    <t>SF-01195</t>
  </si>
  <si>
    <t>SF-01196</t>
  </si>
  <si>
    <t>Conjunto de escovas de aço (pequena, média e grande)</t>
  </si>
  <si>
    <t>SF-01197</t>
  </si>
  <si>
    <t>Marreta de 2 kg</t>
  </si>
  <si>
    <t>SF-01198</t>
  </si>
  <si>
    <t>Marreta de 5 kg</t>
  </si>
  <si>
    <t>SF-01199</t>
  </si>
  <si>
    <t>Marreta de 10 kg</t>
  </si>
  <si>
    <t>SF-01200</t>
  </si>
  <si>
    <t>Conjunto Pé de cabra 15" x 16mm e 24" x 19mm</t>
  </si>
  <si>
    <t>SF-01201</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</si>
  <si>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</si>
  <si>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</si>
  <si>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</si>
  <si>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</si>
  <si>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</si>
  <si>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</si>
  <si>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</si>
  <si>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</si>
  <si>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</si>
  <si>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</si>
  <si>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</si>
  <si>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</si>
  <si>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</si>
  <si>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</si>
  <si>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</si>
  <si>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SF-01210</t>
  </si>
  <si>
    <t>Furadeira/Parafusadeira elétrica</t>
  </si>
  <si>
    <t>SF-01211</t>
  </si>
  <si>
    <t>Furadeira de impacto/parafusadeira à bateria</t>
  </si>
  <si>
    <t>SF-01212</t>
  </si>
  <si>
    <t>Jogo de Bits pontas e soquetes para Furadeira/ Parafusadeira</t>
  </si>
  <si>
    <t>SF-01213</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</si>
  <si>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</si>
  <si>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</si>
  <si>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</si>
  <si>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</si>
  <si>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</si>
  <si>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</si>
  <si>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</si>
  <si>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</si>
  <si>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</si>
  <si>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</si>
  <si>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</si>
  <si>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</si>
  <si>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</si>
  <si>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</si>
  <si>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</si>
  <si>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</si>
  <si>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</si>
  <si>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</si>
  <si>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</si>
  <si>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</si>
  <si>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</si>
  <si>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</si>
  <si>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</si>
  <si>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</si>
  <si>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</si>
  <si>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</si>
  <si>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Estudo de Viabilidade Técnica, Laudo Técnico, Projeto Executivo, Projeto de Segurança do Trabalho, Planejamento da Obra e Plano de Manutenção – Modernização de Elevadores na SQS309</t>
  </si>
  <si>
    <t>SF-01228</t>
  </si>
  <si>
    <t>Serviços Preliminares (instalação de canteiro, mobilização de equipamentos e mão de obra e substituição de infraestrutura elétrica nos Blocos C e G) – Modernização de Elevadores na SQS309</t>
  </si>
  <si>
    <t>SF-01229</t>
  </si>
  <si>
    <t>Substituição de infraestrutura elétrica no Bloco D – Modernização de Elevadores na SQS309</t>
  </si>
  <si>
    <t>SF-01230</t>
  </si>
  <si>
    <t>Modernização dos elevadores dos Blocos C, D e G da SQS 309</t>
  </si>
  <si>
    <t>SF-01231</t>
  </si>
  <si>
    <t>Serviços de Assistência Técnica – Modernização de Elevadores na SQS309</t>
  </si>
  <si>
    <t>Carpete aveludado azul royal - fornecimento e instalação</t>
  </si>
  <si>
    <t>Demolição de revestimento de piso têxtil (carpete)</t>
  </si>
  <si>
    <t>SF-01234</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</si>
  <si>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</si>
  <si>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</si>
  <si>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</si>
  <si>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</si>
  <si>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</si>
  <si>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</si>
  <si>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</si>
  <si>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</si>
  <si>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</si>
  <si>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</si>
  <si>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</si>
  <si>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</si>
  <si>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</si>
  <si>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</si>
  <si>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</si>
  <si>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</si>
  <si>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</si>
  <si>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</si>
  <si>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</si>
  <si>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</si>
  <si>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</si>
  <si>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</si>
  <si>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PERFURATRIZ HIDRÁULICA SOBRE CAMINHÃO COM TRADO CURTO ACOPLADO, PROFUNDIDADE MÁXIMA DE 20 M, DIÂMETRO MÁXIMO DE 1500 MM, POTÊNCIA INSTALADA DE 137 HP, MESA ROTATIVA COM TORQUE MÁXIMO DE 30 KNM - CHP DIURNO. AF_06/2015</t>
  </si>
  <si>
    <t>DESEMPENADEIRA DE CONCRETO, PESO DE 75KG, 4 PÁS, MOTOR A GASOLINA, POTÊNCIA 5,5 HP - CHP DIURNO. AF_09/2016</t>
  </si>
  <si>
    <t>PERFURATRIZ PNEUMATICA MANUAL DE PESO MEDIO, MARTELETE, 18KG, COMPRIMENTO MÁXIMO DE CURSO DE 6 M, DIAMETRO DO PISTAO DE 5,5 CM - CHP DIURNO. AF_11/2016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</si>
  <si>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</si>
  <si>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</si>
  <si>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PÁ CARREGADEIRA SOBRE RODAS, POTÊNCIA LÍQUIDA 128 HP, CAPACIDADE DA CAÇAMBA 1,7 A 2,8 M3, PESO OPERACIONAL 11632 KG - CHI DIURNO. AF_06/2014</t>
  </si>
  <si>
    <t>PERFURATRIZ HIDRÁULICA SOBRE CAMINHÃO COM TRADO CURTO ACOPLADO, PROFUNDIDADE MÁXIMA DE 20 M, DIÂMETRO MÁXIMO DE 1500 MM, POTÊNCIA INSTALADA DE 137 HP, MESA ROTATIVA COM TORQUE MÁXIMO DE 30 KNM - CHI DIURNO. AF_06/2015</t>
  </si>
  <si>
    <t>PERFURATRIZ PNEUMATICA MANUAL DE PESO MEDIO, MARTELETE, 18KG, COMPRIMENTO MÁXIMO DE CURSO DE 6 M, DIAMETRO DO PISTAO DE 5,5 CM - CHI DIURNO. AF_11/2016</t>
  </si>
  <si>
    <t>FABRICAÇÃO DE FÔRMA PARA PILARES E ESTRUTURAS SIMILARES, EM MADEIRA SERRADA, E=25 MM. AF_12/2015</t>
  </si>
  <si>
    <t>MONTAGEM E DESMONTAGEM DE FÔRMA DE PILARES RETANGULARES E ESTRUTURAS SIMILARES COM ÁREA MÉDIA DAS SEÇÕES MAIOR QUE 0,25 M², PÉ-DIREITO SIMPLES, EM MADEIRA SERRADA, 2 UTILIZAÇÕES. AF_12/2015</t>
  </si>
  <si>
    <t>ARMAÇÃO VERTICAL DE ALVENARIA ESTRUTURAL; DIÂMETRO DE 10,0 MM. AF_01/2015</t>
  </si>
  <si>
    <t>ARMAÇÃO DE CINTA DE ALVENARIA ESTRUTURAL; DIÂMETRO DE 10,0 MM. AF_01/2015</t>
  </si>
  <si>
    <t>CORTE E DOBRA DE AÇO CA-50, DIÂMETRO DE 16,0 MM, UTILIZADO EM ESTRUTURAS DIVERSAS, EXCETO LAJES. AF_12/2015</t>
  </si>
  <si>
    <t>CORTE E DOBRA DE AÇO CA-50, DIÂMETRO DE 6,3 MM, UTILIZADO EM LAJE. AF_12/2015</t>
  </si>
  <si>
    <t>CORTE E DOBRA DE AÇO CA-25, DIÂMETRO DE 16,0 MM. AF_12/2015</t>
  </si>
  <si>
    <t>MONTAGEM DE ARMADURA LONGITUDINAL DE ESTACAS DE SEÇÃO CIRCULAR, DIÂMETRO = 16,0 MM. AF_11/2016</t>
  </si>
  <si>
    <t>GRAUTEAMENTO VERTICAL EM ALVENARIA ESTRUTURAL. AF_01/2015</t>
  </si>
  <si>
    <t>GRAUTEAMENTO DE CINTA SUPERIOR OU DE VERGA EM ALVENARIA ESTRUTURAL. AF_01/2015</t>
  </si>
  <si>
    <t>GRAUTE FGK=20 MPA; TRAÇO 1:0,04:1,6:1,9 (CIMENTO/ CAL/ AREIA GROSSA/ BRITA 0) - PREPARO MECÂNICO COM BETONEIRA 400 L. AF_02/2015</t>
  </si>
  <si>
    <t>CONCRETO FCK = 20MPA, TRAÇO 1:2,7:3 (CIMENTO/ AREIA MÉDIA/ BRITA 1)  - PREPARO MECÂNICO COM BETONEIRA 400 L. AF_07/2016</t>
  </si>
  <si>
    <t>CONCRETO FCK = 25MPA, TRAÇO 1:2,3:2,7 (CIMENTO/ AREIA MÉDIA/ BRITA 1)  - PREPARO MECÂNICO COM BETONEIRA 600 L. AF_07/2016</t>
  </si>
  <si>
    <t>CONCRETO FCK = 30MPA, TRAÇO 1:2,1:2,5 (CIMENTO/ AREIA MÉDIA/ BRITA 1)  - PREPARO MECÂNICO COM BETONEIRA 600 L. AF_07/2016</t>
  </si>
  <si>
    <t>CONCRETO MAGRO PARA LASTRO, TRAÇO 1:4,5:4,5 (CIMENTO/ AREIA MÉDIA/ BRITA 1)  - PREPARO MANUAL. AF_07/2016</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</si>
  <si>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</si>
  <si>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</si>
  <si>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</si>
  <si>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ALVENARIA DE VEDAÇÃO DE BLOCOS VAZADOS DE CONCRETO DE 9X19X39CM (ESPESSURA 9CM) DE PAREDES COM ÁREA LÍQUIDA MENOR QUE 6M² SEM VÃOS E ARGAMASSA DE ASSENTAMENTO COM PREPARO EM BETONEIRA. AF_06/2014</t>
  </si>
  <si>
    <t>CHAPISCO APLICADO EM ALVENARIAS E ESTRUTURAS DE CONCRETO INTERNAS,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</si>
  <si>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</si>
  <si>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</si>
  <si>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</si>
  <si>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</si>
  <si>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</si>
  <si>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</si>
  <si>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</si>
  <si>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</si>
  <si>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ASSENTADOR DE TUBOS COM ENCARGOS COMPLEMENTARES</t>
  </si>
  <si>
    <t>AUXILIAR DE TOPÓGRAFO COM ENCARGOS COMPLEMENTARES</t>
  </si>
  <si>
    <t>ELETROTÉCNICO COM ENCARGOS COMPLEMENTARES</t>
  </si>
  <si>
    <t>MARMORISTA/GRANITEIRO COM ENCARGOS COMPLEMENTARES</t>
  </si>
  <si>
    <t>SOLDADOR COM ENCARGOS COMPLEMENTARES</t>
  </si>
  <si>
    <t>VIDRACEIRO COM ENCARGOS COMPLEMENTARES</t>
  </si>
  <si>
    <t>AUXILIAR DE ESCRITORIO COM ENCARGOS COMPLEMENTARES</t>
  </si>
  <si>
    <t>DESENHISTA PROJETISTA COM ENCARGOS COMPLEMENTARES</t>
  </si>
  <si>
    <t>TOPOGRAFO COM ENCARGOS COMPLEMENTARES</t>
  </si>
  <si>
    <t>ENGENHEIRO ELETRICISTA COM ENCARGOS COMPLEMENTARES</t>
  </si>
  <si>
    <t>AUXILIAR DE ALMOXARIFE COM ENCARGOS COMPLEMENTARES</t>
  </si>
  <si>
    <t>ABRACADEIRA EM ACO PARA AMARRACAO DE ELETRODUTOS, TIPO D, COM 1" E PARAFUSO DE FIXACAO</t>
  </si>
  <si>
    <t>ACO CA-25, 10,0 MM, OU 12,5 MM, OU 16,0 MM, OU 20,0 MM, OU 25,0 MM, VERGALHAO</t>
  </si>
  <si>
    <t>ADESIVO ESTRUTURAL A BASE DE RESINA EPOXI, BICOMPONENTE, FLUIDO</t>
  </si>
  <si>
    <t>ADESIVO PARA TUBOS CPVC, *75* G</t>
  </si>
  <si>
    <t>ALICATE DE CRIMPAR RJ11, RJ12 E RJ45</t>
  </si>
  <si>
    <t>ARAME GALVANIZADO 16 BWG, D = 1,65MM (0,0166 KG/M)</t>
  </si>
  <si>
    <t>BATENTE/ PORTAL/ ADUELA/ MARCO MACICO, E= *3* CM, L= *13* CM, *60 CM A 120* CM X *210* CM, EM PINUS/ TAUARI/ VIROLA OU EQUIVALENTE DA REGIAO (NAO INCLUI ALIZARES)</t>
  </si>
  <si>
    <t>BRACO P/ LUMINARIA PUBLICA 1 X 1,50M ROMAGNOLE OU EQUIV</t>
  </si>
  <si>
    <t>BUCHA DE NYLON SEM ABA S6, COM PARAFUSO DE 4,20 X 40 MM EM ACO ZINCADO COM ROSCA SOBERBA, CABECA CHATA E FENDA PHILLIPS</t>
  </si>
  <si>
    <t>CABO DE COBRE NU 16 MM2 MEIO-DURO</t>
  </si>
  <si>
    <t>CABO DE COBRE NU 25 MM2 MEIO-DURO</t>
  </si>
  <si>
    <t>CABO DE COBRE NU 35 MM2 MEIO-DURO</t>
  </si>
  <si>
    <t>CABO DE COBRE NU 50 MM2 MEIO-DURO</t>
  </si>
  <si>
    <t>CABO DE COBRE NU 70 MM2 MEIO-DURO</t>
  </si>
  <si>
    <t>CAIXA DE PASSAGEM, EM PVC, DE 4" X 2", PARA ELETRODUTO FLEXIVEL CORRUGADO</t>
  </si>
  <si>
    <t>CAIXA DE PASSAGEM, EM PVC, DE 4" X 4", PARA ELETRODUTO FLEXIVEL CORRUGADO</t>
  </si>
  <si>
    <t>CAIXA INSPECAO EM POLIETILENO PARA ATERRAMENTO E PARA RAIOS DIAMETRO = 300 MM</t>
  </si>
  <si>
    <t>CANTONEIRA ALUMINIO ABAS IGUAIS 1 ", E = 3 /16 "</t>
  </si>
  <si>
    <t>CAPA PARA CHUVA EM PVC COM FORRO DE POLIESTER, COM CAPUZ (AMARELA OU AZUL)</t>
  </si>
  <si>
    <t>CHAPA DE ACO GALVANIZADA BITOLA GSG 16, E = 1,55 MM (12,40 KG/M2)</t>
  </si>
  <si>
    <t>CHAPA DE LAMINADO MELAMINICO, TEXTURIZADO, DE *1,25 X 3,08* M, E = 0,8 MM</t>
  </si>
  <si>
    <t>CHAPA DE MADEIRA COMPENSADA PLASTIFICADA PARA FORMA DE CONCRETO, DE 2,20 x 1,10 M, E = 18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</si>
  <si>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</si>
  <si>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</si>
  <si>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</si>
  <si>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</si>
  <si>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</si>
  <si>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</si>
  <si>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</si>
  <si>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</si>
  <si>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</si>
  <si>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</si>
  <si>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</si>
  <si>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</si>
  <si>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</si>
  <si>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T, PARA ELETRODUTO ROSCAVEL DE 2", COM TAMPA CEGA</t>
  </si>
  <si>
    <t>CONE DE SINALIZACAO EM PVC RIGIDO COM FAIXA REFLETIVA, H = 70 / 76 CM</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</si>
  <si>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</si>
  <si>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</si>
  <si>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</si>
  <si>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</si>
  <si>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</si>
  <si>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</si>
  <si>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</si>
  <si>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</si>
  <si>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</si>
  <si>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</si>
  <si>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</si>
  <si>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</si>
  <si>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</si>
  <si>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</si>
  <si>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</si>
  <si>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</si>
  <si>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</si>
  <si>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</si>
  <si>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</si>
  <si>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</si>
  <si>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</si>
  <si>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</si>
  <si>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</si>
  <si>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</si>
  <si>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</si>
  <si>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</si>
  <si>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</si>
  <si>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</si>
  <si>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</si>
  <si>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</si>
  <si>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DOBRADICA EM ACO/FERRO, 3 1/2" X  3", E= 1,9  A 2 MM, COM ANEL,  CROMADO OU ZINCADO, TAMPA BOLA, COM PARAFUSOS</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</si>
  <si>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</si>
  <si>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</si>
  <si>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</si>
  <si>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</si>
  <si>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</si>
  <si>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</si>
  <si>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</si>
  <si>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</si>
  <si>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</si>
  <si>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</si>
  <si>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</si>
  <si>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</si>
  <si>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2",  PARA CABEAMENTO SUBTERRANEO (NBR 15715)</t>
  </si>
  <si>
    <t>ELETRODUTODUTO PEAD FLEXIVEL PAREDE SIMPLES, CORRUGACAO HELICOIDAL, COR PRETA, SEM ROSCA, DE 1 1/4",  PARA CABEAMENTO SUBTERRANEO (NBR 15715)</t>
  </si>
  <si>
    <t>ENDURECEDOR MINERAL DE BASE CIMENTICIA PARA PISO DE CONCRETO</t>
  </si>
  <si>
    <t>FITA DE PAPEL REFORCADA COM LAMINA DE METAL PARA REFORCO DE CANTOS DE CHAPA DE GESSO PARA DRYWALL</t>
  </si>
  <si>
    <t>FITA ISOLANTE ADESIVA ANTICHAMA, USO ATE 750 V, EM ROLO DE 19 MM X 5 M</t>
  </si>
  <si>
    <t>FUSIVEL DIAZED 35 A TAMANHO DIII, CAPACIDADE DE INTERRUPCAO DE 50 KA EM VCA E 8 KA EM VCC, TENSAO NOMIMNAL DE 500 V</t>
  </si>
  <si>
    <t>GEOTEXTIL NAO TECIDO AGULHADO DE FILAMENTOS CONTINUOS 100% POLIESTER, RESITENCIA A TRACAO = 31 KN/M</t>
  </si>
  <si>
    <t>GRANILHA/ GRANA/ PEDRISCO OU AGREGADO EM MARMORE/ GRANITO/ QUARTZO E CALCARIO, PRETO, CINZA, PALHA OU BRANCO</t>
  </si>
  <si>
    <t>GRANITO PARA BANCADA, POLIDO, TIPO ANDORINHA/ QUARTZ/ CASTELO/ CORUMBA OU OUTROS EQUIVALENTES DA REGIAO, E=  *2,5* CM</t>
  </si>
  <si>
    <t>GUARNICAO/ ALIZAR/ VISTA MACICA, E= *1* CM, L= *4,5* CM, EM CEDRINHO/ ANGELIM COMERCIAL/  EUCALIPTO/ CURUPIXA/ PEROBA/ CUMARU OU EQUIVALENTE DA REGIAO</t>
  </si>
  <si>
    <t>LAMPADA FLUORESCENTE COMPACTA 2U BRANCA 15 W, BASE E27 (127/220 V)</t>
  </si>
  <si>
    <t>LUMINARIA DE LED PARA ILUMINACAO PUBLICA, DE 51 W ATE 67 W, INVOLUCRO EM ALUMINIO OU ACO INOX</t>
  </si>
  <si>
    <t>LUMINARIA DE LED PARA ILUMINACAO PUBLICA, DE 98 W ATE 137 W, INVOLUCRO EM ALUMINIO OU ACO INOX</t>
  </si>
  <si>
    <t>LUMINARIA PLAFON REDONDO COM VIDRO FOSCO DIAMETRO *30* CM, PARA 2 LAMPADAS, BASE E27, POTENCIA MAXIMA 40/60 W (NAO INCLUI LAMPADAS)</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</si>
  <si>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</si>
  <si>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</si>
  <si>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</si>
  <si>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</si>
  <si>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</si>
  <si>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</si>
  <si>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</si>
  <si>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</si>
  <si>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</si>
  <si>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</si>
  <si>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</si>
  <si>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</si>
  <si>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</si>
  <si>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</si>
  <si>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</si>
  <si>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MASSA PLASTICA PARA MARMORE/GRANITO</t>
  </si>
  <si>
    <t>MASTRO SIMPLES GALVANIZADO DIAMETRO NOMINAL 2", COMPRIMENTO 3 M</t>
  </si>
  <si>
    <t>PARA-RAIOS TIPO FRANKLIN 350 MM, EM LATAO CROMADO, DUAS DESCIDAS, PARA PROTECAO DE EDIFICACOES CONTRA DESCARGAS ATMOSFERICAS</t>
  </si>
  <si>
    <t>PINO DE ACO COM FURO, HASTE = 27 MM (ACAO DIRETA)</t>
  </si>
  <si>
    <t>PISO DE BORRACHA PASTILHADO EM PLACAS 50 X 50 CM, E = *3,5* MM, PARA COLA, PRETO</t>
  </si>
  <si>
    <t>PLACA/TAMPA CEGA EM LATAO ESCOVADO PARA CONDULETE EM LIGA DE ALUMINIO 4 X 4"</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</si>
  <si>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</si>
  <si>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</si>
  <si>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</si>
  <si>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PREGO DE ACO POLIDO COM CABECA DUPLA 17 X 27 (2 1/2 X 11)</t>
  </si>
  <si>
    <t>PREGO DE ACO POLIDO COM CABECA 17 X 27 (2 1/2 X 11)</t>
  </si>
  <si>
    <t>PREGO DE ACO POLIDO SEM CABECA 15 X 15 (1 1/4 X 13)</t>
  </si>
  <si>
    <t>PROTETOR SOLAR FPS 30, EMBALAGEM 2 LITROS</t>
  </si>
  <si>
    <t>PULSADOR CAMPAINHA 10A, 250V (APENAS MODULO)</t>
  </si>
  <si>
    <t>QUADRO DE DISTRIBUICAO COM BARRAMENTO TRIFASICO, DE SOBREPOR, EM CHAPA DE ACO GALVANIZADO, PARA 18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</si>
  <si>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</si>
  <si>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</si>
  <si>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</si>
  <si>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RODAPE DE MADEIRA MACICA CUMARU/IPE CHAMPANHE OU EQUIVALENTE DA REGIAO, *1,5 X 7 CM</t>
  </si>
  <si>
    <t>SENSOR DE PRESENCA BIVOLT COM FOTOCELULA PARA QUALQUER TIPO DE LAMPADA, POTENCIA MAXIMA *1000* W, USO EXTERNO</t>
  </si>
  <si>
    <t>SUPORTE MAO-FRANCESA EM ACO, ABAS IGUAIS 40 CM, CAPACIDADE MINIMA 70 KG, BRANCO</t>
  </si>
  <si>
    <t>TALABARTE DE SEGURANCA, 2 MOSQUETOES TRAVA DUPLA *53* MM DE ABERTURA, COM ABSORVEDOR DE ENERGIA</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</si>
  <si>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</si>
  <si>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</si>
  <si>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</si>
  <si>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</si>
  <si>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TAMPAO FOFO ARTICULADO, CLASSE D400 CARGA MAX 40 T, REDONDO TAMPA *600 MM, REDE PLUVIAL/ESGOTO</t>
  </si>
  <si>
    <t>TE MISTURADOR DE TRANSICAO, CPVC, COM ROSCA, 22 MM X 3/4", PARA AGUA QUENTE</t>
  </si>
  <si>
    <t>TELA DE ACO SOLDADA GALVANIZADA/ZINCADA PARA ALVENARIA, FIO  D = *1,20 A 1,70* MM, MALHA 15 X 15 MM, (C X L) *50 X 12* CM</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</si>
  <si>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</si>
  <si>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</si>
  <si>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</si>
  <si>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</si>
  <si>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</si>
  <si>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</si>
  <si>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</si>
  <si>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</si>
  <si>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</si>
  <si>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</si>
  <si>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</si>
  <si>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</si>
  <si>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</si>
  <si>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</si>
  <si>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</si>
  <si>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TRAVA-QUEDAS EM ACO PARA CORDA DE 12 MM, EXTENSOR DE 25 X 300 MM, COM MOSQUETAO TIPO GANCHO TRAVA DUPLA</t>
  </si>
  <si>
    <t>TUBO ACO CARBONO SEM COSTURA 2", E= *3,91* MM, SCHEDULE 40, *5,43* KG/M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</si>
  <si>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</si>
  <si>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</si>
  <si>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</si>
  <si>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</si>
  <si>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</si>
  <si>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</si>
  <si>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</si>
  <si>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</si>
  <si>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</si>
  <si>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</si>
  <si>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</si>
  <si>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</si>
  <si>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</si>
  <si>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</si>
  <si>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</si>
  <si>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</si>
  <si>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</si>
  <si>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</si>
  <si>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</si>
  <si>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</si>
  <si>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</si>
  <si>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</si>
  <si>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</si>
  <si>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</si>
  <si>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</si>
  <si>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</si>
  <si>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</si>
  <si>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</si>
  <si>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</si>
  <si>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</si>
  <si>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</si>
  <si>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</si>
  <si>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</si>
  <si>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</si>
  <si>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</si>
  <si>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</si>
  <si>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</si>
  <si>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</si>
  <si>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</si>
  <si>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</si>
  <si>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</si>
  <si>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</si>
  <si>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</si>
  <si>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</si>
  <si>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</si>
  <si>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</si>
  <si>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</si>
  <si>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</si>
  <si>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</si>
  <si>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</si>
  <si>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</si>
  <si>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</si>
  <si>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</si>
  <si>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</si>
  <si>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</si>
  <si>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</si>
  <si>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</si>
  <si>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</si>
  <si>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</si>
  <si>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</si>
  <si>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</si>
  <si>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</si>
  <si>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</si>
  <si>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</si>
  <si>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</si>
  <si>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</si>
  <si>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</si>
  <si>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</si>
  <si>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</si>
  <si>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</si>
  <si>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</si>
  <si>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</si>
  <si>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</si>
  <si>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</si>
  <si>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8mm</t>
  </si>
  <si>
    <t>Perfil em alumínio para acabamento de trilho superior - Vidro temperado 8mm</t>
  </si>
  <si>
    <t>Capa do Perfil Guia Inferior “Click” - Vidro temperado 8mm</t>
  </si>
  <si>
    <t>Perfil guia inferior de alumínio para porta de giro em vidro temperado 8mm</t>
  </si>
  <si>
    <t>Perfil guia inferior de alumínio para porta de correr em vidro temperado 8mm</t>
  </si>
  <si>
    <t>Trilho superior em alumínio 53,8mm x 49,6mm, para vidro temperado</t>
  </si>
  <si>
    <t>Perfil em alumínio, tipo U - 10,5 x 20mm - para box de vidro temperado 8mm</t>
  </si>
  <si>
    <t>Perfil em alumínio , tipo U –  14 x 20mm - para box de vidro temperado 8mm</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</si>
  <si>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</si>
  <si>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</si>
  <si>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</si>
  <si>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</si>
  <si>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</si>
  <si>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</si>
  <si>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</si>
  <si>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</si>
  <si>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</si>
  <si>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</si>
  <si>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</si>
  <si>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</si>
  <si>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</si>
  <si>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</si>
  <si>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</si>
  <si>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</si>
  <si>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</si>
  <si>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Cerâmica 30x60cm - Glacier White - Portobello – Linha Residencial</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</si>
  <si>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</si>
  <si>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</si>
  <si>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</si>
  <si>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</si>
  <si>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</si>
  <si>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</si>
  <si>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Tubo CPVC soldável 22mm – Linha Residencial</t>
  </si>
  <si>
    <t>Tubo CPVC soldável 28mm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</si>
  <si>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</si>
  <si>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</si>
  <si>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</si>
  <si>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</si>
  <si>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</si>
  <si>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</si>
  <si>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</si>
  <si>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</si>
  <si>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</si>
  <si>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</si>
  <si>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</si>
  <si>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</si>
  <si>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</si>
  <si>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</si>
  <si>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</si>
  <si>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</si>
  <si>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</si>
  <si>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ARGAMASSA COLANTE TIPO AC III E</t>
  </si>
  <si>
    <t>BLOCO CERAMICO VAZADO PARA ALVENARIA DE VEDACAO, DE 9 X 19 X 19 CM (L X A X C)</t>
  </si>
  <si>
    <t>BLOCO DE CONCRETO ESTRUTURAL 14 X 19 X 34 CM, FBK 4,5 MPA (NBR 6136)</t>
  </si>
  <si>
    <t>BLOCO DE CONCRETO ESTRUTURAL 14 X 19 X 39 CM, FBK 4,5 MPA (NBR 6136)</t>
  </si>
  <si>
    <t>BLOCO DE CONCRETO ESTRUTURAL 19 X 19 X 39 CM, FBK 4,5 MPA (NBR 6136)</t>
  </si>
  <si>
    <t>BLOCO DE CONCRETO ESTRUTURAL 9 X 19 X 39 CM, FBK 4,5 MPA (NBR 6136)</t>
  </si>
  <si>
    <t>BLOCO DE VEDACAO DE CONCRETO, 9 X 19 X 39 CM (CLASSE C - NBR 6136)</t>
  </si>
  <si>
    <t>CANALETA DE CONCRETO ESTRUTURAL 14 X 19 X 39 CM, FBK 4,5 MPA (NBR 6136)</t>
  </si>
  <si>
    <t>CANALETA DE CONCRETO 19 X 19 X 19 CM (CLASSE C - NBR 6136)</t>
  </si>
  <si>
    <t>MEIO BLOCO DE CONCRETO ESTRUTURAL 14 X 19 X 19 CM, FBK 4,5 MPA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</si>
  <si>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</si>
  <si>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</si>
  <si>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</si>
  <si>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</si>
  <si>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</si>
  <si>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</si>
  <si>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</si>
  <si>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</si>
  <si>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CARGA, MANOBRA E DESCARGA DE SOLOS E MATERIAIS GRANULARES EM CAMINHÃO BASCULANTE 6 M³ - CARGA COM PÁ CARREGADEIRA (CAÇAMBA DE 1,7 A 2,8 M³ / 128 HP) E DESCARGA LIVRE (UNIDADE: M3).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</si>
  <si>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</si>
  <si>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</si>
  <si>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</si>
  <si>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</si>
  <si>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</si>
  <si>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</si>
  <si>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</si>
  <si>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</si>
  <si>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</si>
  <si>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</si>
  <si>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</si>
  <si>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</si>
  <si>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</si>
  <si>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Folha de porta em madeira 2,10x0,60m, pintada</t>
  </si>
  <si>
    <t>Folha de porta em madeira 2,10x0,70m, pintada</t>
  </si>
  <si>
    <t>Folha de porta em madeira 2,10x0,80m, pintada</t>
  </si>
  <si>
    <t>Folha de porta em madeira 2,10x0,90m, pintada</t>
  </si>
  <si>
    <t>Folha de porta em madeira 2,10x1,0m, pintada</t>
  </si>
  <si>
    <t>Folha de porta em madeira e MDF 2,10x0,60m</t>
  </si>
  <si>
    <t>Folha de porta em madeira e MDF 2,10x0,70m</t>
  </si>
  <si>
    <t>Folha de porta em madeira e MDF 2,10x0,80m</t>
  </si>
  <si>
    <t>Folha de porta em madeira e MDF 2,10x0,90m</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</si>
  <si>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</si>
  <si>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</si>
  <si>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</si>
  <si>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</si>
  <si>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</si>
  <si>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</si>
  <si>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</si>
  <si>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</si>
  <si>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</si>
  <si>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</si>
  <si>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</si>
  <si>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</si>
  <si>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</si>
  <si>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</si>
  <si>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</si>
  <si>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</si>
  <si>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</si>
  <si>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</si>
  <si>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</si>
  <si>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</si>
  <si>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</si>
  <si>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</si>
  <si>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</si>
  <si>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</si>
  <si>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</si>
  <si>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</si>
  <si>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</si>
  <si>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</si>
  <si>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</si>
  <si>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</si>
  <si>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</si>
  <si>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</si>
  <si>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</si>
  <si>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</si>
  <si>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</si>
  <si>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</si>
  <si>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</si>
  <si>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</si>
  <si>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</si>
  <si>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</si>
  <si>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</si>
  <si>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</si>
  <si>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</si>
  <si>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</si>
  <si>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</si>
  <si>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</si>
  <si>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</si>
  <si>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</si>
  <si>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</si>
  <si>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</si>
  <si>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</si>
  <si>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</si>
  <si>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</si>
  <si>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</si>
  <si>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</si>
  <si>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</si>
  <si>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</si>
  <si>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</si>
  <si>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</si>
  <si>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</si>
  <si>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</si>
  <si>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</si>
  <si>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</si>
  <si>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</si>
  <si>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</si>
  <si>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</si>
  <si>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</si>
  <si>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</si>
  <si>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</si>
  <si>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</si>
  <si>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</si>
  <si>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</si>
  <si>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</si>
  <si>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</si>
  <si>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</si>
  <si>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</si>
  <si>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</si>
  <si>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</si>
  <si>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</si>
  <si>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</si>
  <si>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</si>
  <si>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</si>
  <si>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</si>
  <si>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</si>
  <si>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</si>
  <si>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</si>
  <si>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</si>
  <si>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</si>
  <si>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</si>
  <si>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</si>
  <si>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</si>
  <si>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</si>
  <si>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</si>
  <si>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</si>
  <si>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</si>
  <si>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</si>
  <si>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</si>
  <si>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</si>
  <si>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</si>
  <si>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</si>
  <si>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</si>
  <si>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</si>
  <si>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</si>
  <si>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</si>
  <si>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</si>
  <si>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</si>
  <si>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</si>
  <si>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Caixa de passagem em alumínio 300x300x120mm</t>
  </si>
  <si>
    <t>SF-01334</t>
  </si>
  <si>
    <t>Caixa de Passagem Subterrânea 1600x2000mm</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</si>
  <si>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</si>
  <si>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</si>
  <si>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</si>
  <si>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</si>
  <si>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</si>
  <si>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</si>
  <si>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</si>
  <si>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</si>
  <si>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</si>
  <si>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</si>
  <si>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</si>
  <si>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</si>
  <si>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</si>
  <si>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</si>
  <si>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</si>
  <si>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</si>
  <si>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</si>
  <si>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</si>
  <si>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</si>
  <si>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</si>
  <si>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</si>
  <si>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</si>
  <si>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</si>
  <si>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</si>
  <si>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</si>
  <si>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</si>
  <si>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</si>
  <si>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</si>
  <si>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</si>
  <si>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</si>
  <si>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</si>
  <si>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Armário em MDF laminado com porta e módulo de gaveta – Linha Residencial</t>
  </si>
  <si>
    <t>BARRA DE FERRO CHATA, RETANGULAR (QUALQUER BITOLA)</t>
  </si>
  <si>
    <t>CAIBRO 5 X 5 CM EM PINUS, MISTA OU EQUIVALENTE DA REGIAO - BRUTA</t>
  </si>
  <si>
    <t>CANTONEIRA (ABAS IGUAIS) EM FERRO GALVANIZADO, 25,4 MM X 3,17 MM (L X E), 0,86 KG/M</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</si>
  <si>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</si>
  <si>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</si>
  <si>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</si>
  <si>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TIPO CHAPEU PARA BOCA DE LOBO,  DIMENSOES *1,20* X 0,15 X 0,30 M</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</si>
  <si>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</si>
  <si>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</si>
  <si>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</si>
  <si>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</si>
  <si>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</si>
  <si>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</si>
  <si>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23* CM EM PINUS, MISTA OU EQUIVALENTE DA REGIAO - BRUTA</t>
  </si>
  <si>
    <t>TABUA *2,5 X 30 CM EM PINUS, MISTA OU EQUIVALENTE DA REGIAO - BRUTA</t>
  </si>
  <si>
    <t>SF-01340</t>
  </si>
  <si>
    <t>Válvula solenóide para gás</t>
  </si>
  <si>
    <t>SF-01341</t>
  </si>
  <si>
    <t>Coletor de gás</t>
  </si>
  <si>
    <t>SF-01342</t>
  </si>
  <si>
    <t>SF-01343</t>
  </si>
  <si>
    <t>SF-01344</t>
  </si>
  <si>
    <t>SF-01345</t>
  </si>
  <si>
    <t>SF-01346</t>
  </si>
  <si>
    <t>Elaboração de Projeto Executivo de Subestação Elétrica em Poste</t>
  </si>
  <si>
    <t>PREÇO TOTAL</t>
  </si>
  <si>
    <t>SF-01380</t>
  </si>
  <si>
    <t>Relatório técnico de qualidade do ar</t>
  </si>
  <si>
    <t>SF-01379</t>
  </si>
  <si>
    <t>Detector de fumaça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</si>
  <si>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</si>
  <si>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</si>
  <si>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</si>
  <si>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</si>
  <si>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</si>
  <si>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</si>
  <si>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LOCACAO DE ANDAIME METALICO TUBULAR DE ENCAIXE, TIPO DE TORRE, COM LARGURA DE 1 ATE 1,5 M E ALTURA DE *1,00* M (INCLUSO SAPATAS FIXAS OU RODIZIOS)</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</si>
  <si>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</si>
  <si>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</si>
  <si>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</si>
  <si>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</si>
  <si>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</si>
  <si>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</si>
  <si>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</si>
  <si>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</si>
  <si>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</si>
  <si>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</si>
  <si>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</si>
  <si>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</si>
  <si>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</si>
  <si>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</si>
  <si>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</si>
  <si>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</si>
  <si>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</si>
  <si>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</si>
  <si>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</si>
  <si>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</si>
  <si>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</si>
  <si>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CAIBRO NAO APARELHADO  *7,5 X 7,5* CM, EM MACARANDUBA, ANGELIM OU EQUIVALENTE DA REGIAO -  BRUTA</t>
  </si>
  <si>
    <t>REDUCAO EXCENTRICA PVC, SERIE R, DN 150 X 100 MM, PARA ESGOTO OU AGUAS PLUVIAIS PREDIAIS</t>
  </si>
  <si>
    <t>SARRAFO NAO APARELHADO *2,5 X 10* CM, EM MACARANDUBA, ANGELIM OU EQUIVALENTE DA REGIAO -  BRUTA</t>
  </si>
  <si>
    <t>SARRAFO NAO APARELHADO *2,5 X 7* CM, EM MACARANDUBA, ANGELIM OU EQUIVALENTE DA REGIAO -  BRUTA</t>
  </si>
  <si>
    <t>TABUA  NAO  APARELHADA  *2,5 X 20* CM, EM MACARANDUBA, ANGELIM OU EQUIVALENTE DA REGIAO - BRUTA</t>
  </si>
  <si>
    <t>TABUA NAO APARELHADA *2,5 X 30* CM, EM MACARANDUBA, ANGELIM OU EQUIVALENTE DA REGIAO - BRUTA</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</si>
  <si>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</si>
  <si>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</si>
  <si>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</si>
  <si>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</si>
  <si>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</si>
  <si>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</si>
  <si>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</si>
  <si>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</si>
  <si>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</si>
  <si>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</si>
  <si>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</si>
  <si>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</si>
  <si>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</si>
  <si>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</si>
  <si>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</si>
  <si>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</si>
  <si>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</si>
  <si>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</si>
  <si>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</si>
  <si>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</si>
  <si>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</si>
  <si>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</si>
  <si>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</si>
  <si>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</si>
  <si>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</si>
  <si>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</si>
  <si>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</si>
  <si>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</si>
  <si>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</si>
  <si>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</si>
  <si>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</si>
  <si>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</si>
  <si>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</si>
  <si>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</si>
  <si>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</si>
  <si>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</si>
  <si>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</si>
  <si>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</si>
  <si>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</si>
  <si>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 de fibra óptica multimodo 12 fibras</t>
  </si>
  <si>
    <t>Cabos de cobre para comunicação CANbus</t>
  </si>
  <si>
    <t>Cabos de cobre para comunicação padrão RS-485</t>
  </si>
  <si>
    <t>Condulete de alumínio de 2”</t>
  </si>
  <si>
    <t>Cabo de potência, 8,7 kV/15 kV, 95 mm²</t>
  </si>
  <si>
    <t>Cabo de potência, 8,7 kV/15 kV, 240 mm²</t>
  </si>
  <si>
    <t>Distribuidor Interno Óptico Industrial – fornecimento e instalação</t>
  </si>
  <si>
    <t>Eletroduto PEAD 5”</t>
  </si>
  <si>
    <t>Grupo motor-gerador 500 kVA</t>
  </si>
  <si>
    <t>Interruptor duplo para condulete</t>
  </si>
  <si>
    <t>Leito 400x100 mm</t>
  </si>
  <si>
    <t>Leito 600x100 mm</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</si>
  <si>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</si>
  <si>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</si>
  <si>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</si>
  <si>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</si>
  <si>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</si>
  <si>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</si>
  <si>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</si>
  <si>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</si>
  <si>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</si>
  <si>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Caixa de Passagem Subterrânea 300x300x500mm</t>
  </si>
  <si>
    <t>Quadro de transferência automática - QTA</t>
  </si>
  <si>
    <t>Quadro de transferência automática para sistemas auxiliares – QTA-GER</t>
  </si>
  <si>
    <t>Caixa de Passagem Subterrânea 600x600x800mm</t>
  </si>
  <si>
    <t>Sistema de energia ininterrupta</t>
  </si>
  <si>
    <t>Kit terminal para cabo de potência, 8,7 kV/15 kV, 95 mm²</t>
  </si>
  <si>
    <t>Kit terminal para cabo de potência, 8,7 kV/15 kV, 240 mm²</t>
  </si>
  <si>
    <t>Tomada para condulete (20 A)</t>
  </si>
  <si>
    <t>Transformador a seco 2000 kVA</t>
  </si>
  <si>
    <t>Cabo de cobre nu 50 mm²</t>
  </si>
  <si>
    <t>Eletrocentro</t>
  </si>
  <si>
    <t>Haste de aterramento 3/4” x 3 m</t>
  </si>
  <si>
    <t>Leito 800x100 mm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</si>
  <si>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</si>
  <si>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</si>
  <si>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</si>
  <si>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</si>
  <si>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</si>
  <si>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</si>
  <si>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</si>
  <si>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</si>
  <si>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Remoção dos GMGs antigos e sistemas auxiliares</t>
  </si>
  <si>
    <t>Retrofit do sistema de comando/controle do painel de média tensão de distribuição</t>
  </si>
  <si>
    <t>Retrofit do controlador da chave de transferência automática da SE-UA</t>
  </si>
  <si>
    <t>Substituição dos Quadros de Transferência Automática</t>
  </si>
  <si>
    <t>Grupo motor-gerador 115 kVA</t>
  </si>
  <si>
    <t>Projeto Executivo de Instalação de Gerador de Emergência</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</si>
  <si>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</si>
  <si>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</si>
  <si>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</si>
  <si>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</si>
  <si>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</si>
  <si>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</si>
  <si>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</si>
  <si>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</si>
  <si>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</si>
  <si>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</si>
  <si>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</si>
  <si>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</si>
  <si>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</si>
  <si>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</si>
  <si>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</si>
  <si>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</si>
  <si>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</si>
  <si>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</si>
  <si>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</si>
  <si>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</si>
  <si>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</si>
  <si>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Conjunto parafuso, porca e arruelas M5</t>
  </si>
  <si>
    <t>Conjunto parafuso, porca e arruelas M6</t>
  </si>
  <si>
    <t>Conjunto parafuso, porca e arruelas M8</t>
  </si>
  <si>
    <t>Conjunto parafuso, porca e arruelas M10</t>
  </si>
  <si>
    <t>Conjunto parafuso, porca e arruelas M12</t>
  </si>
  <si>
    <t>Identificador para botão de emergência</t>
  </si>
  <si>
    <t>Prensa cabos</t>
  </si>
  <si>
    <t>Bloco de distribuição 2 x 7</t>
  </si>
  <si>
    <t>Bloco de distribuição 2 x 15</t>
  </si>
  <si>
    <t>Bloco de distribuição 4 x 7</t>
  </si>
  <si>
    <t>Bloco de distribuição 4 x 15</t>
  </si>
  <si>
    <t>Isolador de baixa tensão para barramentos</t>
  </si>
  <si>
    <t>Trilho DIN 35mm</t>
  </si>
  <si>
    <t>Suporte para trilho DIN</t>
  </si>
  <si>
    <t>Barramento de cobre</t>
  </si>
  <si>
    <t>Desumidificador para painel</t>
  </si>
  <si>
    <t>Conjunto ventilador para painel elétrico 150 mm</t>
  </si>
  <si>
    <t>Conjunto ventilador para painel elétrico 200 mm</t>
  </si>
  <si>
    <t>Conjunto ventilador para painel elétrico 250 mm</t>
  </si>
  <si>
    <t>Conjunto ventilador para painel elétrico 325 mm</t>
  </si>
  <si>
    <t>Porta documentos</t>
  </si>
  <si>
    <t>Tomada auxiliar</t>
  </si>
  <si>
    <t>Fixador/clip autoadesivo para abraçadeiras de nylon</t>
  </si>
  <si>
    <t>Spira-duto 1/8</t>
  </si>
  <si>
    <t>Spira-duto 1/4</t>
  </si>
  <si>
    <t>Spira-duto 1/2</t>
  </si>
  <si>
    <t>Spira-duto 3/4</t>
  </si>
  <si>
    <t>Canaleta de quadro 30 mm x 30 mm</t>
  </si>
  <si>
    <t>Canaleta de quadro 30 mm x 50 mm</t>
  </si>
  <si>
    <t>Canaleta de quadro 50 mm x 50 mm</t>
  </si>
  <si>
    <t>Canaleta de quadro 50 mm x 80 mm</t>
  </si>
  <si>
    <t>Canaleta de quadro 80 mm x 50 mm</t>
  </si>
  <si>
    <t>Canaleta de quadro 80 mm x 80 mm</t>
  </si>
  <si>
    <t>Canaleta de quadro 110 mm x 80 mm</t>
  </si>
  <si>
    <t>Borne até 4 mm²</t>
  </si>
  <si>
    <t>Borne terra até 4 mm²</t>
  </si>
  <si>
    <t>Borne 6 mm²</t>
  </si>
  <si>
    <t>Borne terra 6 mm²</t>
  </si>
  <si>
    <t>Borne 10 mm²</t>
  </si>
  <si>
    <t>Borne terra 10 mm²</t>
  </si>
  <si>
    <t>Borne 16 mm²</t>
  </si>
  <si>
    <t>Borne terra 16 mm²</t>
  </si>
  <si>
    <t>Borne 35 mm²</t>
  </si>
  <si>
    <t>Borne terra 35 mm²</t>
  </si>
  <si>
    <t>Borne duplo</t>
  </si>
  <si>
    <t>Tampa final para borne</t>
  </si>
  <si>
    <t>Separador para borne</t>
  </si>
  <si>
    <t>Ponte para borne</t>
  </si>
  <si>
    <t>Poste para borne</t>
  </si>
  <si>
    <t>Borne porta-fusível com LED</t>
  </si>
  <si>
    <t>Borne porta-fusível sem LED</t>
  </si>
  <si>
    <t>Porta identificador para borne</t>
  </si>
  <si>
    <t>Identificador para borne</t>
  </si>
  <si>
    <t>Bloco de aferição para TC</t>
  </si>
  <si>
    <t>Bloco de aferição para TP e TC</t>
  </si>
  <si>
    <t>Barramento monofásico isolado</t>
  </si>
  <si>
    <t>Barramento bifásico isolado</t>
  </si>
  <si>
    <t>Barramento trifásico isolado</t>
  </si>
  <si>
    <t>Protetor para barramento isolado</t>
  </si>
  <si>
    <t>Conector para barramento isolado</t>
  </si>
  <si>
    <t>Obturador para quadro elétrico</t>
  </si>
  <si>
    <t>Barramento de neutro ou terra</t>
  </si>
  <si>
    <t>Fecho para quadro</t>
  </si>
  <si>
    <t>Placa de montagem 1,5 mm</t>
  </si>
  <si>
    <t>Placa de montagem 2 mm</t>
  </si>
  <si>
    <t>Chapa de aço galvanizado</t>
  </si>
  <si>
    <t>Policarbonato</t>
  </si>
  <si>
    <t>Placa de identificação</t>
  </si>
  <si>
    <t>Cadeado para disjuntores</t>
  </si>
  <si>
    <t>Bloqueio para disjuntores</t>
  </si>
  <si>
    <t>Ventoinha 120mm</t>
  </si>
  <si>
    <t>Perfil de aço</t>
  </si>
  <si>
    <t>Espuma expansiva corta-fogo</t>
  </si>
  <si>
    <t>Cantoneira</t>
  </si>
  <si>
    <t>Janela de inspeção termográfica 2 polegadas</t>
  </si>
  <si>
    <t>Janela de inspeção termográfica 3 polegadas</t>
  </si>
  <si>
    <t>Janela de inspeção termográfica 4 polegadas</t>
  </si>
  <si>
    <t>Pino-bola para ponto de aterramento temporário</t>
  </si>
  <si>
    <t>Luminária para quadros elétricos</t>
  </si>
  <si>
    <t>Canaleta em alumínio 73mm x 25mm</t>
  </si>
  <si>
    <t>Curva para canaleta em alumínio 73mm x 25mm</t>
  </si>
  <si>
    <t>Porta equipamentos para canaleta de alumínio</t>
  </si>
  <si>
    <t>Adaptador de eletroduto para canaleta em alumínio 73mm x 25mm</t>
  </si>
  <si>
    <t>Tampa terminal para canaleta em alumínio 73mm x 25mm</t>
  </si>
  <si>
    <t>Derivação tipo X para canaleta em alumínio 73mm x 25mm</t>
  </si>
  <si>
    <t>Canaleta em alumínio 53mm x 14mm</t>
  </si>
  <si>
    <t>Curva para canaleta em alumínio 53mm x 14mm</t>
  </si>
  <si>
    <t>Tampa terminal para canaleta em alumínio 53mm x 14mm</t>
  </si>
  <si>
    <t>Adaptador de porta equipamentos para canaleta em alumínio 53mm x 14mm</t>
  </si>
  <si>
    <t>Canaleta em PVC 20mm x 12 mm</t>
  </si>
  <si>
    <t>Acessório para canaleta em PVC 20mm x 12 mm</t>
  </si>
  <si>
    <t>Caixa de sobrepor para canaleta em PVC 20mm x 12 mm</t>
  </si>
  <si>
    <t>Tomada para canaleta em PVC 20mm x 12 mm</t>
  </si>
  <si>
    <t>Interruptor para canaleta em PVC 20mm x 12 mm</t>
  </si>
  <si>
    <t>Pulsador para canaleta em PVC 20mm x 12 mm</t>
  </si>
  <si>
    <t>Módulo cego para canaleta em PVC 20mm x 12 mm</t>
  </si>
  <si>
    <t>Chave seletora de 2 posições</t>
  </si>
  <si>
    <t>Chave seletora de 3 posições</t>
  </si>
  <si>
    <t>Botão de emergência tipo cogumelo</t>
  </si>
  <si>
    <t>Botão tipo pulsador</t>
  </si>
  <si>
    <t>Botão tipo pulsador iluminado</t>
  </si>
  <si>
    <t>Bloco de contato para chaves e botões</t>
  </si>
  <si>
    <t>Chave seletora de 2 posições iluminada</t>
  </si>
  <si>
    <t>Chave seletora de 3 posições iluminada</t>
  </si>
  <si>
    <t>Botão duplo</t>
  </si>
  <si>
    <t>Sinaleiro LED</t>
  </si>
  <si>
    <t>Sinalizador sonoro luminoso</t>
  </si>
  <si>
    <t>Sinalizador sonoro</t>
  </si>
  <si>
    <t>Sirene</t>
  </si>
  <si>
    <t>Chave de partida direta</t>
  </si>
  <si>
    <t>Distribuidor Interno Ótico Industrial</t>
  </si>
  <si>
    <t>Patch Panel Ethernet Industrial</t>
  </si>
  <si>
    <t>Conector RJ45 Fêmea Blindado</t>
  </si>
  <si>
    <t>Conector RJ45 Macho Blindado</t>
  </si>
  <si>
    <t>Switch ethernet industrial</t>
  </si>
  <si>
    <t>Gateway Modbus Ethernet/RS485</t>
  </si>
  <si>
    <t>Condulete de alumínio de 3/4”</t>
  </si>
  <si>
    <t>Condulete de alumínio de 1”</t>
  </si>
  <si>
    <t>Condulete de alumínio de 1 1/4”</t>
  </si>
  <si>
    <t>Condulete de alumínio de 1 1/2”</t>
  </si>
  <si>
    <t>Condulete de alumínio de 2 1/2”</t>
  </si>
  <si>
    <t>Condulete de alumínio de 3”</t>
  </si>
  <si>
    <t>Condulete de alumínio de 4”</t>
  </si>
  <si>
    <t>Tampa para condulete de alumínio de 3/4”</t>
  </si>
  <si>
    <t>Tampa para condulete de alumínio de 1”</t>
  </si>
  <si>
    <t>Tomada para condulete de 10 A</t>
  </si>
  <si>
    <t>Tomada para condulete de 20 A</t>
  </si>
  <si>
    <t>Tomada dupla para condulete</t>
  </si>
  <si>
    <t>Tomada e interruptor para condulete</t>
  </si>
  <si>
    <t>Kit de vedaçao para condulete de alumínio de 3/4”</t>
  </si>
  <si>
    <t>Kit de vedaçao para condulete de alumínio de 1”</t>
  </si>
  <si>
    <t>Kit de vedaçao para condulete de alumínio de 1 1/4”</t>
  </si>
  <si>
    <t>Kit de vedaçao para condulete de alumínio de 1 1/2”</t>
  </si>
  <si>
    <t>Kit de vedaçao para condulete de alumínio de 2”</t>
  </si>
  <si>
    <t>Tampa para condulete de PVC</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</si>
  <si>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</si>
  <si>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</si>
  <si>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</si>
  <si>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</si>
  <si>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</si>
  <si>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</si>
  <si>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</si>
  <si>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</si>
  <si>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</si>
  <si>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</si>
  <si>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</si>
  <si>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Luva de compressão 25 mm²</t>
  </si>
  <si>
    <t>Luva de compressão 35 mm²</t>
  </si>
  <si>
    <t>Luva de compressão 50 mm²</t>
  </si>
  <si>
    <t>Luva de compressão 70 mm²</t>
  </si>
  <si>
    <t>Luva de compressão 95 mm²</t>
  </si>
  <si>
    <t>Luva de compressão 120 mm²</t>
  </si>
  <si>
    <t>Luva de compressão 150 mm²</t>
  </si>
  <si>
    <t>Luva de compressão 185 mm²</t>
  </si>
  <si>
    <t>Luva de compressão 240 mm²</t>
  </si>
  <si>
    <t>Luva de compressão 300 mm²</t>
  </si>
  <si>
    <t>Condutor 1,0 mm²</t>
  </si>
  <si>
    <t>Condutor 1,5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</si>
  <si>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</si>
  <si>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</si>
  <si>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</si>
  <si>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</si>
  <si>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</si>
  <si>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</si>
  <si>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</si>
  <si>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</si>
  <si>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</si>
  <si>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</si>
  <si>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</si>
  <si>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</si>
  <si>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</si>
  <si>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</si>
  <si>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</si>
  <si>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</si>
  <si>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3x1,5 mm²</t>
  </si>
  <si>
    <t>Cabo 3x2,5 mm²</t>
  </si>
  <si>
    <t>Cabo 3x4 mm²</t>
  </si>
  <si>
    <t>Cabo 3x6 mm²</t>
  </si>
  <si>
    <t>Cabo PP 2x1 mm²</t>
  </si>
  <si>
    <t>Cabo PP 2x1,5 mm²</t>
  </si>
  <si>
    <t>Cabo PP 2x2,5 mm²</t>
  </si>
  <si>
    <t>Cabo PP 3x1 mm²</t>
  </si>
  <si>
    <t>Cabo PP 3x1,5 mm²</t>
  </si>
  <si>
    <t>Cabo PP 3x2,5 mm²</t>
  </si>
  <si>
    <t>Cabo Blindado 2x0,75mm²</t>
  </si>
  <si>
    <t>Cabo Blindado 2x1mm²</t>
  </si>
  <si>
    <t>Cabo Blindado 2x1,5mm²</t>
  </si>
  <si>
    <t>Cabo Blindado 2x2,5mm²</t>
  </si>
  <si>
    <t>Cabo Blindado 2x4mm²</t>
  </si>
  <si>
    <t>Cabo Blindado 3x0,75mm²</t>
  </si>
  <si>
    <t>Cabo Blindado 3x1,50mm²</t>
  </si>
  <si>
    <t>Cabo Blindado 3x2,50mm²</t>
  </si>
  <si>
    <t>Cabo 4x1 mm²</t>
  </si>
  <si>
    <t>Cabo 5x1 mm²</t>
  </si>
  <si>
    <t>Cabo 7x1 mm²</t>
  </si>
  <si>
    <t>Mufla de média tensão</t>
  </si>
  <si>
    <t>Contator auxiliar AC</t>
  </si>
  <si>
    <t>Contator auxiliar DC</t>
  </si>
  <si>
    <t>Minicontator 12A AC</t>
  </si>
  <si>
    <t>Minicontator 12A DC</t>
  </si>
  <si>
    <t>Minicontator 16A AC</t>
  </si>
  <si>
    <t>Minicontator 16A DC</t>
  </si>
  <si>
    <t>Contator 18A</t>
  </si>
  <si>
    <t>Contator 25A</t>
  </si>
  <si>
    <t>Contator 32A</t>
  </si>
  <si>
    <t>Contator 40A</t>
  </si>
  <si>
    <t>Contator 50A</t>
  </si>
  <si>
    <t>Contator 65A</t>
  </si>
  <si>
    <t>Contator 80A</t>
  </si>
  <si>
    <t>Contator Especial 18A</t>
  </si>
  <si>
    <t>Contator Especial 25A</t>
  </si>
  <si>
    <t>Contator Especial 30A</t>
  </si>
  <si>
    <t>Contator Especial 38A</t>
  </si>
  <si>
    <t>Contator Especial 50A</t>
  </si>
  <si>
    <t>Contator Especial 65A</t>
  </si>
  <si>
    <t>Contator Especial 150A</t>
  </si>
  <si>
    <t>Contator Especial 250A</t>
  </si>
  <si>
    <t>Bloco de contato auxiliar simples</t>
  </si>
  <si>
    <t>Bloco de contato auxiliar duplo</t>
  </si>
  <si>
    <t>Bloco de contato auxiliar quádruplo</t>
  </si>
  <si>
    <t>Relé de sobrecarga para contator até 25A</t>
  </si>
  <si>
    <t>Relé de sobrecarga para contator até 40A</t>
  </si>
  <si>
    <t>Relé de sobrecarga para contator até 80A</t>
  </si>
  <si>
    <t>Capacitor 2,5 kVAr</t>
  </si>
  <si>
    <t>Capacitor 5 kVAr</t>
  </si>
  <si>
    <t>Capacitor 10 kVAr</t>
  </si>
  <si>
    <t>Capacitor 15 kVAr</t>
  </si>
  <si>
    <t>Capacitor 20 kVAr</t>
  </si>
  <si>
    <t>Capacitor 25 kVAr</t>
  </si>
  <si>
    <t>Capacitor 30 kVAr</t>
  </si>
  <si>
    <t>Contator para capacitor 22A</t>
  </si>
  <si>
    <t>Contator para capacitor 30A</t>
  </si>
  <si>
    <t>Contator para capacitor 40A</t>
  </si>
  <si>
    <t>Contator para capacitor 60A</t>
  </si>
  <si>
    <t>Controlador de fator de potência</t>
  </si>
  <si>
    <t>Disjuntor monopolar trilho DIN até 4A</t>
  </si>
  <si>
    <t>Disjuntor monopolar trilho DIN até 6A</t>
  </si>
  <si>
    <t>Disjuntor monopolar trilho DIN até 32A</t>
  </si>
  <si>
    <t>Disjuntor monopolar trilho DIN até 63A</t>
  </si>
  <si>
    <t>Disjuntor bipolar trilho DIN até 4A</t>
  </si>
  <si>
    <t>Disjuntor bipolar trilho DIN até 6A</t>
  </si>
  <si>
    <t>Disjuntor bipolar trilho DIN até 32A</t>
  </si>
  <si>
    <t>Disjuntor tripolar trilho DIN até 4A</t>
  </si>
  <si>
    <t>Disjuntor tripolar trilho DIN até 6A</t>
  </si>
  <si>
    <t>Disjuntor tripolar trilho DIN até 50A</t>
  </si>
  <si>
    <t>Disjuntor tripolar trilho DIN até 63A</t>
  </si>
  <si>
    <t>Disjuntor tripolar trilho DIN até 70A</t>
  </si>
  <si>
    <t>Disjuntor tripolar trilho DIN até 100A</t>
  </si>
  <si>
    <t>Disjuntor monopolar trilho DIN até 6A, 10 kA</t>
  </si>
  <si>
    <t>Disjuntor monopolar trilho DIN até 32A, 10 kA</t>
  </si>
  <si>
    <t>Disjuntor monopolar trilho DIN até 63A, 10 kA</t>
  </si>
  <si>
    <t>Disjuntor bipolar trilho DIN até 6A, 10 kA</t>
  </si>
  <si>
    <t>Disjuntor bipolar trilho DIN até 32A, 10 kA</t>
  </si>
  <si>
    <t>Disjuntor tripolar trilho DIN até 6A, 10kA</t>
  </si>
  <si>
    <t>Disjuntor tripolar trilho DIN até 32A, 10kA</t>
  </si>
  <si>
    <t>Disjuntor tripolar trilho DIN até 63A, 10kA</t>
  </si>
  <si>
    <t>Interruptor diferencial residual bipolar de 25A</t>
  </si>
  <si>
    <t>Interruptor diferencial residual bipolar de 40A</t>
  </si>
  <si>
    <t>Interruptor diferencial residual tetrapolar de 25A</t>
  </si>
  <si>
    <t>Interruptor diferencial residual tetrapolar de 40A</t>
  </si>
  <si>
    <t>Interruptor diferencial residual tetrapolar de 63A</t>
  </si>
  <si>
    <t>Disjuntor diferencial residual bipolar</t>
  </si>
  <si>
    <t>Disjuntor diferencial residual tetrapolar</t>
  </si>
  <si>
    <t>Dispositivo de Proteção Contra Surtos Classe I</t>
  </si>
  <si>
    <t>Dispositivo de Proteção Contra Surtos Classe II 20 kA</t>
  </si>
  <si>
    <t>Dispositivo de Proteção Contra Surtos Classe II 40 kA</t>
  </si>
  <si>
    <t>Dispositivo de Proteção Contra Surtos Classe III</t>
  </si>
  <si>
    <t>Disjuntor de caixa moldada de 100A / 18kA</t>
  </si>
  <si>
    <t>Disjuntor de caixa moldada de 100A / 36kA</t>
  </si>
  <si>
    <t>Disjuntor de caixa moldada de 100A / 50kA</t>
  </si>
  <si>
    <t>Disjuntor de caixa moldada de 100A / 70kA</t>
  </si>
  <si>
    <t>Disjuntor de caixa moldada de 160A / 18kA</t>
  </si>
  <si>
    <t>Disjuntor de caixa moldada de 160A / 36kA</t>
  </si>
  <si>
    <t>Disjuntor de caixa moldada de 160A / 50kA</t>
  </si>
  <si>
    <t>Disjuntor de caixa moldada de 160A / 70kA</t>
  </si>
  <si>
    <t>Disjuntor de caixa moldada de 250A / 25kA</t>
  </si>
  <si>
    <t>Disjuntor de caixa moldada de 250A / 36kA</t>
  </si>
  <si>
    <t>Disjuntor de caixa moldada de 250A / 50kA</t>
  </si>
  <si>
    <t>Disjuntor de caixa moldada de 250A / 70kA</t>
  </si>
  <si>
    <t>Disjuntor de caixa moldada de 250A / 100kA</t>
  </si>
  <si>
    <t>Disjuntor de caixa moldada de 400A / 36kA</t>
  </si>
  <si>
    <t>Disjuntor de caixa moldada de 400A / 50kA</t>
  </si>
  <si>
    <t>Disjuntor de caixa moldada de 400A / 70kA</t>
  </si>
  <si>
    <t>Disjuntor de caixa moldada de 400A / 100kA</t>
  </si>
  <si>
    <t>Disjuntor de caixa moldada de 630A / 36kA</t>
  </si>
  <si>
    <t>Disjuntor de caixa moldada de 630A / 50kA</t>
  </si>
  <si>
    <t>Disjuntor de caixa moldada de 630A / 70kA</t>
  </si>
  <si>
    <t>Disjuntor de caixa moldada de 630A / 100kA</t>
  </si>
  <si>
    <t>Disjuntor de caixa moldada de 800A / 36kA</t>
  </si>
  <si>
    <t>Disjuntor de caixa moldada de 800A / 50kA</t>
  </si>
  <si>
    <t>Disjuntor de caixa moldada de 800A / 70kA</t>
  </si>
  <si>
    <t>Disjuntor de caixa moldada de 800A / 100kA</t>
  </si>
  <si>
    <t>Disjuntor de caixa aberta de 630A / 50kA</t>
  </si>
  <si>
    <t>Disjuntor de caixa aberta de 800A / 65kA</t>
  </si>
  <si>
    <t>Disjuntor de caixa aberta de 800A / 100kA</t>
  </si>
  <si>
    <t>Disjuntor de caixa aberta de 1000A / 65kA</t>
  </si>
  <si>
    <t>Disjuntor de caixa aberta de 1000A / 100kA</t>
  </si>
  <si>
    <t>Disjuntor de caixa aberta de 1250A / 65kA</t>
  </si>
  <si>
    <t>Disjuntor de caixa aberta de 1250A / 100kA</t>
  </si>
  <si>
    <t>Disjuntor de caixa aberta de 1600A / 65kA</t>
  </si>
  <si>
    <t>Disjuntor de caixa aberta de 1600A / 100kA</t>
  </si>
  <si>
    <t>Disjuntor motor até 25A</t>
  </si>
  <si>
    <t>Disjuntor motor até 40A</t>
  </si>
  <si>
    <t>Eletrocalha 150x50 mm</t>
  </si>
  <si>
    <t>Eletrocalha 400x100 mm</t>
  </si>
  <si>
    <t>Eletrocalha 500x100 mm</t>
  </si>
  <si>
    <t>Tampa de eletrocalha 50 mm</t>
  </si>
  <si>
    <t>Tampa de eletrocalha 100 mm</t>
  </si>
  <si>
    <t>Tampa de eletrocalha 150 mm</t>
  </si>
  <si>
    <t>Tampa de eletrocalha 200 mm</t>
  </si>
  <si>
    <t>Tampa de eletrocalha 300 mm</t>
  </si>
  <si>
    <t>Tampa de eletrocalha 400 mm</t>
  </si>
  <si>
    <t>Tampa de eletrocalha 500 mm</t>
  </si>
  <si>
    <t>Suporte vertical para eletrocalha de 50 mm</t>
  </si>
  <si>
    <t>Suporte vertical para eletrocalha de 100 mm</t>
  </si>
  <si>
    <t>Suporte vertical para eletrocalha de 150 mm</t>
  </si>
  <si>
    <t>Suporte vertical para eletrocalha de 200 mm</t>
  </si>
  <si>
    <t>Suporte vertical para eletrocalha de 300 mm</t>
  </si>
  <si>
    <t>Curva horizontal 90 graus para eletrocalha 50x50 mm</t>
  </si>
  <si>
    <t>Curva vertical 90 graus para eletrocalha 50x50 mm</t>
  </si>
  <si>
    <t>Tê horizontal 90 graus para eletrocalha 50x50 mm</t>
  </si>
  <si>
    <t>Suspensão ômega para eletrocalha 50x50 mm</t>
  </si>
  <si>
    <t>Junção integral (emenda) para eletrocalha_x000D_
 50x50 mm</t>
  </si>
  <si>
    <t>Curva horizontal 90 graus para eletrocalha 100x50 mm</t>
  </si>
  <si>
    <t>Curva vertical 90 graus para eletrocalha 100x50 mm</t>
  </si>
  <si>
    <t>Tê horizontal 90 graus para eletrocalha 100x50 mm</t>
  </si>
  <si>
    <t>Suspensão ômega para eletrocalha 100x50 mm</t>
  </si>
  <si>
    <t>Junção integral (emenda) para eletrocalha 100x50 mm</t>
  </si>
  <si>
    <t>Curva horizontal 90 graus para eletrocalha 150x50 mm</t>
  </si>
  <si>
    <t>Curva vertical 90 graus para eletrocalha 150x50 mm</t>
  </si>
  <si>
    <t>Tê horizontal 90 graus para eletrocalha 150x50 mm</t>
  </si>
  <si>
    <t>Suspensão ômega para eletrocalha 150x50 mm</t>
  </si>
  <si>
    <t>Junção integral (emenda) para eletrocalha_x000D_
 150x50 mm</t>
  </si>
  <si>
    <t>Curva horizontal 90 graus para eletrocalha 200x50 mm</t>
  </si>
  <si>
    <t>Curva vertical 90 graus para eletrocalha 200x50 mm</t>
  </si>
  <si>
    <t>Tê horizontal 90 graus para eletrocalha 200x50 mm</t>
  </si>
  <si>
    <t>Suspensão ômega para eletrocalha 200x50 mm</t>
  </si>
  <si>
    <t>Junção integral (emenda) para eletrocalha 200x50 mm</t>
  </si>
  <si>
    <t>Curva horizontal 90 graus para eletrocalha 200x100 mm</t>
  </si>
  <si>
    <t>Curva vertical 90 graus para eletrocalha 200x100 mm</t>
  </si>
  <si>
    <t>Tê horizontal 90 graus para eletrocalha 200x100 mm</t>
  </si>
  <si>
    <t>Suspensão ômega para eletrocalha 200x100 mm</t>
  </si>
  <si>
    <t>Junção integral (emenda) para eletrocalha 200x100 mm</t>
  </si>
  <si>
    <t>Curva horizontal 90 graus para eletrocalha 300x50 mm</t>
  </si>
  <si>
    <t>Curva vertical 90 graus para eletrocalha 300x50 mm</t>
  </si>
  <si>
    <t>Tê horizontal 90 graus para eletrocalha 300x50 mm</t>
  </si>
  <si>
    <t>Suspensão ômega para eletrocalha 300x50 mm</t>
  </si>
  <si>
    <t>Junção integral (emenda) para eletrocalha 300x50 mm</t>
  </si>
  <si>
    <t>Curva horizontal 90 graus para eletrocalha 300x100 mm</t>
  </si>
  <si>
    <t>Curva vertical 90 graus para eletrocalha 300x100 mm</t>
  </si>
  <si>
    <t>Tê horizontal 90 graus para eletrocalha 300x100 mm</t>
  </si>
  <si>
    <t>Suspensão ômega para eletrocalha 300x100 mm</t>
  </si>
  <si>
    <t>Junção integral (emenda) para eletrocalha 300x100 mm</t>
  </si>
  <si>
    <t>Curva horizontal 90 graus para eletrocalha 400x50 mm</t>
  </si>
  <si>
    <t>Curva vertical 90 graus para eletrocalha 400x50 mm</t>
  </si>
  <si>
    <t>Tê horizontal 90 graus para eletrocalha 400x50 mm</t>
  </si>
  <si>
    <t>Suspensão ômega para eletrocalha 400x50 mm</t>
  </si>
  <si>
    <t>Junção integral (emenda) para eletrocalha 400x50 mm</t>
  </si>
  <si>
    <t>Curva horizontal 90 graus para eletrocalha 400x100 mm</t>
  </si>
  <si>
    <t>Curva vertical 90 graus para eletrocalha 400x100 mm</t>
  </si>
  <si>
    <t>Tê horizontal 90 graus para eletrocalha 400x100 mm</t>
  </si>
  <si>
    <t>Suspensão ômega para eletrocalha 400x100 mm</t>
  </si>
  <si>
    <t>Junção integral (emenda) para eletrocalha 400x100 mm</t>
  </si>
  <si>
    <t>Curva horizontal 90 graus para eletrocalha 500x100 mm</t>
  </si>
  <si>
    <t>Curva vertical 90 graus para eletrocalha 500x100 mm</t>
  </si>
  <si>
    <t>Tê horizontal 90 graus para eletrocalha 500x100 mm</t>
  </si>
  <si>
    <t>Suspensão ômega para eletrocalha 500x100 mm</t>
  </si>
  <si>
    <t>Junção integral (emenda) para eletrocalha 500x100 mm</t>
  </si>
  <si>
    <t>Saída de eletroduto para eletrocalha</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</si>
  <si>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</si>
  <si>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</si>
  <si>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</si>
  <si>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</si>
  <si>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</si>
  <si>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</si>
  <si>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</si>
  <si>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</si>
  <si>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3/4”</t>
  </si>
  <si>
    <t>Eletroduto de aço galvanizado a fogo de 1”</t>
  </si>
  <si>
    <t>Eletroduto de aço galvanizado a fogo de 1 1/4”</t>
  </si>
  <si>
    <t>Eletroduto de aço galvanizado a fogo de 1 1/2”</t>
  </si>
  <si>
    <t>Eletroduto de aço galvanizado a fogo de 2”</t>
  </si>
  <si>
    <t>Eletroduto de aço galvanizado a fogo de 2 1/2”</t>
  </si>
  <si>
    <t>Eletroduto de aço galvanizado a fogo de 3”</t>
  </si>
  <si>
    <t>Eletroduto de aço galvanizado a fogo de 4”</t>
  </si>
  <si>
    <t>Conector reto para eletroduto 1/2”</t>
  </si>
  <si>
    <t>Luva para eletroduto 1/2”</t>
  </si>
  <si>
    <t>Luva de emenda para eletroduto 1/2”</t>
  </si>
  <si>
    <t>Curva para eletroduto 1/2”</t>
  </si>
  <si>
    <t>Conector reto para eletroduto 3/4”</t>
  </si>
  <si>
    <t>Conector curvo para eletroduto 3/4”</t>
  </si>
  <si>
    <t>Luva para eletroduto 3/4”</t>
  </si>
  <si>
    <t>Luva de emenda para eletroduto 3/4”</t>
  </si>
  <si>
    <t>Curva para eletroduto 3/4”</t>
  </si>
  <si>
    <t>Conector reto para eletroduto 1”</t>
  </si>
  <si>
    <t>Conector curvo para eletroduto 1”</t>
  </si>
  <si>
    <t>Luva para eletroduto 1”</t>
  </si>
  <si>
    <t>Luva de emenda para eletroduto 1”</t>
  </si>
  <si>
    <t>Curva para eletroduto 1”</t>
  </si>
  <si>
    <t>Conector reto para eletroduto 1 1/4”</t>
  </si>
  <si>
    <t>Conector curvo para eletroduto 1 1/4”</t>
  </si>
  <si>
    <t>Luva para eletroduto 1 1/4”</t>
  </si>
  <si>
    <t>Luva de emenda para eletroduto 1 1/4”</t>
  </si>
  <si>
    <t>Curva para eletroduto 1 1/4”</t>
  </si>
  <si>
    <t>Conector reto para eletroduto 1 1/2”</t>
  </si>
  <si>
    <t>Conector curvo para eletroduto 1 1/2”</t>
  </si>
  <si>
    <t>Luva para eletroduto 1 1/2”</t>
  </si>
  <si>
    <t>Luva de emenda para eletroduto 1 1/2”</t>
  </si>
  <si>
    <t>Curva para eletroduto 1 1/2”</t>
  </si>
  <si>
    <t>Conector reto para eletroduto 2”</t>
  </si>
  <si>
    <t>Conector curvo para eletroduto 2”</t>
  </si>
  <si>
    <t>Luva para eletroduto 2”</t>
  </si>
  <si>
    <t>Luva de emenda para eletroduto 2”</t>
  </si>
  <si>
    <t>Curva para eletroduto 2”</t>
  </si>
  <si>
    <t>Conector reto para eletroduto 2 1/2”</t>
  </si>
  <si>
    <t>Conector curvo para eletroduto 2 1/2”</t>
  </si>
  <si>
    <t>Luva para eletroduto 2 1/2”</t>
  </si>
  <si>
    <t>Luva de emenda para eletroduto 2 1/2”</t>
  </si>
  <si>
    <t>Curva para eletroduto 2 1/2”</t>
  </si>
  <si>
    <t>Conector reto para eletroduto 3”</t>
  </si>
  <si>
    <t>Conector curvo para eletroduto 3”</t>
  </si>
  <si>
    <t>Luva para eletroduto 3”</t>
  </si>
  <si>
    <t>Luva de emenda para eletroduto 3”</t>
  </si>
  <si>
    <t>Curva para eletroduto 3”</t>
  </si>
  <si>
    <t>Conector reto para eletroduto 4”</t>
  </si>
  <si>
    <t>Conector curvo para eletroduto 4”</t>
  </si>
  <si>
    <t>Luva para eletroduto 4”</t>
  </si>
  <si>
    <t>Luva de emenda para eletroduto 4”</t>
  </si>
  <si>
    <t>Curva para eletroduto 4”</t>
  </si>
  <si>
    <t>Eletroduto de PVC Corrugado Reforçado 3/4” (DE 25mm)</t>
  </si>
  <si>
    <t>Eletroduto de PVC Corrugado Reforçado 1” (DE 32mm)</t>
  </si>
  <si>
    <t>Eletroduto flexível metálico com capa de PVC 3/4”</t>
  </si>
  <si>
    <t>Conector para eletroduto flexível metálico 3/4”</t>
  </si>
  <si>
    <t>Eletroduto flexível metálico com capa de PVC 1”</t>
  </si>
  <si>
    <t>Conector para eletroduto flexível metálico 1”</t>
  </si>
  <si>
    <t>Eletroduto flexível metálico com capa de PVC 1 1/4”</t>
  </si>
  <si>
    <t>Conector para eletroduto flexível metálico 1 1/4”</t>
  </si>
  <si>
    <t>Eletroduto flexível metálico com capa de PVC 1 1/2”</t>
  </si>
  <si>
    <t>Conector para eletroduto flexível metálico 1 1/2”</t>
  </si>
  <si>
    <t>Eletroduto flexível metálico com capa de PVC 2”</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</si>
  <si>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</si>
  <si>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</si>
  <si>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</si>
  <si>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</si>
  <si>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</si>
  <si>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</si>
  <si>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</si>
  <si>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</si>
  <si>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</si>
  <si>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</si>
  <si>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</si>
  <si>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</si>
  <si>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</si>
  <si>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</si>
  <si>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</si>
  <si>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</si>
  <si>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</si>
  <si>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</si>
  <si>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</si>
  <si>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</si>
  <si>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</si>
  <si>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</si>
  <si>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</si>
  <si>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</si>
  <si>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</si>
  <si>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Fonte industrial 15W</t>
  </si>
  <si>
    <t>Fonte industrial 35W</t>
  </si>
  <si>
    <t>Fonte industrial 60W</t>
  </si>
  <si>
    <t>Fonte industrial 120W</t>
  </si>
  <si>
    <t>Transformador de comando 100VA</t>
  </si>
  <si>
    <t>Transformador de comando 300VA</t>
  </si>
  <si>
    <t>Chave Seccionadora Saca Fusível 100 A</t>
  </si>
  <si>
    <t>Chave Seccionadora Saca Fusível 160 A</t>
  </si>
  <si>
    <t>Chave Seccionadora Saca Fusível 250 A</t>
  </si>
  <si>
    <t>Chave Seccionadora Saca Fusível 400 A</t>
  </si>
  <si>
    <t>Porta fusível cartucho</t>
  </si>
  <si>
    <t>Fusível cartucho</t>
  </si>
  <si>
    <t>Base fusível NH 00 / NH 000</t>
  </si>
  <si>
    <t>Base fusível NH 1</t>
  </si>
  <si>
    <t>Base fusível NH 2</t>
  </si>
  <si>
    <t>Base fusível NH 3</t>
  </si>
  <si>
    <t>Fusível NH 000</t>
  </si>
  <si>
    <t>Fusível NH 00 Ultrarrápido</t>
  </si>
  <si>
    <t>Fusível NH 1</t>
  </si>
  <si>
    <t>Fusível NH 1 Ultrarrápido</t>
  </si>
  <si>
    <t>Fusível NH 2</t>
  </si>
  <si>
    <t>Fusível NH 2 Ultrarrápido</t>
  </si>
  <si>
    <t>Fusível NH 3</t>
  </si>
  <si>
    <t>Fusível NH 3 Ultrarrápido</t>
  </si>
  <si>
    <t>Kit base fusível Diazed</t>
  </si>
  <si>
    <t>Fusível Diazed</t>
  </si>
  <si>
    <t>Poste balizador para jardim 50cm</t>
  </si>
  <si>
    <t>Poste balizador para jardim 80cm</t>
  </si>
  <si>
    <t>Luminária LED para poste 20W</t>
  </si>
  <si>
    <t>Luminária LED para poste 30W</t>
  </si>
  <si>
    <t>Luminária LED para poste 60W</t>
  </si>
  <si>
    <t>Luminária LED para poste 90W</t>
  </si>
  <si>
    <t>Luminária LED para poste 120W</t>
  </si>
  <si>
    <t>Luminária LED para poste 150W</t>
  </si>
  <si>
    <t>Luminária LED para poste 210W</t>
  </si>
  <si>
    <t>Luminária LED Wall Washer 36W</t>
  </si>
  <si>
    <t>Luminária LED Wall Washer 72W</t>
  </si>
  <si>
    <t>Luminária tipo balizador de solo</t>
  </si>
  <si>
    <t>Luminária para poste 70W</t>
  </si>
  <si>
    <t>Luminária para poste 250W</t>
  </si>
  <si>
    <t>Luminária para poste 400W</t>
  </si>
  <si>
    <t>Poste reto 3m</t>
  </si>
  <si>
    <t>Poste reto 5m</t>
  </si>
  <si>
    <t>Poste curvo simples 8m</t>
  </si>
  <si>
    <t>Poste curvo simples 12m</t>
  </si>
  <si>
    <t>Poste curvo duplo 8m</t>
  </si>
  <si>
    <t>Braço para iluminação</t>
  </si>
  <si>
    <t>Suporte para luminária de poste simples</t>
  </si>
  <si>
    <t>Suporte para luminária de poste duplo</t>
  </si>
  <si>
    <t>Suporte para luminária de poste quadruplo</t>
  </si>
  <si>
    <t>Globo para luminária</t>
  </si>
  <si>
    <t>Luminária retangular para poste</t>
  </si>
  <si>
    <t>Poste globo duplo</t>
  </si>
  <si>
    <t>Bloco autônomo de emergência 500 lumens</t>
  </si>
  <si>
    <t>Bloco autônomo de emergência 1000 lumens</t>
  </si>
  <si>
    <t>Bloco autônomo de emergência 1500 lumens</t>
  </si>
  <si>
    <t>Bloco autônomo de emergência 2400 lumens</t>
  </si>
  <si>
    <t>Fita de LED (baixa densidade de potência)</t>
  </si>
  <si>
    <t>Fita de LED (alta densidade de potência)</t>
  </si>
  <si>
    <t>Fita de LED (baixa densidade de potência) IP65</t>
  </si>
  <si>
    <t>Fita de LED (alta densidade de potência) IP65</t>
  </si>
  <si>
    <t>Lâmpada LED Dicróica</t>
  </si>
  <si>
    <t>Lâmpada LED PAR 20</t>
  </si>
  <si>
    <t>Lâmpada LED PAR 30</t>
  </si>
  <si>
    <t>Lâmpada LED PAR 30 Alta Intensidade</t>
  </si>
  <si>
    <t>Lâmpada LED PAR 38</t>
  </si>
  <si>
    <t>Lâmpada LED PAR 20 IP65</t>
  </si>
  <si>
    <t>Lâmpada LED PAR 30 IP65</t>
  </si>
  <si>
    <t>Lâmpada LED PAR 38 IP65</t>
  </si>
  <si>
    <t>Lâmpada LED Bulbo 6W</t>
  </si>
  <si>
    <t>Lâmpada LED Bulbo 8W</t>
  </si>
  <si>
    <t>Lâmpada LED Bulbo 9,5W</t>
  </si>
  <si>
    <t>Lâmpada LED Bulbo 12W</t>
  </si>
  <si>
    <t>Lâmpada LED 17W</t>
  </si>
  <si>
    <t>Lâmpada LED 30W</t>
  </si>
  <si>
    <t>Lâmpada LED 40W</t>
  </si>
  <si>
    <t>Lâmpada LED 65W</t>
  </si>
  <si>
    <t>Lâmpada LED 80W</t>
  </si>
  <si>
    <t>Lâmpada LED 100W</t>
  </si>
  <si>
    <t>Lâmpada LED 120W</t>
  </si>
  <si>
    <t>Lâmpada LED Tipo Vela</t>
  </si>
  <si>
    <t>Lâmpada LED Tipo Bolinha</t>
  </si>
  <si>
    <t>Lâmpada LED Tipo R 63</t>
  </si>
  <si>
    <t>Tubo LED T5 7,5W</t>
  </si>
  <si>
    <t>Tubo LED T5 15W</t>
  </si>
  <si>
    <t>Tubo LED T5 26W HO</t>
  </si>
  <si>
    <t>Tubo LED T8 9W</t>
  </si>
  <si>
    <t>Tubo LED T8 18W</t>
  </si>
  <si>
    <t>Tubo LED T8 18W HO</t>
  </si>
  <si>
    <t>Lâmpada fluorescente T5 14W</t>
  </si>
  <si>
    <t>Lâmpada fluorescente T5 28W</t>
  </si>
  <si>
    <t>Lâmpada fluorescente T8 16W</t>
  </si>
  <si>
    <t>Lâmpada fluorescente T8 32W</t>
  </si>
  <si>
    <t>Lâmpada PL 9W</t>
  </si>
  <si>
    <t>Lâmpada PL 26W</t>
  </si>
  <si>
    <t>Lâmpada PL 36W</t>
  </si>
  <si>
    <t>Lâmpada Vapor Metálico 70 W</t>
  </si>
  <si>
    <t>Lâmpada Vapor Metálico 150 W</t>
  </si>
  <si>
    <t>Lâmpada Vapor Metálico 250 W</t>
  </si>
  <si>
    <t>Lâmpada Vapor Metálico 400 W</t>
  </si>
  <si>
    <t>Lâmpada Vapor Metálico 2000 W</t>
  </si>
  <si>
    <t>Lâmpada Halógena 300W</t>
  </si>
  <si>
    <t>Luminária Plafon LED Slim 15 W</t>
  </si>
  <si>
    <t>Luminária Plafon LED Slim 24 W</t>
  </si>
  <si>
    <t>Luminária LED Downlight 14W</t>
  </si>
  <si>
    <t>Luminária LED Downlight 25W</t>
  </si>
  <si>
    <t>Luminária LED Downlight 35W</t>
  </si>
  <si>
    <t>Luminária Hermética 2x14W</t>
  </si>
  <si>
    <t>Luminária Hermética 1x28W</t>
  </si>
  <si>
    <t>Luminária Hermética 2x28W</t>
  </si>
  <si>
    <t>Luminária LED Highbay 60W</t>
  </si>
  <si>
    <t>Luminária LED Highbay 80W</t>
  </si>
  <si>
    <t>Luminária LED Highbay 120W</t>
  </si>
  <si>
    <t>Luminária LED Highbay 150W</t>
  </si>
  <si>
    <t>Luminária LED Highbay 200W</t>
  </si>
  <si>
    <t>Luminária LED Linear 8W</t>
  </si>
  <si>
    <t>Luminária LED Linear 14W</t>
  </si>
  <si>
    <t>Luminária LED Linear 20W</t>
  </si>
  <si>
    <t>Luminária LED Linear tipo calha 16W</t>
  </si>
  <si>
    <t>Luminária LED Linear tipo calha 32W</t>
  </si>
  <si>
    <t>Luminária spot de sobrepor</t>
  </si>
  <si>
    <t>Luminária spot de embutir</t>
  </si>
  <si>
    <t>Luminária arandela</t>
  </si>
  <si>
    <t>Luminária plafon 30 cm</t>
  </si>
  <si>
    <t>Luminária plafon 40 cm</t>
  </si>
  <si>
    <t>Luminária plafon LED redondo 10 W</t>
  </si>
  <si>
    <t>Luminária plafon LED redondo 16 W</t>
  </si>
  <si>
    <t>Luminária plafon LED redondo 20 W</t>
  </si>
  <si>
    <t>Luminária T5 2x14 W de embutir</t>
  </si>
  <si>
    <t>Luminária T5 2x14 W de sobrepor</t>
  </si>
  <si>
    <t>Luminária T5 2x28 W de embutir</t>
  </si>
  <si>
    <t>Luminária T5 2x28 W de sobrepor</t>
  </si>
  <si>
    <t>Luminária tartaruga</t>
  </si>
  <si>
    <t>Projetor LED para o Plenário Senado Federal</t>
  </si>
  <si>
    <t>Receptáculo E27</t>
  </si>
  <si>
    <t>Driver para LED 30W</t>
  </si>
  <si>
    <t>Driver para LED 60W</t>
  </si>
  <si>
    <t>Driver para LED 30W IP65</t>
  </si>
  <si>
    <t>Driver para LED 60W IP65</t>
  </si>
  <si>
    <t>Driver para LED 320W</t>
  </si>
  <si>
    <t>Driver para LED corrente constante 350 mA</t>
  </si>
  <si>
    <t>Driver para LED corrente constante 700 mA</t>
  </si>
  <si>
    <t>Reator para 1 lâmpada fluorescente T5</t>
  </si>
  <si>
    <t>Reator para 2 lâmpadas fluorescentes T5</t>
  </si>
  <si>
    <t>Reator para 1 lâmpada fluorescente T8 16W</t>
  </si>
  <si>
    <t>Reator para 2 lâmpadas fluorescentes T8 16W</t>
  </si>
  <si>
    <t>Reator para 1 lâmpada fluorescente T8 32W</t>
  </si>
  <si>
    <t>Reator para 2 lâmpadas fluorescentes T8 32W</t>
  </si>
  <si>
    <t>Reator para lâmpadas de descarga 70 W</t>
  </si>
  <si>
    <t>Reator para lâmpadas de descarga 150 W</t>
  </si>
  <si>
    <t>Reator para lâmpadas de descarga 250 W</t>
  </si>
  <si>
    <t>Reator para lâmpadas de descarga 400 W</t>
  </si>
  <si>
    <t>Reator para lâmpadas de descarga 2000 W</t>
  </si>
  <si>
    <t>Reator para lâmpada PL até 42W</t>
  </si>
  <si>
    <t>Refletor LED 10 W IP65</t>
  </si>
  <si>
    <t>Refletor LED 30 W IP65</t>
  </si>
  <si>
    <t>Refletor LED 50 W IP65</t>
  </si>
  <si>
    <t>Refletor LED 100 W IP65</t>
  </si>
  <si>
    <t>Refletor LED 150 W IP65</t>
  </si>
  <si>
    <t>Refletor LED 200 W IP65</t>
  </si>
  <si>
    <t>Refletor LED 20 W IP65 com sensor</t>
  </si>
  <si>
    <t>Trilho eletrificado para iluminação</t>
  </si>
  <si>
    <t>Ponteira para trilho eletrificado para iluminação</t>
  </si>
  <si>
    <t>Fixador de teto para trilho eletrificado para iluminação</t>
  </si>
  <si>
    <t>Conexão reta para trilho eletrificado para iluminação</t>
  </si>
  <si>
    <t>Conexão 90 graus para trilho eletrificado para iluminação</t>
  </si>
  <si>
    <t>Conexão T para trilho eletrificado para iluminação</t>
  </si>
  <si>
    <t>Conexão cruz para trilho eletrificado para iluminação</t>
  </si>
  <si>
    <t>Plug para trilho eletrificado para iluminação</t>
  </si>
  <si>
    <t>Spot para trilho eletrificado para iluminação</t>
  </si>
  <si>
    <t>Mão francesa simples</t>
  </si>
  <si>
    <t>Mão francesa dupla</t>
  </si>
  <si>
    <t>Mão francesa reforçada</t>
  </si>
  <si>
    <t>Chumbador 1/4”</t>
  </si>
  <si>
    <t>Chumbador 5/16”</t>
  </si>
  <si>
    <t>Chumbador 3/8”</t>
  </si>
  <si>
    <t>Barra roscada 1/4”</t>
  </si>
  <si>
    <t>Barra roscada 5/16”</t>
  </si>
  <si>
    <t>Barra roscada 3/8”</t>
  </si>
  <si>
    <t>Caixa de passagem em alumínio 150x150x100mm</t>
  </si>
  <si>
    <t>Caixa de passagem em alumínio 400x400x200mm</t>
  </si>
  <si>
    <t>Caixa de passagem em aço 400x400x150mm</t>
  </si>
  <si>
    <t>Caixa de passagem em PVC 200x200x85mm</t>
  </si>
  <si>
    <t>Abraçadeira tipo D para eletroduto</t>
  </si>
  <si>
    <t>Abraçadeira tipo copo para eletroduto</t>
  </si>
  <si>
    <t>Passa cabo para piso elevado</t>
  </si>
  <si>
    <t>Tampa unha simples metálica para caixas de piso 4x2</t>
  </si>
  <si>
    <t>Tampa unha simples metálica para caixas de piso 4x4</t>
  </si>
  <si>
    <t>Tampa unha dupla metálica para caixas de piso 4x4</t>
  </si>
  <si>
    <t>Caixa de piso 4x2</t>
  </si>
  <si>
    <t>Caixa de piso 4x4</t>
  </si>
  <si>
    <t>Abraçadeira de nylon 13 mm</t>
  </si>
  <si>
    <t>Abraçadeira de nylon 9 mm</t>
  </si>
  <si>
    <t>Abraçadeira de nylon 7,5 mm</t>
  </si>
  <si>
    <t>Abraçadeira de nylon 5 mm</t>
  </si>
  <si>
    <t>Caixa ARStop</t>
  </si>
  <si>
    <t>Conector de emenda rápida 2 vias</t>
  </si>
  <si>
    <t>Conector de emenda rápida 3 vias</t>
  </si>
  <si>
    <t>Conector de emenda rápida 5 vias</t>
  </si>
  <si>
    <t>Suporte para espelho 4x2</t>
  </si>
  <si>
    <t>Suporte para espelho 4x4</t>
  </si>
  <si>
    <t>Módulo interruptor intermediário</t>
  </si>
  <si>
    <t>Módulo carregador USB</t>
  </si>
  <si>
    <t>Módulo para conector RJ45</t>
  </si>
  <si>
    <t>Módulo pulsador</t>
  </si>
  <si>
    <t>Módulo cabo coaxial</t>
  </si>
  <si>
    <t>Módulo tomada 10 A para piso</t>
  </si>
  <si>
    <t>Módulo tomada 20 A para piso</t>
  </si>
  <si>
    <t>Módulo tomada de telefone para piso</t>
  </si>
  <si>
    <t>Tomada 10A para móveis</t>
  </si>
  <si>
    <t>Tomada 20A para móveis</t>
  </si>
  <si>
    <t>Módulo tomada 10A de encaixe</t>
  </si>
  <si>
    <t>Módulo tomada 20A de encaixe</t>
  </si>
  <si>
    <t>Módulo campainha</t>
  </si>
  <si>
    <t>Módulo dimmer</t>
  </si>
  <si>
    <t>Curva horizontal 90 graus para leito 400x100 mm</t>
  </si>
  <si>
    <t>Curva vertical 90 graus para leito 400x100 mm</t>
  </si>
  <si>
    <t>Tê horizontal 90 graus para leito 400x100 mm</t>
  </si>
  <si>
    <t>Curva horizontal 90 graus para leito 600x100 mm</t>
  </si>
  <si>
    <t>Curva vertical 90 graus para leito 600x100 mm</t>
  </si>
  <si>
    <t>Tê horizontal 90 graus para leito 600x100 mm</t>
  </si>
  <si>
    <t>Curva horizontal 90 graus para leito 800x100 mm</t>
  </si>
  <si>
    <t>Curva vertical 90 graus para leito 800x100 mm</t>
  </si>
  <si>
    <t>Tê horizontal 90 graus para leito 800x100 mm</t>
  </si>
  <si>
    <t>Nobreak de 1 kVA</t>
  </si>
  <si>
    <t>Nobreak de 2 kVA</t>
  </si>
  <si>
    <t>Nobreak de 3 kVA</t>
  </si>
  <si>
    <t>Bateria 7 Ah</t>
  </si>
  <si>
    <t>Bateria 9 Ah</t>
  </si>
  <si>
    <t>Bateria 12 Ah</t>
  </si>
  <si>
    <t>Bateria 28 Ah</t>
  </si>
  <si>
    <t>Bateria 40 Ah</t>
  </si>
  <si>
    <t>Bateria 120 Ah</t>
  </si>
  <si>
    <t>Perfilado 38x38 mm</t>
  </si>
  <si>
    <t>Gancho curto para perfilado</t>
  </si>
  <si>
    <t>Gancho longo para perfilado</t>
  </si>
  <si>
    <t>Cantoneira ZZ para perfilado</t>
  </si>
  <si>
    <t>Gancho curto de luminária para perfilado</t>
  </si>
  <si>
    <t>Gancho longo de luminária para perfilado</t>
  </si>
  <si>
    <t>Junta interna tipo I para perfilado</t>
  </si>
  <si>
    <t>Junta interna tipo L para perfilado</t>
  </si>
  <si>
    <t>Junta interna tipo T para perfilado</t>
  </si>
  <si>
    <t>Junta interna tipo X para perfilado</t>
  </si>
  <si>
    <t>Curva para perfilado</t>
  </si>
  <si>
    <t>Sapata para perfilado</t>
  </si>
  <si>
    <t>Saída de eletroduto para perfilado</t>
  </si>
  <si>
    <t>Módulo acionador para fechaduras</t>
  </si>
  <si>
    <t>Conjunto motor de portão industrial 2500kg</t>
  </si>
  <si>
    <t>Conjunto motor de portão industrial 2200kg</t>
  </si>
  <si>
    <t>Conjunto motor de portão pivotante</t>
  </si>
  <si>
    <t>Fotocélula para portão</t>
  </si>
  <si>
    <t>Central de controle para portão</t>
  </si>
  <si>
    <t>Controle remoto para portão</t>
  </si>
  <si>
    <t>Módulo botoeira para portão</t>
  </si>
  <si>
    <t>Módulo relé para portão</t>
  </si>
  <si>
    <t>Sinaleira para portão</t>
  </si>
  <si>
    <t>Cremalheira para portão</t>
  </si>
  <si>
    <t>Engrenagem para portão</t>
  </si>
  <si>
    <t>Sensor de fim de curso para portão</t>
  </si>
  <si>
    <t>Encoder para portão</t>
  </si>
  <si>
    <t>Estator para motor de portão</t>
  </si>
  <si>
    <t>Induzido para motor de portão</t>
  </si>
  <si>
    <t>Campainha eletrônica</t>
  </si>
  <si>
    <t>Relé acionado por controle remoto sem fio</t>
  </si>
  <si>
    <t>Campainha sem fio</t>
  </si>
  <si>
    <t>Botoeira para portões</t>
  </si>
  <si>
    <t>Quadro de comando plástico 300x200x130mm tampa opaca</t>
  </si>
  <si>
    <t>Quadro de comando plástico 300x200x130mm tampa transparente</t>
  </si>
  <si>
    <t>Quadro de comando plástico 300x300x150mm tampa opaca</t>
  </si>
  <si>
    <t>Quadro de comando plástico 300x300x150mm tampa transparente</t>
  </si>
  <si>
    <t>Quadro de comando plástico 450x300x200mm tampa opaca</t>
  </si>
  <si>
    <t>Quadro de comando plástico 450x300x200mm tampa transparente</t>
  </si>
  <si>
    <t>Caixa para montagem 210x185x160mm</t>
  </si>
  <si>
    <t>Quadro 200x200x120</t>
  </si>
  <si>
    <t>Quadro 400x300x200</t>
  </si>
  <si>
    <t>Quadro 400x400x250</t>
  </si>
  <si>
    <t>Quadro 600x400x250</t>
  </si>
  <si>
    <t>Quadro 600x600x250</t>
  </si>
  <si>
    <t>Quadro 800x600x250</t>
  </si>
  <si>
    <t>Quadro 1000x600x300</t>
  </si>
  <si>
    <t>Quadro 1200x800x300</t>
  </si>
  <si>
    <t>Quadro autoportante 1800x600x600</t>
  </si>
  <si>
    <t>Quadro autoportante 1800x800x600</t>
  </si>
  <si>
    <t>Quadro autoportante 2000x600x600</t>
  </si>
  <si>
    <t>Quadro autoportante 2000x800x800</t>
  </si>
  <si>
    <t>Quadro termoplástico para 12 disjuntores</t>
  </si>
  <si>
    <t>Quadro termoplástico para 24 disjuntores</t>
  </si>
  <si>
    <t>Quadro termoplástico para 36 disjuntores</t>
  </si>
  <si>
    <t>Caixa de passagem 80x80x45mm</t>
  </si>
  <si>
    <t>Caixa de passagem 100x100x55mm</t>
  </si>
  <si>
    <t>Caixa de passagem 150x110x70mm</t>
  </si>
  <si>
    <t>Caixa de passagem 170x145x90mm</t>
  </si>
  <si>
    <t>Relé de interface</t>
  </si>
  <si>
    <t>Relé programador horário</t>
  </si>
  <si>
    <t>Relé de impulso</t>
  </si>
  <si>
    <t>Relé monitor de tensão trifásico</t>
  </si>
  <si>
    <t>Relé monitor de tensão monofásico</t>
  </si>
  <si>
    <t>Relé monitor de corrente monofásico</t>
  </si>
  <si>
    <t>Relé temporizador</t>
  </si>
  <si>
    <t>Relé de nível</t>
  </si>
  <si>
    <t>CLP Siemens LOGO</t>
  </si>
  <si>
    <t>Módulo de expansão de 8 portas digitais para Siemens LOGO</t>
  </si>
  <si>
    <t>Módulo de expansão de 16 portas digitais para Siemens LOGO</t>
  </si>
  <si>
    <t>Módulo de expansão de entrada analógica para Siemens LOGO</t>
  </si>
  <si>
    <t>Módulo de expansão de entrada de temperatura para Siemens LOGO</t>
  </si>
  <si>
    <t>Módulo de expansão de saída analógica para Siemens LOGO</t>
  </si>
  <si>
    <t>IHM para Siemens LOGO</t>
  </si>
  <si>
    <t>Controlador de temperatura</t>
  </si>
  <si>
    <t>Conversor de sinal analógico</t>
  </si>
  <si>
    <t>Transmissor de temperatura</t>
  </si>
  <si>
    <t>Termostato para painel</t>
  </si>
  <si>
    <t>Multimedidor de grandezas elétricas</t>
  </si>
  <si>
    <t>Multimedidor avançado de grandezas elétricas</t>
  </si>
  <si>
    <t>Medidor de energia monofásico</t>
  </si>
  <si>
    <t>Medidor de energia trifásico</t>
  </si>
  <si>
    <t>Tapete isolante classe 0</t>
  </si>
  <si>
    <t>Tapete isolante classe 2</t>
  </si>
  <si>
    <t>Estrado isolante classe 2</t>
  </si>
  <si>
    <t>Bastão de resgate</t>
  </si>
  <si>
    <t>Transformador de potencial para medição de baixa tensão</t>
  </si>
  <si>
    <t>Chave de fim de curso</t>
  </si>
  <si>
    <t>Pressostato diferencial para ar</t>
  </si>
  <si>
    <t>Sonda de temperatura PT100</t>
  </si>
  <si>
    <t>Sensor de presença externo</t>
  </si>
  <si>
    <t>Relé fotoelétrico</t>
  </si>
  <si>
    <t>Base para relé fotoelétrico</t>
  </si>
  <si>
    <t>Eletrodo para relé de nível</t>
  </si>
  <si>
    <t>Transformador de corrente termoplástico até 400 A</t>
  </si>
  <si>
    <t>Transformador de corrente epóxi até 400 A</t>
  </si>
  <si>
    <t>Transformador de corrente epóxi até 800 A</t>
  </si>
  <si>
    <t>Transformador de corrente epóxi até 2000 A</t>
  </si>
  <si>
    <t>Transmissor de nível hidrostático</t>
  </si>
  <si>
    <t>Transmissor de pressão</t>
  </si>
  <si>
    <t>Transmissor de nível ultrassônico</t>
  </si>
  <si>
    <t>Soft-starter 10 A</t>
  </si>
  <si>
    <t>Soft-starter 17 A</t>
  </si>
  <si>
    <t>Soft-starter 24 A</t>
  </si>
  <si>
    <t>Soft-starter 30 A</t>
  </si>
  <si>
    <t>Soft-starter 44 A</t>
  </si>
  <si>
    <t>Soft-starter 60 A</t>
  </si>
  <si>
    <t>Soft-starter 85 A</t>
  </si>
  <si>
    <t>Soft-starter 142 A</t>
  </si>
  <si>
    <t>Interface homem-máquina para soft-starter</t>
  </si>
  <si>
    <t>Inversor 10 A</t>
  </si>
  <si>
    <t>Inversor 16 A</t>
  </si>
  <si>
    <t>Inversor 24 A</t>
  </si>
  <si>
    <t>Inversor 31 A</t>
  </si>
  <si>
    <t>Inversor 39 A</t>
  </si>
  <si>
    <t>Inversor 49 A</t>
  </si>
  <si>
    <t>Inversor ABB ACS350</t>
  </si>
  <si>
    <t>Inversor ABB ACS550</t>
  </si>
  <si>
    <t>Inversor ABB ACS800</t>
  </si>
  <si>
    <t>Barra chata de alumínio</t>
  </si>
  <si>
    <t>Haste de aterramento 5/8 x 2,4 m</t>
  </si>
  <si>
    <t>Haste de aterramento 5/8 x 3 m</t>
  </si>
  <si>
    <t>Haste de aterramento 3/4 x 2,4 m</t>
  </si>
  <si>
    <t>Haste de aterramento 3/4 x 3 m</t>
  </si>
  <si>
    <t>Conector cabo/haste de aterramento</t>
  </si>
  <si>
    <t>Caixa de inspeção de aterramento 300 mm</t>
  </si>
  <si>
    <t>Caixa de inspeção de aterramento 600 mm</t>
  </si>
  <si>
    <t>Tampa simples para caixa de inspeção de aterramento</t>
  </si>
  <si>
    <t>Tampa reforçada para caixa de inspeção de aterramento</t>
  </si>
  <si>
    <t>Fita de sinalização para instalações subterrâneas</t>
  </si>
  <si>
    <t>Captor tipo Franklin</t>
  </si>
  <si>
    <t>Minicaptor 300 mm</t>
  </si>
  <si>
    <t>Minicaptor 600 mm</t>
  </si>
  <si>
    <t>Mastro 2m</t>
  </si>
  <si>
    <t>Mastro 3m</t>
  </si>
  <si>
    <t>Mastro 4m</t>
  </si>
  <si>
    <t>Mastro 6m</t>
  </si>
  <si>
    <t>Base para mastro</t>
  </si>
  <si>
    <t>Estaiamento para mastro 1,5m</t>
  </si>
  <si>
    <t>Estaiamento para mastro 2m</t>
  </si>
  <si>
    <t>Estaiamento para mastro 3m</t>
  </si>
  <si>
    <t>Abraçadeira para aterramento de mastro</t>
  </si>
  <si>
    <t>Sinalizador de topo com fotocélula</t>
  </si>
  <si>
    <t>Mastro para sinalizador de topo</t>
  </si>
  <si>
    <t>Suporte para sinalizador de topo em mastro</t>
  </si>
  <si>
    <t>Grampo tipo X para alumínio</t>
  </si>
  <si>
    <t>Grampo tipo X para cobre</t>
  </si>
  <si>
    <t>Fixador para SPDA</t>
  </si>
  <si>
    <t>Fixador universal para SPDA</t>
  </si>
  <si>
    <t>Fixador colado para SPDA</t>
  </si>
  <si>
    <t>Adesivo estrutural</t>
  </si>
  <si>
    <t>Conector de emenda e medição para SPDA</t>
  </si>
  <si>
    <t>Conector para SPDA</t>
  </si>
  <si>
    <t>Isolador curto para SPDA</t>
  </si>
  <si>
    <t>Isolador simples para SPDA</t>
  </si>
  <si>
    <t>Isolador duplo para mastro para SPDA</t>
  </si>
  <si>
    <t>Isolador reforçado para SPDA</t>
  </si>
  <si>
    <t>Isolador duplo curva 90 graus para SPDA</t>
  </si>
  <si>
    <t>Isolador para telha para SPDA</t>
  </si>
  <si>
    <t>Isolador duplo para mastro reforçado para SPDA</t>
  </si>
  <si>
    <t>Cabo de aço galvanizado a fogo</t>
  </si>
  <si>
    <t>Esticador de cabo de aço galvanizado a fogo</t>
  </si>
  <si>
    <t>Clip para cabo de aço galvanizado a fogo</t>
  </si>
  <si>
    <t>Sapatilha para cabo de aço galvanizado a fogo</t>
  </si>
  <si>
    <t>Tampão R1 Articulado B-125</t>
  </si>
  <si>
    <t>Tampão R2 Articulado B-125</t>
  </si>
  <si>
    <t>Tampão DN 400 Articulado B-125</t>
  </si>
  <si>
    <t>Tampão DN 400 Articulado D-400</t>
  </si>
  <si>
    <t>Tampão DN 600 Articulado D-400</t>
  </si>
  <si>
    <t>Tampão T-33 Articulado B-125</t>
  </si>
  <si>
    <t>Tampão T-33 Simples Pesado</t>
  </si>
  <si>
    <t>Filtro de linha 3 tomadas</t>
  </si>
  <si>
    <t>Filtro de linha 4 tomadas</t>
  </si>
  <si>
    <t>Filtro de linha 5 tomadas</t>
  </si>
  <si>
    <t>Filtro de linha para rack 19 polegadas</t>
  </si>
  <si>
    <t>Tomada industrial monofásica 16 A</t>
  </si>
  <si>
    <t>Plugue industrial monofásico 16 A</t>
  </si>
  <si>
    <t>Acoplamento industrial monofásico 16 A</t>
  </si>
  <si>
    <t>Tomada industrial trifásica 16 A</t>
  </si>
  <si>
    <t>Plugue industrial trifásico 16 A</t>
  </si>
  <si>
    <t>Acoplamento industrial trifásico 16 A</t>
  </si>
  <si>
    <t>Tomada industrial monofásica 32 A</t>
  </si>
  <si>
    <t>Plugue industrial monofásico 32 A</t>
  </si>
  <si>
    <t>Acoplamento industrial monofásico 32 A</t>
  </si>
  <si>
    <t>Tomada industrial trifásica 32 A</t>
  </si>
  <si>
    <t>Plugue industrial trifásico 32 A</t>
  </si>
  <si>
    <t>Acoplamento industrial trifásico 32 A</t>
  </si>
  <si>
    <t>Tomada industrial monofásica 63 A</t>
  </si>
  <si>
    <t>Plugue industrial monofásico 63 A</t>
  </si>
  <si>
    <t>Acoplamento industrial monofásico 63 A</t>
  </si>
  <si>
    <t>Tomada industrial trifásica 63 A</t>
  </si>
  <si>
    <t>Plugue industrial trifásico 63 A</t>
  </si>
  <si>
    <t>Acoplamento industrial trifásico 63 A</t>
  </si>
  <si>
    <t>Tomada para embutir em painel elétrico</t>
  </si>
  <si>
    <t>Plugue macho 10 A</t>
  </si>
  <si>
    <t>Plugue macho 20 A</t>
  </si>
  <si>
    <t>Plugue macho 10 A 90 graus</t>
  </si>
  <si>
    <t>Plugue macho 20 A 90 graus</t>
  </si>
  <si>
    <t>Prolongador 10 A</t>
  </si>
  <si>
    <t>Prolongador 20 A</t>
  </si>
  <si>
    <t>Adaptador de plugue para tomadas</t>
  </si>
  <si>
    <t>Cordão prolongador 0,8 m</t>
  </si>
  <si>
    <t>Cordão prolongador 1,5 m</t>
  </si>
  <si>
    <t>Placa de sinalização em PVC 2mm</t>
  </si>
  <si>
    <t>Claviculário 20 chaves</t>
  </si>
  <si>
    <t>Autotransformador 300VA</t>
  </si>
  <si>
    <t>Autotransformador 500VA</t>
  </si>
  <si>
    <t>Autotransformador 1000VA</t>
  </si>
  <si>
    <t>Análise físico-química de óleo isolante</t>
  </si>
  <si>
    <t>Análise de gases dissolvidos em óleo isolante</t>
  </si>
  <si>
    <t>Análise de teor de PCB em óleo isolante</t>
  </si>
  <si>
    <t>Descarte de lâmpadas</t>
  </si>
  <si>
    <t>Descarte de reatores e demais resíduos eletroeletrônicos</t>
  </si>
  <si>
    <t>Aluguel de caminhão munck</t>
  </si>
  <si>
    <t>Aluguel de plataforma aérea</t>
  </si>
  <si>
    <t>Aluguel de empilhadeira</t>
  </si>
  <si>
    <t>Aluguel de banco de cargas 400 kW</t>
  </si>
  <si>
    <t>Aluguel de grupo motor-gerador de 200 kVA</t>
  </si>
  <si>
    <t>Hora de funcionamento grupo motor-gerador de 200 kVA</t>
  </si>
  <si>
    <t>Solda exotérmica</t>
  </si>
  <si>
    <t>Chave de abertura de painéis</t>
  </si>
  <si>
    <t>Caixa de ferramentas 40 cm</t>
  </si>
  <si>
    <t>Caixa de ferramentas 50 cm</t>
  </si>
  <si>
    <t>Carrinho de ferramentas</t>
  </si>
  <si>
    <t>Transpalete manual</t>
  </si>
  <si>
    <t>Carrinho plataforma</t>
  </si>
  <si>
    <t>Mesa hidráulica pantográfica</t>
  </si>
  <si>
    <t>Lanterna</t>
  </si>
  <si>
    <t>Cavalete de sinalização de manutenção</t>
  </si>
  <si>
    <t>Cone de sinalização</t>
  </si>
  <si>
    <t>Detector de tensão sem contato de baixa tensão</t>
  </si>
  <si>
    <t>Detector de tensão sem contato de média tensão</t>
  </si>
  <si>
    <t>Conjunto de aterramento temporário para baixa tensão</t>
  </si>
  <si>
    <t>Conjunto de aterramento temporário para média tensão</t>
  </si>
  <si>
    <t>Grampo de aterramento concha-bola</t>
  </si>
  <si>
    <t>Lençol isolante classe 4</t>
  </si>
  <si>
    <t>Vara de manobra</t>
  </si>
  <si>
    <t>Etiqueta de bloqueio</t>
  </si>
  <si>
    <t>Inflador de luvas</t>
  </si>
  <si>
    <t>Protetor de cabos</t>
  </si>
  <si>
    <t>Escada duplo acesso 4 degraus</t>
  </si>
  <si>
    <t>Escada extensível 19 degraus</t>
  </si>
  <si>
    <t>Andaime tubular 1 m por 1 m e 6 m de altura</t>
  </si>
  <si>
    <t>Andaime tubular 1,5 m por 1 m e 6 m de altura</t>
  </si>
  <si>
    <t>Plataforma de trabalho aéreo</t>
  </si>
  <si>
    <t>Talabarte simples</t>
  </si>
  <si>
    <t>Tripé para trabalho em altura e espaço confinado</t>
  </si>
  <si>
    <t>Trava-quedas retrátil e guincho (3way) para tripé de trabalho em altura e espaço confinado</t>
  </si>
  <si>
    <t>Corda semi-estática 11 mm</t>
  </si>
  <si>
    <t>Mosquetão</t>
  </si>
  <si>
    <t>Cinta de ancoragem com anéis</t>
  </si>
  <si>
    <t>Trapézio para espaço confinado</t>
  </si>
  <si>
    <t>Polia simples para corda</t>
  </si>
  <si>
    <t>Alicate crimpador hidráulico</t>
  </si>
  <si>
    <t>Crimpador/cortador de cabos a bateria</t>
  </si>
  <si>
    <t>Ferramenta multifuncional para barramentos de cobre</t>
  </si>
  <si>
    <t>Estampo furador hidráulico</t>
  </si>
  <si>
    <t>Esmerilhadeira Angular de 5” com controle de velocidade</t>
  </si>
  <si>
    <t>Furadeira de impacto 800 W</t>
  </si>
  <si>
    <t>Furadeira de impacto sem fio</t>
  </si>
  <si>
    <t>Furadeira/parafusadeira sem fio</t>
  </si>
  <si>
    <t>Chave de impacto sem fio</t>
  </si>
  <si>
    <t>Soprador de ar sem fio</t>
  </si>
  <si>
    <t>Soprador/aspirador de pó</t>
  </si>
  <si>
    <t>Soprador térmico</t>
  </si>
  <si>
    <t>Rotulador</t>
  </si>
  <si>
    <t>Grupo motor-gerador 3kVA</t>
  </si>
  <si>
    <t>Grupo motor-gerador 6kVA</t>
  </si>
  <si>
    <t>Ferro de solda 25W</t>
  </si>
  <si>
    <t>Ferro de solda 50W</t>
  </si>
  <si>
    <t>Hipot 30 kV</t>
  </si>
  <si>
    <t>Serra rápida portátil</t>
  </si>
  <si>
    <t>Policorte</t>
  </si>
  <si>
    <t>Nível laser de linhas</t>
  </si>
  <si>
    <t>Refletor a bateria</t>
  </si>
  <si>
    <t>Microretífica</t>
  </si>
  <si>
    <t>Motoesmeril 6 polegadas</t>
  </si>
  <si>
    <t>Martelo perfurador rompedor 800 W</t>
  </si>
  <si>
    <t>Furadeira de impacto 750 W</t>
  </si>
  <si>
    <t>Serra tico-tico</t>
  </si>
  <si>
    <t>Serra copo diamantada 25 mm</t>
  </si>
  <si>
    <t>Serra copo diamantada 30 mm</t>
  </si>
  <si>
    <t>Serra copo diamantada 35 mm</t>
  </si>
  <si>
    <t>Serra copo diamantada 45 mm</t>
  </si>
  <si>
    <t>Serra copo diamantada 50 mm</t>
  </si>
  <si>
    <t>Serra copo diamantada 65 mm</t>
  </si>
  <si>
    <t>Alicate de corte isolado 160 mm</t>
  </si>
  <si>
    <t>Alicate de corte frontal isolado 160 mm</t>
  </si>
  <si>
    <t>Alicate universal isolado 200 mm</t>
  </si>
  <si>
    <t>Alicate bico reto isolado 160 mm</t>
  </si>
  <si>
    <t>Alicate bico curvo isolado 160 mm</t>
  </si>
  <si>
    <t>Alicate desencapador isolado 160 mm</t>
  </si>
  <si>
    <t>Jogo de soquetes 1/2 isolado</t>
  </si>
  <si>
    <t>Chave estrela 8 mm isolada</t>
  </si>
  <si>
    <t>Chave fixa 9 mm isolada</t>
  </si>
  <si>
    <t>Chave estrela 9 mm isolada</t>
  </si>
  <si>
    <t>Chave fixa 10 mm isolada</t>
  </si>
  <si>
    <t>Chave estrela 10 mm isolada</t>
  </si>
  <si>
    <t>Chave fixa 11 mm isolada</t>
  </si>
  <si>
    <t>Chave estrela 11 mm isolada</t>
  </si>
  <si>
    <t>Chave fixa 12 mm isolada</t>
  </si>
  <si>
    <t>Chave estrela 12 mm isolada</t>
  </si>
  <si>
    <t>Chave fixa 13 mm isolada</t>
  </si>
  <si>
    <t>Chave estrela 13 mm isolada</t>
  </si>
  <si>
    <t>Chave fixa 14 mm isolada</t>
  </si>
  <si>
    <t>Chave estrela 14 mm isolada</t>
  </si>
  <si>
    <t>Chave fixa 15 mm isolada</t>
  </si>
  <si>
    <t>Chave estrela 15 mm isolada</t>
  </si>
  <si>
    <t>Chave fixa 17 mm isolada</t>
  </si>
  <si>
    <t>Chave estrela 17 mm isolada</t>
  </si>
  <si>
    <t>Chave fixa 19 mm isolada</t>
  </si>
  <si>
    <t>Chave estrela 19 mm isolada</t>
  </si>
  <si>
    <t>Chave fixa 22 mm isolada</t>
  </si>
  <si>
    <t>Chave estrela 22 mm isolada</t>
  </si>
  <si>
    <t>Chave Phillips isolada PH0</t>
  </si>
  <si>
    <t>Chave Phillips isolada PH1</t>
  </si>
  <si>
    <t>Chave Phillips isolada PH2</t>
  </si>
  <si>
    <t>Chave Phillips isolada PH3</t>
  </si>
  <si>
    <t>Chave Phillips isolada PH4</t>
  </si>
  <si>
    <t>Chave de fenda isolada 2,5 mm</t>
  </si>
  <si>
    <t>Chave de fenda isolada 3 mm</t>
  </si>
  <si>
    <t>Chave de fenda isolada 4 mm</t>
  </si>
  <si>
    <t>Chave de fenda isolada 5,5 mm</t>
  </si>
  <si>
    <t>Chave de fenda isolada 6,5 mm</t>
  </si>
  <si>
    <t>Chave de fenda isolada 8 mm</t>
  </si>
  <si>
    <t>Faca desencapadora de fios isolada</t>
  </si>
  <si>
    <t>Chave Pozidriv isolada PZ0</t>
  </si>
  <si>
    <t>Chave Pozidriv isolada PZ1</t>
  </si>
  <si>
    <t>Chave Pozidriv isolada PZ2</t>
  </si>
  <si>
    <t>Chave Pozidriv isolada PZ3</t>
  </si>
  <si>
    <t>Saca fusível</t>
  </si>
  <si>
    <t>Alicate crimpador com catraca para terminal tubular até 6mm²</t>
  </si>
  <si>
    <t>Alicate crimpador com catraca para terminal pré-isolado até 6mm²</t>
  </si>
  <si>
    <t>Alicate crimpador manual para terminal pré-isolado até 16mm²</t>
  </si>
  <si>
    <t>Alicate crimpador com catraca para terminal RJ45</t>
  </si>
  <si>
    <t>Alicate punch down para terminal RJ45</t>
  </si>
  <si>
    <t>Alicate desencapador automático</t>
  </si>
  <si>
    <t>Alicate corta cabos com catraca</t>
  </si>
  <si>
    <t>Jogo de chave allen em polegadas</t>
  </si>
  <si>
    <t>Jogo de soquete allen 1/2 métrico</t>
  </si>
  <si>
    <t>Jogo de soquete 1/2 torx</t>
  </si>
  <si>
    <t>Jogo de chaves combinadas com catraca métrico</t>
  </si>
  <si>
    <t>Jogo de chaves combinadas com catraca em polegadas</t>
  </si>
  <si>
    <t>Jogo de chaves combinadas métrico</t>
  </si>
  <si>
    <t>Jogo de chaves combinadas em polegadas</t>
  </si>
  <si>
    <t>Jogo de soquetes sextavado longos 1/2 métrico</t>
  </si>
  <si>
    <t>Jogo de soquetes sextavado 1/2 métrico</t>
  </si>
  <si>
    <t>Jogo de soquetes 1/2 em polegadas</t>
  </si>
  <si>
    <t>Jogo de soquetes 3/8</t>
  </si>
  <si>
    <t>Jogo de soquetes 1/4 métrico 25 soquetes</t>
  </si>
  <si>
    <t>Jogo de adaptador de soquetes</t>
  </si>
  <si>
    <t>Jogo de bits</t>
  </si>
  <si>
    <t>Jogo de chaves biela métrico</t>
  </si>
  <si>
    <t>Arco de serra de extra-alta tensão</t>
  </si>
  <si>
    <t>Jogo de soquetes sextavado de impacto 1/2 métrico</t>
  </si>
  <si>
    <t>Chave de borne 3 mm</t>
  </si>
  <si>
    <t>Chave de borne 4 mm</t>
  </si>
  <si>
    <t>Jogo de chaves de precisão</t>
  </si>
  <si>
    <t>Jogo de chaves de precisão longas</t>
  </si>
  <si>
    <t>Passa fio com alma de aço 20 m</t>
  </si>
  <si>
    <t>Passa fio helicoidal 20 m</t>
  </si>
  <si>
    <t>Passa fio 50 m com carretel</t>
  </si>
  <si>
    <t>Jogo de alicates para anéis</t>
  </si>
  <si>
    <t>Jogo de tarraxas manuais</t>
  </si>
  <si>
    <t>Alicate de corte diagonal para microeletrônica</t>
  </si>
  <si>
    <t>Alicate de pressão</t>
  </si>
  <si>
    <t>Punção de centro</t>
  </si>
  <si>
    <t>Rebitadeira de rosca</t>
  </si>
  <si>
    <t>Serrote para gesso 150 mm</t>
  </si>
  <si>
    <t>Martelo de borracha</t>
  </si>
  <si>
    <t>Martelo tipo pena</t>
  </si>
  <si>
    <t>Martelo com borda em plástico</t>
  </si>
  <si>
    <t>Marreta oitavada 1000g</t>
  </si>
  <si>
    <t>Morsa de bancada</t>
  </si>
  <si>
    <t>Riscador de metal duro</t>
  </si>
  <si>
    <t>Jogo de macho e cossinete</t>
  </si>
  <si>
    <t>Alicate amperímetro 400 A</t>
  </si>
  <si>
    <t>Alicate amperímetro 1000 A</t>
  </si>
  <si>
    <t>Termômetro infravermelho</t>
  </si>
  <si>
    <t>Trena a laser 40m</t>
  </si>
  <si>
    <t>Trena 8m</t>
  </si>
  <si>
    <t>Trena 50m</t>
  </si>
  <si>
    <t>Torquímetro de estalo 100 Nm</t>
  </si>
  <si>
    <t>Torquímetro de estalo 50 Nm</t>
  </si>
  <si>
    <t>Torquímetro de estalo 25 Nm</t>
  </si>
  <si>
    <t>Torquímetro axial 6 Nm</t>
  </si>
  <si>
    <t>Analisador de qualidade de energia trifásico</t>
  </si>
  <si>
    <t>Fasímetro</t>
  </si>
  <si>
    <t>Megôhmetro 10 kV</t>
  </si>
  <si>
    <t>Megôhmetro 1 kV</t>
  </si>
  <si>
    <t>Microhmímetro 200 A</t>
  </si>
  <si>
    <t>Terrômetro</t>
  </si>
  <si>
    <t>Termovisor de alta resolução</t>
  </si>
  <si>
    <t>Termovisor</t>
  </si>
  <si>
    <t>Termo-higrômetro</t>
  </si>
  <si>
    <t>Multímetro</t>
  </si>
  <si>
    <t>Medidor LCR</t>
  </si>
  <si>
    <t>Paquímetro digital 150 mm</t>
  </si>
  <si>
    <t>Luxímetro</t>
  </si>
  <si>
    <t>Testador de cabo de rede</t>
  </si>
  <si>
    <t>Escala métrica 300 mm</t>
  </si>
  <si>
    <t>Escala métrica 600 mm</t>
  </si>
  <si>
    <t>Escala métrica 1500 mm</t>
  </si>
  <si>
    <t>Esquadro combinado</t>
  </si>
  <si>
    <t>Programadora de portões</t>
  </si>
  <si>
    <t>Veículo do tipo automóvel de passageiros</t>
  </si>
  <si>
    <t>Camiseta de manga curta com identificação da empresa</t>
  </si>
  <si>
    <t>Luva isolante classe 0</t>
  </si>
  <si>
    <t>Luva isolante classe 2</t>
  </si>
  <si>
    <t>Luva de cobertura para luva isolante</t>
  </si>
  <si>
    <t>Bolsa para luvas isolantes</t>
  </si>
  <si>
    <t>Vestimenta antichama classe 2</t>
  </si>
  <si>
    <t>Vestimenta antichama classe 4</t>
  </si>
  <si>
    <t>Capuz antichama classe 4</t>
  </si>
  <si>
    <t>Balaclava antichama classe 2</t>
  </si>
  <si>
    <t>Protetor auricular tipo abafador dielétrico</t>
  </si>
  <si>
    <t>Respirador PFF-2</t>
  </si>
  <si>
    <t>Luva nitrílica</t>
  </si>
  <si>
    <t>Luva de nylon com banho em PU</t>
  </si>
  <si>
    <t>Luva de vaqueta</t>
  </si>
  <si>
    <t>Capacete de segurança para trabalho em altura</t>
  </si>
  <si>
    <t>Luva para proteção química</t>
  </si>
  <si>
    <t>Luva pigmentada</t>
  </si>
  <si>
    <t>Protetor solar</t>
  </si>
  <si>
    <t>Sabonete desengraxante</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</si>
  <si>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</si>
  <si>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</si>
  <si>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</si>
  <si>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</si>
  <si>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</si>
  <si>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Graute industrializado, fck ≥ 100MPa</t>
  </si>
  <si>
    <t>Armação de aço CA-25 bitola de 16mm</t>
  </si>
  <si>
    <t>Concreto virado em betoneira, fck = 20MPa</t>
  </si>
  <si>
    <t>Furo em concreto de até 40mm de diâmetro</t>
  </si>
  <si>
    <t>Adesivo Estrutural Epóxi Bicomponente – fornecimento e aplicação</t>
  </si>
  <si>
    <t>Estaca escavada manualmente de diâmetro 30cm</t>
  </si>
  <si>
    <t>Arrasamento mecânico de estacas de concreto armado com diâmetros de até 40cm</t>
  </si>
  <si>
    <t>Quadro 400x300x200 mm – fornecimento e instalação</t>
  </si>
  <si>
    <t>Concreto Usinado, fck = 25MPa</t>
  </si>
  <si>
    <t>Estaca escavada mecanicamente - 40cm de diâmetro</t>
  </si>
  <si>
    <t>Armação de aço CA-60 bitolas de 5,0mm a 8,00mm</t>
  </si>
  <si>
    <t>Pavimentação em concreto simples</t>
  </si>
  <si>
    <t>Tubo PVC esgoto ou águas pluviais predial DN 150mm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</si>
  <si>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</si>
  <si>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</si>
  <si>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</si>
  <si>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</si>
  <si>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</si>
  <si>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</si>
  <si>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</si>
  <si>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Projeto Executivo de Instalação de Central de Geração de Energia – Obras civis - AT 31 e AT 32</t>
  </si>
  <si>
    <t>Poste reto 5 metros – fornecimento e instalação</t>
  </si>
  <si>
    <t>Suporte para luminária de poste simples – fornecimento e instalação</t>
  </si>
  <si>
    <t>mês</t>
  </si>
  <si>
    <t>pct</t>
  </si>
  <si>
    <t>cx</t>
  </si>
  <si>
    <t>SF-01384</t>
  </si>
  <si>
    <t>SF-01385</t>
  </si>
  <si>
    <t>SF-01386</t>
  </si>
  <si>
    <t>SF-01387</t>
  </si>
  <si>
    <t>SF-01388</t>
  </si>
  <si>
    <t>SF-01389</t>
  </si>
  <si>
    <t>SF-01390</t>
  </si>
  <si>
    <t>SF-01391</t>
  </si>
  <si>
    <t>SF-01392</t>
  </si>
  <si>
    <t>SF-01393</t>
  </si>
  <si>
    <t>SF-01394</t>
  </si>
  <si>
    <t>SF-01395</t>
  </si>
  <si>
    <t>SF-01396</t>
  </si>
  <si>
    <t>SF-01397</t>
  </si>
  <si>
    <t>SF-01398</t>
  </si>
  <si>
    <t>SF-01399</t>
  </si>
  <si>
    <t>SF-01400</t>
  </si>
  <si>
    <t>SF-01401</t>
  </si>
  <si>
    <t>SF-01402</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</si>
  <si>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</si>
  <si>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</si>
  <si>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</si>
  <si>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</si>
  <si>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</si>
  <si>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</si>
  <si>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</si>
  <si>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</si>
  <si>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</si>
  <si>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</si>
  <si>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</si>
  <si>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</si>
  <si>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</si>
  <si>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</si>
  <si>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</si>
  <si>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</si>
  <si>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</si>
  <si>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</si>
  <si>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</si>
  <si>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</si>
  <si>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</si>
  <si>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</si>
  <si>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</si>
  <si>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</si>
  <si>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</si>
  <si>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</si>
  <si>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</si>
  <si>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</si>
  <si>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</si>
  <si>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</si>
  <si>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</si>
  <si>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</si>
  <si>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</si>
  <si>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</si>
  <si>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</si>
  <si>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</si>
  <si>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</si>
  <si>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</si>
  <si>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</si>
  <si>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</si>
  <si>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</si>
  <si>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</si>
  <si>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</si>
  <si>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</si>
  <si>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</si>
  <si>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</si>
  <si>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</si>
  <si>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</si>
  <si>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</si>
  <si>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</si>
  <si>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</si>
  <si>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</si>
  <si>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</si>
  <si>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</si>
  <si>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</si>
  <si>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</si>
  <si>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</si>
  <si>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</si>
  <si>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</si>
  <si>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</si>
  <si>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</si>
  <si>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</si>
  <si>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</si>
  <si>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</si>
  <si>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</si>
  <si>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</si>
  <si>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</si>
  <si>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</si>
  <si>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</si>
  <si>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</si>
  <si>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</si>
  <si>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</si>
  <si>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</si>
  <si>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</si>
  <si>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</si>
  <si>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</si>
  <si>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</si>
  <si>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</si>
  <si>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</si>
  <si>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</si>
  <si>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</si>
  <si>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</si>
  <si>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</si>
  <si>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</si>
  <si>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</si>
  <si>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</si>
  <si>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</si>
  <si>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</si>
  <si>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</si>
  <si>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</si>
  <si>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</si>
  <si>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</si>
  <si>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</si>
  <si>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</si>
  <si>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</si>
  <si>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</si>
  <si>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</si>
  <si>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</si>
  <si>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</si>
  <si>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</si>
  <si>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</si>
  <si>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</si>
  <si>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</si>
  <si>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</si>
  <si>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</si>
  <si>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</si>
  <si>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</si>
  <si>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</si>
  <si>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</si>
  <si>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</si>
  <si>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</si>
  <si>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</si>
  <si>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</si>
  <si>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</si>
  <si>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</si>
  <si>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</si>
  <si>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</si>
  <si>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</si>
  <si>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</si>
  <si>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</si>
  <si>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</si>
  <si>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</si>
  <si>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</si>
  <si>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</si>
  <si>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</si>
  <si>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</si>
  <si>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</si>
  <si>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</si>
  <si>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</si>
  <si>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</si>
  <si>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</si>
  <si>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</si>
  <si>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</si>
  <si>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</si>
  <si>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</si>
  <si>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</si>
  <si>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</si>
  <si>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</si>
  <si>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</si>
  <si>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</si>
  <si>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</si>
  <si>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</si>
  <si>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</si>
  <si>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</si>
  <si>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</si>
  <si>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</si>
  <si>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</si>
  <si>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</si>
  <si>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</si>
  <si>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</si>
  <si>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</si>
  <si>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</si>
  <si>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</si>
  <si>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</si>
  <si>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</si>
  <si>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</si>
  <si>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</si>
  <si>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</si>
  <si>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</si>
  <si>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</si>
  <si>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</si>
  <si>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</si>
  <si>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</si>
  <si>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</si>
  <si>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</si>
  <si>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</si>
  <si>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</si>
  <si>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</si>
  <si>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</si>
  <si>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</si>
  <si>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</si>
  <si>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</si>
  <si>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</si>
  <si>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</si>
  <si>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</si>
  <si>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</si>
  <si>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</si>
  <si>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</si>
  <si>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</si>
  <si>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</si>
  <si>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</si>
  <si>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</si>
  <si>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</si>
  <si>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</si>
  <si>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</si>
  <si>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</si>
  <si>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</si>
  <si>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</si>
  <si>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</si>
  <si>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</si>
  <si>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</si>
  <si>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</si>
  <si>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</si>
  <si>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</si>
  <si>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</si>
  <si>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</si>
  <si>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</si>
  <si>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</si>
  <si>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</si>
  <si>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</si>
  <si>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</si>
  <si>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</si>
  <si>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</si>
  <si>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</si>
  <si>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</si>
  <si>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</si>
  <si>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</si>
  <si>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</si>
  <si>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</si>
  <si>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</si>
  <si>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</si>
  <si>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</si>
  <si>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</si>
  <si>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</si>
  <si>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</si>
  <si>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SF-01618</t>
  </si>
  <si>
    <t>SF-01619</t>
  </si>
  <si>
    <t>SF-01620</t>
  </si>
  <si>
    <t>SF-01621</t>
  </si>
  <si>
    <t>SF-01622</t>
  </si>
  <si>
    <t>SF-01623</t>
  </si>
  <si>
    <t>SF-01624</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</si>
  <si>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</si>
  <si>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</si>
  <si>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</si>
  <si>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</si>
  <si>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</si>
  <si>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</si>
  <si>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</si>
  <si>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</si>
  <si>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</si>
  <si>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</si>
  <si>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</si>
  <si>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</si>
  <si>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</si>
  <si>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</si>
  <si>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</si>
  <si>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</si>
  <si>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</si>
  <si>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</si>
  <si>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</si>
  <si>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</si>
  <si>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</si>
  <si>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</si>
  <si>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</si>
  <si>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</si>
  <si>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</si>
  <si>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</si>
  <si>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</si>
  <si>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</si>
  <si>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</si>
  <si>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</si>
  <si>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</si>
  <si>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</si>
  <si>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</si>
  <si>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</si>
  <si>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</si>
  <si>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</si>
  <si>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</si>
  <si>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</si>
  <si>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</si>
  <si>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</si>
  <si>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</si>
  <si>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</si>
  <si>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</si>
  <si>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</si>
  <si>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</si>
  <si>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</si>
  <si>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</si>
  <si>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</si>
  <si>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</si>
  <si>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</si>
  <si>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</si>
  <si>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</si>
  <si>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</si>
  <si>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</si>
  <si>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</si>
  <si>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</si>
  <si>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</si>
  <si>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</si>
  <si>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</si>
  <si>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</si>
  <si>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</si>
  <si>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</si>
  <si>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</si>
  <si>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</si>
  <si>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</si>
  <si>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</si>
  <si>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</si>
  <si>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</si>
  <si>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</si>
  <si>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</si>
  <si>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</si>
  <si>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</si>
  <si>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</si>
  <si>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</si>
  <si>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</si>
  <si>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</si>
  <si>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</si>
  <si>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</si>
  <si>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</si>
  <si>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</si>
  <si>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</si>
  <si>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</si>
  <si>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</si>
  <si>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</si>
  <si>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</si>
  <si>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</si>
  <si>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</si>
  <si>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</si>
  <si>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</si>
  <si>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</si>
  <si>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</si>
  <si>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</si>
  <si>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</si>
  <si>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</si>
  <si>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</si>
  <si>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</si>
  <si>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</si>
  <si>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</si>
  <si>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</si>
  <si>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</si>
  <si>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</si>
  <si>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</si>
  <si>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</si>
  <si>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</si>
  <si>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</si>
  <si>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</si>
  <si>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</si>
  <si>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</si>
  <si>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</si>
  <si>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</si>
  <si>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</si>
  <si>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</si>
  <si>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</si>
  <si>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</si>
  <si>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</si>
  <si>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</si>
  <si>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</si>
  <si>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</si>
  <si>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</si>
  <si>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</si>
  <si>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</si>
  <si>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</si>
  <si>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</si>
  <si>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</si>
  <si>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</si>
  <si>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</si>
  <si>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</si>
  <si>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</si>
  <si>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</si>
  <si>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</si>
  <si>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</si>
  <si>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</si>
  <si>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</si>
  <si>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</si>
  <si>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</si>
  <si>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</si>
  <si>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</si>
  <si>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</si>
  <si>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</si>
  <si>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</si>
  <si>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</si>
  <si>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</si>
  <si>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</si>
  <si>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</si>
  <si>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</si>
  <si>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</si>
  <si>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</si>
  <si>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</si>
  <si>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</si>
  <si>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</si>
  <si>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</si>
  <si>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</si>
  <si>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</si>
  <si>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</si>
  <si>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</si>
  <si>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</si>
  <si>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</si>
  <si>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</si>
  <si>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</si>
  <si>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</si>
  <si>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</si>
  <si>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</si>
  <si>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</si>
  <si>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</si>
  <si>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</si>
  <si>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</si>
  <si>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</si>
  <si>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</si>
  <si>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</si>
  <si>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</si>
  <si>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</si>
  <si>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</si>
  <si>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</si>
  <si>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</si>
  <si>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</si>
  <si>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</si>
  <si>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</si>
  <si>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</si>
  <si>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</si>
  <si>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</si>
  <si>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</si>
  <si>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</si>
  <si>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</si>
  <si>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</si>
  <si>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</si>
  <si>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</si>
  <si>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</si>
  <si>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</si>
  <si>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</si>
  <si>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</si>
  <si>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</si>
  <si>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</si>
  <si>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</si>
  <si>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</si>
  <si>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</si>
  <si>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</si>
  <si>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</si>
  <si>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</si>
  <si>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</si>
  <si>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</si>
  <si>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</si>
  <si>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</si>
  <si>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</si>
  <si>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</si>
  <si>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</si>
  <si>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</si>
  <si>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</si>
  <si>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</si>
  <si>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</si>
  <si>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</si>
  <si>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</si>
  <si>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</si>
  <si>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</si>
  <si>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</si>
  <si>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</si>
  <si>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</si>
  <si>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</si>
  <si>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</si>
  <si>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</si>
  <si>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</si>
  <si>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</si>
  <si>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</si>
  <si>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</si>
  <si>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</si>
  <si>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</si>
  <si>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</si>
  <si>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</si>
  <si>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</si>
  <si>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</si>
  <si>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</si>
  <si>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</si>
  <si>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</si>
  <si>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</si>
  <si>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</si>
  <si>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</si>
  <si>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</si>
  <si>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</si>
  <si>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</si>
  <si>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</si>
  <si>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</si>
  <si>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</si>
  <si>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</si>
  <si>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</si>
  <si>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</si>
  <si>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</si>
  <si>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</si>
  <si>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</si>
  <si>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</si>
  <si>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</si>
  <si>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</si>
  <si>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</si>
  <si>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</si>
  <si>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</si>
  <si>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</si>
  <si>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</si>
  <si>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</si>
  <si>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</si>
  <si>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</si>
  <si>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</si>
  <si>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</si>
  <si>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</si>
  <si>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</si>
  <si>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</si>
  <si>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</si>
  <si>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</si>
  <si>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</si>
  <si>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</si>
  <si>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</si>
  <si>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</si>
  <si>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</si>
  <si>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</si>
  <si>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</si>
  <si>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</si>
  <si>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</si>
  <si>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</si>
  <si>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</si>
  <si>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</si>
  <si>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</si>
  <si>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</si>
  <si>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</si>
  <si>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</si>
  <si>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</si>
  <si>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</si>
  <si>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</si>
  <si>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</si>
  <si>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</si>
  <si>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</si>
  <si>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</si>
  <si>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</si>
  <si>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</si>
  <si>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</si>
  <si>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</si>
  <si>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</si>
  <si>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</si>
  <si>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</si>
  <si>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</si>
  <si>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</si>
  <si>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</si>
  <si>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</si>
  <si>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</si>
  <si>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</si>
  <si>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</si>
  <si>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</si>
  <si>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</si>
  <si>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</si>
  <si>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</si>
  <si>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SF-01931</t>
  </si>
  <si>
    <t>SF-01932</t>
  </si>
  <si>
    <t>SF-01933</t>
  </si>
  <si>
    <t>SF-01934</t>
  </si>
  <si>
    <t>SF-01935</t>
  </si>
  <si>
    <t>SF-01936</t>
  </si>
  <si>
    <t>SF-01937</t>
  </si>
  <si>
    <t>SF-01938</t>
  </si>
  <si>
    <t>SF-01939</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</si>
  <si>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</si>
  <si>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</si>
  <si>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</si>
  <si>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</si>
  <si>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</si>
  <si>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</si>
  <si>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</si>
  <si>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</si>
  <si>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</si>
  <si>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</si>
  <si>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</si>
  <si>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</si>
  <si>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</si>
  <si>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</si>
  <si>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</si>
  <si>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</si>
  <si>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</si>
  <si>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</si>
  <si>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</si>
  <si>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</si>
  <si>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</si>
  <si>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</si>
  <si>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</si>
  <si>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</si>
  <si>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</si>
  <si>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</si>
  <si>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</si>
  <si>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SF-01967</t>
  </si>
  <si>
    <t>SF-01968</t>
  </si>
  <si>
    <t>SF-01969</t>
  </si>
  <si>
    <t>SF-01970</t>
  </si>
  <si>
    <t>SF-01971</t>
  </si>
  <si>
    <t>SF-01972</t>
  </si>
  <si>
    <t>SF-01973</t>
  </si>
  <si>
    <t>SF-01974</t>
  </si>
  <si>
    <t>SF-01975</t>
  </si>
  <si>
    <t>SF-01976</t>
  </si>
  <si>
    <t>SF-01977</t>
  </si>
  <si>
    <t>SF-01978</t>
  </si>
  <si>
    <t>SF-01979</t>
  </si>
  <si>
    <t>SF-01980</t>
  </si>
  <si>
    <t>SF-01981</t>
  </si>
  <si>
    <t>SF-01982</t>
  </si>
  <si>
    <t>SF-01983</t>
  </si>
  <si>
    <t>SF-01984</t>
  </si>
  <si>
    <t>SF-01985</t>
  </si>
  <si>
    <t>SF-01986</t>
  </si>
  <si>
    <t>SF-01987</t>
  </si>
  <si>
    <t>SF-01988</t>
  </si>
  <si>
    <t>SF-01989</t>
  </si>
  <si>
    <t>SF-01990</t>
  </si>
  <si>
    <t>SF-01991</t>
  </si>
  <si>
    <t>SF-01992</t>
  </si>
  <si>
    <t>SF-01993</t>
  </si>
  <si>
    <t>SF-01994</t>
  </si>
  <si>
    <t>SF-01995</t>
  </si>
  <si>
    <t>SF-01996</t>
  </si>
  <si>
    <t>SF-01997</t>
  </si>
  <si>
    <t>SF-01998</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</si>
  <si>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</si>
  <si>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</si>
  <si>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</si>
  <si>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</si>
  <si>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</si>
  <si>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</si>
  <si>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</si>
  <si>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</si>
  <si>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</si>
  <si>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</si>
  <si>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</si>
  <si>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</si>
  <si>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</si>
  <si>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</si>
  <si>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</si>
  <si>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</si>
  <si>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</si>
  <si>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</si>
  <si>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</si>
  <si>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</si>
  <si>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</si>
  <si>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</si>
  <si>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</si>
  <si>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</si>
  <si>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</si>
  <si>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</si>
  <si>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</si>
  <si>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</si>
  <si>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</si>
  <si>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SF-02028</t>
  </si>
  <si>
    <t>SF-02029</t>
  </si>
  <si>
    <t>SF-02030</t>
  </si>
  <si>
    <t>SF-02031</t>
  </si>
  <si>
    <t>SF-02032</t>
  </si>
  <si>
    <t>SF-02033</t>
  </si>
  <si>
    <t>SF-02034</t>
  </si>
  <si>
    <t>SF-02035</t>
  </si>
  <si>
    <t>SF-02036</t>
  </si>
  <si>
    <t>SF-02037</t>
  </si>
  <si>
    <t>SF-02038</t>
  </si>
  <si>
    <t>SF-02039</t>
  </si>
  <si>
    <t>SF-02040</t>
  </si>
  <si>
    <t>SF-02041</t>
  </si>
  <si>
    <t>SF-02042</t>
  </si>
  <si>
    <t>SF-02043</t>
  </si>
  <si>
    <t>SF-02044</t>
  </si>
  <si>
    <t>SF-02045</t>
  </si>
  <si>
    <t>SF-02046</t>
  </si>
  <si>
    <t>SF-02047</t>
  </si>
  <si>
    <t>SF-02048</t>
  </si>
  <si>
    <t>SF-02049</t>
  </si>
  <si>
    <t>SF-02050</t>
  </si>
  <si>
    <t>SF-02051</t>
  </si>
  <si>
    <t>SF-02052</t>
  </si>
  <si>
    <t>SF-02053</t>
  </si>
  <si>
    <t>SF-02054</t>
  </si>
  <si>
    <t>SF-02055</t>
  </si>
  <si>
    <t>SF-02056</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</si>
  <si>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</si>
  <si>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</si>
  <si>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</si>
  <si>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</si>
  <si>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</si>
  <si>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</si>
  <si>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</si>
  <si>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</si>
  <si>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</si>
  <si>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</si>
  <si>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</si>
  <si>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</si>
  <si>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</si>
  <si>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</si>
  <si>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</si>
  <si>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</si>
  <si>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</si>
  <si>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</si>
  <si>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</si>
  <si>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</si>
  <si>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</si>
  <si>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</si>
  <si>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</si>
  <si>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</si>
  <si>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</si>
  <si>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</si>
  <si>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</si>
  <si>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</si>
  <si>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</si>
  <si>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</si>
  <si>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</si>
  <si>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</si>
  <si>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</si>
  <si>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</si>
  <si>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</si>
  <si>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</si>
  <si>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</si>
  <si>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</si>
  <si>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</si>
  <si>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</si>
  <si>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</si>
  <si>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</si>
  <si>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</si>
  <si>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</si>
  <si>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</si>
  <si>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</si>
  <si>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</si>
  <si>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</si>
  <si>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</si>
  <si>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SF-02106</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</si>
  <si>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</si>
  <si>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</si>
  <si>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</si>
  <si>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</si>
  <si>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</si>
  <si>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</si>
  <si>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</si>
  <si>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</si>
  <si>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</si>
  <si>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</si>
  <si>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</si>
  <si>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</si>
  <si>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</si>
  <si>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</si>
  <si>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</si>
  <si>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</si>
  <si>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</si>
  <si>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</si>
  <si>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</si>
  <si>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</si>
  <si>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</si>
  <si>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SF-02128</t>
  </si>
  <si>
    <t>SF-02129</t>
  </si>
  <si>
    <t>SF-02130</t>
  </si>
  <si>
    <t>SF-02131</t>
  </si>
  <si>
    <t>SF-02132</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</si>
  <si>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</si>
  <si>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</si>
  <si>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</si>
  <si>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</si>
  <si>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</si>
  <si>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</si>
  <si>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</si>
  <si>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</si>
  <si>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</si>
  <si>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</si>
  <si>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</si>
  <si>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</si>
  <si>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</si>
  <si>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</si>
  <si>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</si>
  <si>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</si>
  <si>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</si>
  <si>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</si>
  <si>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</si>
  <si>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</si>
  <si>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</si>
  <si>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</si>
  <si>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</si>
  <si>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</si>
  <si>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</si>
  <si>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</si>
  <si>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</si>
  <si>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</si>
  <si>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</si>
  <si>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</si>
  <si>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</si>
  <si>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</si>
  <si>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</si>
  <si>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</si>
  <si>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</si>
  <si>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</si>
  <si>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</si>
  <si>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</si>
  <si>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</si>
  <si>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</si>
  <si>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</si>
  <si>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</si>
  <si>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</si>
  <si>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</si>
  <si>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</si>
  <si>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</si>
  <si>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</si>
  <si>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</si>
  <si>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</si>
  <si>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</si>
  <si>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</si>
  <si>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</si>
  <si>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</si>
  <si>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</si>
  <si>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</si>
  <si>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</si>
  <si>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</si>
  <si>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</si>
  <si>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</si>
  <si>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</si>
  <si>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</si>
  <si>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</si>
  <si>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</si>
  <si>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</si>
  <si>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</si>
  <si>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</si>
  <si>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</si>
  <si>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</si>
  <si>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</si>
  <si>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</si>
  <si>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</si>
  <si>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</si>
  <si>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</si>
  <si>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</si>
  <si>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</si>
  <si>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</si>
  <si>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</si>
  <si>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</si>
  <si>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</si>
  <si>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</si>
  <si>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</si>
  <si>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</si>
  <si>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</si>
  <si>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</si>
  <si>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</si>
  <si>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</si>
  <si>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</si>
  <si>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</si>
  <si>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</si>
  <si>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</si>
  <si>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</si>
  <si>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</si>
  <si>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</si>
  <si>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</si>
  <si>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</si>
  <si>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</si>
  <si>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</si>
  <si>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</si>
  <si>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</si>
  <si>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</si>
  <si>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</si>
  <si>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</si>
  <si>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</si>
  <si>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</si>
  <si>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</si>
  <si>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</si>
  <si>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</si>
  <si>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</si>
  <si>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</si>
  <si>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</si>
  <si>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</si>
  <si>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</si>
  <si>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</si>
  <si>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</si>
  <si>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</si>
  <si>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</si>
  <si>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</si>
  <si>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</si>
  <si>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</si>
  <si>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</si>
  <si>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</si>
  <si>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</si>
  <si>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</si>
  <si>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</si>
  <si>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</si>
  <si>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</si>
  <si>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</si>
  <si>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</si>
  <si>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</si>
  <si>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</si>
  <si>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</si>
  <si>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</si>
  <si>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</si>
  <si>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</si>
  <si>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</si>
  <si>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</si>
  <si>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</si>
  <si>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</si>
  <si>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</si>
  <si>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</si>
  <si>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</si>
  <si>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</si>
  <si>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</si>
  <si>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</si>
  <si>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</si>
  <si>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</si>
  <si>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</si>
  <si>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</si>
  <si>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</si>
  <si>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</si>
  <si>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</si>
  <si>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</si>
  <si>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</si>
  <si>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</si>
  <si>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</si>
  <si>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</si>
  <si>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</si>
  <si>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</si>
  <si>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</si>
  <si>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</si>
  <si>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</si>
  <si>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</si>
  <si>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</si>
  <si>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</si>
  <si>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</si>
  <si>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</si>
  <si>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</si>
  <si>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</si>
  <si>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</si>
  <si>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</si>
  <si>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</si>
  <si>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</si>
  <si>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</si>
  <si>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</si>
  <si>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</si>
  <si>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</si>
  <si>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</si>
  <si>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</si>
  <si>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</si>
  <si>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</si>
  <si>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</si>
  <si>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</si>
  <si>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</si>
  <si>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</si>
  <si>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</si>
  <si>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</si>
  <si>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</si>
  <si>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</si>
  <si>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</si>
  <si>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</si>
  <si>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</si>
  <si>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</si>
  <si>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</si>
  <si>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</si>
  <si>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</si>
  <si>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</si>
  <si>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</si>
  <si>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</si>
  <si>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</si>
  <si>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</si>
  <si>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</si>
  <si>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</si>
  <si>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</si>
  <si>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</si>
  <si>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</si>
  <si>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</si>
  <si>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</si>
  <si>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</si>
  <si>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</si>
  <si>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</si>
  <si>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</si>
  <si>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</si>
  <si>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</si>
  <si>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</si>
  <si>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</si>
  <si>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</si>
  <si>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</si>
  <si>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</si>
  <si>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</si>
  <si>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</si>
  <si>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SF-02353</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</si>
  <si>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</si>
  <si>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</si>
  <si>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</si>
  <si>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</si>
  <si>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</si>
  <si>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</si>
  <si>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</si>
  <si>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</si>
  <si>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</si>
  <si>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</si>
  <si>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</si>
  <si>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</si>
  <si>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</si>
  <si>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</si>
  <si>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</si>
  <si>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</si>
  <si>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</si>
  <si>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</si>
  <si>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</si>
  <si>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</si>
  <si>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</si>
  <si>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</si>
  <si>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SF-02376</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</si>
  <si>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</si>
  <si>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</si>
  <si>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</si>
  <si>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</si>
  <si>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</si>
  <si>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</si>
  <si>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</si>
  <si>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</si>
  <si>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</si>
  <si>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</si>
  <si>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</si>
  <si>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</si>
  <si>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</si>
  <si>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</si>
  <si>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</si>
  <si>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</si>
  <si>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</si>
  <si>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</si>
  <si>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</si>
  <si>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</si>
  <si>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</si>
  <si>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</si>
  <si>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</si>
  <si>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</si>
  <si>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</si>
  <si>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</si>
  <si>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</si>
  <si>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</si>
  <si>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</si>
  <si>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</si>
  <si>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</si>
  <si>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</si>
  <si>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</si>
  <si>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</si>
  <si>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</si>
  <si>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</si>
  <si>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</si>
  <si>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</si>
  <si>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</si>
  <si>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</si>
  <si>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</si>
  <si>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</si>
  <si>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</si>
  <si>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</si>
  <si>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</si>
  <si>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</si>
  <si>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</si>
  <si>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</si>
  <si>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</si>
  <si>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</si>
  <si>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</si>
  <si>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</si>
  <si>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</si>
  <si>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</si>
  <si>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</si>
  <si>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</si>
  <si>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</si>
  <si>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</si>
  <si>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</si>
  <si>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</si>
  <si>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</si>
  <si>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</si>
  <si>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</si>
  <si>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</si>
  <si>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</si>
  <si>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</si>
  <si>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</si>
  <si>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</si>
  <si>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</si>
  <si>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</si>
  <si>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</si>
  <si>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</si>
  <si>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</si>
  <si>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</si>
  <si>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</si>
  <si>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</si>
  <si>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</si>
  <si>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</si>
  <si>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</si>
  <si>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</si>
  <si>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</si>
  <si>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</si>
  <si>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</si>
  <si>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</si>
  <si>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</si>
  <si>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</si>
  <si>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</si>
  <si>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</si>
  <si>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</si>
  <si>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</si>
  <si>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</si>
  <si>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</si>
  <si>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</si>
  <si>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</si>
  <si>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</si>
  <si>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</si>
  <si>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</si>
  <si>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</si>
  <si>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</si>
  <si>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</si>
  <si>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</si>
  <si>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</si>
  <si>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</si>
  <si>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</si>
  <si>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</si>
  <si>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</si>
  <si>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</si>
  <si>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</si>
  <si>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</si>
  <si>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</si>
  <si>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</si>
  <si>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</si>
  <si>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</si>
  <si>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</si>
  <si>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</si>
  <si>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</si>
  <si>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</si>
  <si>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</si>
  <si>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</si>
  <si>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</si>
  <si>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</si>
  <si>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</si>
  <si>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</si>
  <si>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</si>
  <si>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</si>
  <si>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</si>
  <si>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</si>
  <si>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</si>
  <si>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</si>
  <si>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</si>
  <si>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</si>
  <si>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</si>
  <si>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</si>
  <si>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</si>
  <si>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</si>
  <si>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</si>
  <si>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</si>
  <si>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</si>
  <si>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</si>
  <si>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</si>
  <si>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</si>
  <si>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</si>
  <si>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</si>
  <si>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</si>
  <si>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</si>
  <si>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</si>
  <si>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</si>
  <si>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</si>
  <si>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</si>
  <si>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</si>
  <si>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</si>
  <si>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</si>
  <si>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</si>
  <si>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</si>
  <si>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</si>
  <si>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</si>
  <si>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</si>
  <si>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</si>
  <si>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</si>
  <si>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</si>
  <si>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</si>
  <si>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</si>
  <si>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</si>
  <si>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</si>
  <si>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</si>
  <si>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</si>
  <si>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</si>
  <si>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</si>
  <si>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</si>
  <si>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</si>
  <si>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</si>
  <si>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</si>
  <si>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</si>
  <si>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</si>
  <si>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</si>
  <si>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</si>
  <si>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</si>
  <si>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</si>
  <si>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</si>
  <si>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</si>
  <si>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</si>
  <si>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</si>
  <si>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</si>
  <si>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</si>
  <si>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</si>
  <si>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</si>
  <si>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</si>
  <si>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</si>
  <si>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</si>
  <si>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</si>
  <si>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</si>
  <si>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</si>
  <si>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</si>
  <si>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</si>
  <si>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</si>
  <si>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</si>
  <si>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</si>
  <si>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</si>
  <si>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</si>
  <si>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</si>
  <si>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</si>
  <si>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</si>
  <si>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</si>
  <si>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</si>
  <si>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</si>
  <si>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</si>
  <si>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</si>
  <si>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</si>
  <si>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</si>
  <si>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</si>
  <si>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</si>
  <si>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</si>
  <si>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</si>
  <si>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SF-02590</t>
  </si>
  <si>
    <t>SF-02591</t>
  </si>
  <si>
    <t>SF-02592</t>
  </si>
  <si>
    <t>SF-02593</t>
  </si>
  <si>
    <t>SF-02594</t>
  </si>
  <si>
    <t>SF-02595</t>
  </si>
  <si>
    <t>SF-02596</t>
  </si>
  <si>
    <t>SF-02597</t>
  </si>
  <si>
    <t>SF-02598</t>
  </si>
  <si>
    <t>SF-02599</t>
  </si>
  <si>
    <t>SF-02600</t>
  </si>
  <si>
    <t>SF-02601</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</si>
  <si>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</si>
  <si>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</si>
  <si>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</si>
  <si>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</si>
  <si>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</si>
  <si>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</si>
  <si>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</si>
  <si>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</si>
  <si>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</si>
  <si>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</si>
  <si>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</si>
  <si>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</si>
  <si>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</si>
  <si>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</si>
  <si>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</si>
  <si>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</si>
  <si>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</si>
  <si>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Leito 800x100 mm (material)</t>
  </si>
  <si>
    <t>Bastão de resgate (depreciação)</t>
  </si>
  <si>
    <t>Cadeado para disjuntores (depreciação)</t>
  </si>
  <si>
    <t>Bloqueio para disjuntores (depreciação)</t>
  </si>
  <si>
    <t>Painel de TV em compensado - linha residencial</t>
  </si>
  <si>
    <t>Painel de TV em MDF</t>
  </si>
  <si>
    <t>200 ml</t>
  </si>
  <si>
    <t>25 g</t>
  </si>
  <si>
    <t>mês x equip</t>
  </si>
  <si>
    <t>cm2</t>
  </si>
  <si>
    <t>cm3</t>
  </si>
  <si>
    <t>cj x mês</t>
  </si>
  <si>
    <t>Demolição de forro</t>
  </si>
  <si>
    <t>Remoção de folha de porta e dobradiças / pivôs</t>
  </si>
  <si>
    <t>Suporte intermediário reto para linha de vida</t>
  </si>
  <si>
    <t>Furo em concreto de 40mm até 75mm de diâmetro</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</si>
  <si>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</si>
  <si>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</si>
  <si>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</si>
  <si>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</si>
  <si>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</si>
  <si>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</si>
  <si>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</si>
  <si>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</si>
  <si>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</si>
  <si>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</si>
  <si>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</si>
  <si>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</si>
  <si>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</si>
  <si>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</si>
  <si>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</si>
  <si>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</si>
  <si>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</si>
  <si>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</si>
  <si>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</si>
  <si>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</si>
  <si>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</si>
  <si>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Armários em MDF laminado com módulo de gaveta (sem porta)</t>
  </si>
  <si>
    <t>Balde metálico</t>
  </si>
  <si>
    <t>Chave de fenda de 1/4"</t>
  </si>
  <si>
    <t>Escada duplo acesso 6 degraus</t>
  </si>
  <si>
    <t>Esquadro 300 mm</t>
  </si>
  <si>
    <t>Martelo tipo unha</t>
  </si>
  <si>
    <t>Rebitadeira manual</t>
  </si>
  <si>
    <t>Tesoura</t>
  </si>
  <si>
    <t>Relógio de ponto biométrico</t>
  </si>
  <si>
    <t>Calça</t>
  </si>
  <si>
    <t>Calçado isolante elétrico</t>
  </si>
  <si>
    <t>Bota de PVC</t>
  </si>
  <si>
    <t>Óculos de segurança</t>
  </si>
  <si>
    <t>Dobradiça automática vidro/alvenaria para box de vidro temperado</t>
  </si>
  <si>
    <t>Puxador metálico - diâmetro de 22mm a 25mm</t>
  </si>
  <si>
    <t>Graute industrializado, 50 MPa ≤ fck ≤ 60 MPa</t>
  </si>
  <si>
    <t>Tela de proteção para andaime</t>
  </si>
  <si>
    <t>Lastro em concreto magro</t>
  </si>
  <si>
    <t>Detector de 4 gases</t>
  </si>
  <si>
    <t>Laudo de estabilidade estrutural - Bloco 15 (Espaço do Servidor)</t>
  </si>
  <si>
    <t>Janela em alumínio</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</si>
  <si>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</si>
  <si>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</si>
  <si>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</si>
  <si>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</si>
  <si>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</si>
  <si>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</si>
  <si>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</si>
  <si>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</si>
  <si>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</si>
  <si>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</si>
  <si>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</si>
  <si>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</si>
  <si>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</si>
  <si>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</si>
  <si>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</si>
  <si>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</si>
  <si>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</si>
  <si>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</si>
  <si>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</si>
  <si>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</si>
  <si>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curto métrico</t>
  </si>
  <si>
    <t>Jogo de chave allen longo métrico</t>
  </si>
  <si>
    <t>Conjunto de chaves de boca de 6 a 32 mm</t>
  </si>
  <si>
    <t>Conjunto de chaves de boca de 1/4" a 1 1/4"</t>
  </si>
  <si>
    <t>Talhadeira</t>
  </si>
  <si>
    <t>Exaustor para espaço confinado</t>
  </si>
  <si>
    <t>Jogo de chave torx</t>
  </si>
  <si>
    <t>Veículo do tipo utilitário</t>
  </si>
  <si>
    <t>Cortina de proteção para solda com suporte</t>
  </si>
  <si>
    <t>Tubo multicamadas flexível 20 mm para gás</t>
  </si>
  <si>
    <t>Tubo multicamadas flexível 26 mm para gás</t>
  </si>
  <si>
    <t>Regulador de pressão para gás</t>
  </si>
  <si>
    <t>Subestação Elétrica 13,8-0,38kV, 300 kVA, em poste</t>
  </si>
  <si>
    <t>Limpeza final</t>
  </si>
  <si>
    <t>Tubo PVC soldável água fria DN 25mm</t>
  </si>
  <si>
    <t>Tubo PVC soldável água fria DN 32mm</t>
  </si>
  <si>
    <t>Tubo PVC soldável água fria DN 40mm</t>
  </si>
  <si>
    <t>Tubo PVC soldável água fria DN 50mm</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</si>
  <si>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</si>
  <si>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</si>
  <si>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</si>
  <si>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</si>
  <si>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</si>
  <si>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</si>
  <si>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Ar-condicionado do tipo split piso-teto inverter 54.000 BTU/h</t>
  </si>
  <si>
    <t>Isolamento elastomérico para tubulações de cobre 1 5/8" / tubulações de ferro de 1 1/4"</t>
  </si>
  <si>
    <t>Isolamento elastomérico para tubulações de cobre 1 3/8" / tubulações de ferro de 1"</t>
  </si>
  <si>
    <t>Botijões de gás inclusive P-13 com recargas</t>
  </si>
  <si>
    <t>Compressor de Ar</t>
  </si>
  <si>
    <t>Serrote 20"</t>
  </si>
  <si>
    <t>Trena de 5 m</t>
  </si>
  <si>
    <t>Protetor auditivo de inserção</t>
  </si>
  <si>
    <t>Talabarte de Posicionamento</t>
  </si>
  <si>
    <t>Trava-quedas Deslizante Para Corda</t>
  </si>
  <si>
    <t>Trava-quedas Deslizante Para Cabo de Aço</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</si>
  <si>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</si>
  <si>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</si>
  <si>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</si>
  <si>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</si>
  <si>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</si>
  <si>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</si>
  <si>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</si>
  <si>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</si>
  <si>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</si>
  <si>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e=30 mm, instalação em fixadores metálicos existentes (modelo Edifício Principal)</t>
  </si>
  <si>
    <t>Instalação de placas de mármore 30 mm reaproveitadas em fixadores metálicos existentes (modelo Edifício Principal)</t>
  </si>
  <si>
    <t>Porta metálica dupla de giro com dimensões 2,00 m x 2,12 m</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</si>
  <si>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</si>
  <si>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</si>
  <si>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</si>
  <si>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</si>
  <si>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</si>
  <si>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</si>
  <si>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</si>
  <si>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</si>
  <si>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</si>
  <si>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</si>
  <si>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</si>
  <si>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</si>
  <si>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</si>
  <si>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</si>
  <si>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</si>
  <si>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</si>
  <si>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</si>
  <si>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</si>
  <si>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</si>
  <si>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</si>
  <si>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</si>
  <si>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</si>
  <si>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</si>
  <si>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</si>
  <si>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</si>
  <si>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MASSA CORRIDA PVA PARA PAREDES INTERNAS</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</si>
  <si>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</si>
  <si>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</si>
  <si>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</si>
  <si>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Reator eletrônico 2x28W. Ref.: Philips EB228A26; Philips EL214-28A26; Intral REH-T5 2x28/127-220/50-60 (cod. 02475); MarGirus PB 2X28 AF2.</t>
  </si>
  <si>
    <t>Reator eletrônico 2x14W. Ref.: Philips EB214A26; Philips EL214-28A26; Lumicenter LEB. 214; MarGirus PB 2X14 AF2.</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</si>
  <si>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</si>
  <si>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</si>
  <si>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</si>
  <si>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</si>
  <si>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</si>
  <si>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</si>
  <si>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</si>
  <si>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</si>
  <si>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</si>
  <si>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</si>
  <si>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</si>
  <si>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</si>
  <si>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</si>
  <si>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</si>
  <si>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</si>
  <si>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</si>
  <si>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</si>
  <si>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</si>
  <si>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</si>
  <si>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Engenheiro Eletricista com encargos complementares</t>
  </si>
  <si>
    <t>Oléo Diesel (S10 ou S500)</t>
  </si>
  <si>
    <t>Mão francesa metálica dupla, com dois perfis 38 mm x 38 mm, L = 800 mm</t>
  </si>
  <si>
    <t>Armadura de tela de aço CA-60 4,2mm</t>
  </si>
  <si>
    <t>Concreto preparado na obra C20 S50, controle "B", brita 1</t>
  </si>
  <si>
    <t>Forma para fundação com tábuas e sarrafos, 3 reaproveitamentos</t>
  </si>
  <si>
    <t>Lastro de brita 1 apiloado com soquete manual para regularização</t>
  </si>
  <si>
    <t>Grelha pré-moldada de concreto para canaleta 35 x 60 x 5 cm</t>
  </si>
  <si>
    <t>Furo em concreto com broca de widia, utilizando martele elétrico Ø 3/8" profundidade 10 cm</t>
  </si>
  <si>
    <t>POSTE CONICO CONTINUO EM ACO GALVANIZADO, RETO, BRACO SIMPLES, ENGASTADO,  H = 5 M</t>
  </si>
  <si>
    <t>Suporte para luminária para poste simples (1 luminária)</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</si>
  <si>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</si>
  <si>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</si>
  <si>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</si>
  <si>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</si>
  <si>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</si>
  <si>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</si>
  <si>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Cabo Ethernet Blindado (material)</t>
  </si>
  <si>
    <t xml:space="preserve">Condulete de alumínio de 2” </t>
  </si>
  <si>
    <t xml:space="preserve">Interruptor para condulete </t>
  </si>
  <si>
    <t xml:space="preserve">Interruptor duplo para condulete </t>
  </si>
  <si>
    <t xml:space="preserve">Condutor 2,5 mm² </t>
  </si>
  <si>
    <t xml:space="preserve">Condutor 4 mm² </t>
  </si>
  <si>
    <t xml:space="preserve">Condutor 6 mm² </t>
  </si>
  <si>
    <t xml:space="preserve">Condutor 10 mm² </t>
  </si>
  <si>
    <t xml:space="preserve">Condutor 16 mm²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</si>
  <si>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</si>
  <si>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</si>
  <si>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</si>
  <si>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</si>
  <si>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</si>
  <si>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</si>
  <si>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</si>
  <si>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</si>
  <si>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</si>
  <si>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 xml:space="preserve">Eletrocalha 50x50 mm </t>
  </si>
  <si>
    <t xml:space="preserve">Eletrocalha 100x50 mm </t>
  </si>
  <si>
    <t xml:space="preserve">Eletrocalha 200x50 mm </t>
  </si>
  <si>
    <t xml:space="preserve">Eletrocalha 200x100 mm </t>
  </si>
  <si>
    <t xml:space="preserve">Eletrocalha 300x50 mm </t>
  </si>
  <si>
    <t xml:space="preserve">Eletrocalha 300x100 mm </t>
  </si>
  <si>
    <t xml:space="preserve">Eletrocalha 400x50 mm </t>
  </si>
  <si>
    <t xml:space="preserve">Eletroduto de aço galvanizado de 3” </t>
  </si>
  <si>
    <t xml:space="preserve">Caixa 4x2 de embutir para alvenaria </t>
  </si>
  <si>
    <t xml:space="preserve">Caixa 4x4 de embutir para alvenaria </t>
  </si>
  <si>
    <t xml:space="preserve">Caixa 4x2 para drywall </t>
  </si>
  <si>
    <t xml:space="preserve">Caixa 4x4 para drywall </t>
  </si>
  <si>
    <t xml:space="preserve">Caixa de passagem em alumínio 100x100x50mm </t>
  </si>
  <si>
    <t xml:space="preserve">Caixa de passagem em alumínio 200x200x100mm </t>
  </si>
  <si>
    <t xml:space="preserve">Caixa de passagem em PVC 150x150x75mm </t>
  </si>
  <si>
    <t xml:space="preserve">Caixa para piso elevado </t>
  </si>
  <si>
    <t xml:space="preserve">Tampa cega metálica para caixas de piso 4x2 </t>
  </si>
  <si>
    <t xml:space="preserve">Tampa cega metálica para caixas de piso 4x4 </t>
  </si>
  <si>
    <t xml:space="preserve">Tomada para perfilado e eletrocalha </t>
  </si>
  <si>
    <t xml:space="preserve">Espelho 4x2 </t>
  </si>
  <si>
    <t xml:space="preserve">Espelho 4x4 </t>
  </si>
  <si>
    <t xml:space="preserve">Espelho cego redondo </t>
  </si>
  <si>
    <t xml:space="preserve">Módulo cego </t>
  </si>
  <si>
    <t xml:space="preserve">Módulo tomada 10 A </t>
  </si>
  <si>
    <t xml:space="preserve">Módulo tomada 20 A </t>
  </si>
  <si>
    <t xml:space="preserve">Módulo interruptor simples </t>
  </si>
  <si>
    <t xml:space="preserve">Módulo interruptor paralelo </t>
  </si>
  <si>
    <t xml:space="preserve">Módulo sensor de presença </t>
  </si>
  <si>
    <t xml:space="preserve">Leito 400x100 mm </t>
  </si>
  <si>
    <t xml:space="preserve">Leito 600x100 mm </t>
  </si>
  <si>
    <t xml:space="preserve">Cortadora de parede </t>
  </si>
  <si>
    <t xml:space="preserve">Serra mármore </t>
  </si>
  <si>
    <t>Manutenção periódica - Subestação dos blocos 11-18 (Eletrocentro)</t>
  </si>
  <si>
    <t>SF-02619</t>
  </si>
  <si>
    <t>Manutenção periódica – Sala de Nobreaks do Anexo 2</t>
  </si>
  <si>
    <t>SF-02620</t>
  </si>
  <si>
    <t>Manutenção periódica – Sala de Nobreaks do Prodasen (Sala Y)</t>
  </si>
  <si>
    <t>SF-02621</t>
  </si>
  <si>
    <t>Manutenção periódica – Sistema Predial do Prodasen</t>
  </si>
  <si>
    <t>SF-02622</t>
  </si>
  <si>
    <t>Manutenção periódica – Sistema Predial do Interlegis</t>
  </si>
  <si>
    <t>SF-02623</t>
  </si>
  <si>
    <t>Manutenção corretiva – Subestação dos Blocos 11-18 (Eletrocentro)</t>
  </si>
  <si>
    <t>SF-02624</t>
  </si>
  <si>
    <t>Manutenção corretiva – Sala de Nobreaks do Anexo 2</t>
  </si>
  <si>
    <t>SF-02625</t>
  </si>
  <si>
    <t>Manutenção corretiva – Sala de Nobreaks do Prodasen (Sala Y)</t>
  </si>
  <si>
    <t>SF-02626</t>
  </si>
  <si>
    <t>Manutenção corretiva – Sistema Predial do Prodasen</t>
  </si>
  <si>
    <t>SF-02627</t>
  </si>
  <si>
    <t>Manutenção corretiva – Sistema Predial do Interlegis</t>
  </si>
  <si>
    <t>SF-02628</t>
  </si>
  <si>
    <t>Recondicionamento e teste hidrostático de cilindro de 49 lbs de HFC-227ea (sala de nobreaks do Anexo 2)</t>
  </si>
  <si>
    <t>SF-02629</t>
  </si>
  <si>
    <t>Recondicionamento e teste hidrostático de cilindro de 218 lbs de HFC-227ea (sala de nobreaks do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</si>
  <si>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</si>
  <si>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</si>
  <si>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</si>
  <si>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</si>
  <si>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</si>
  <si>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</si>
  <si>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</si>
  <si>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</si>
  <si>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</si>
  <si>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</si>
  <si>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</si>
  <si>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</si>
  <si>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</si>
  <si>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</si>
  <si>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</si>
  <si>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</si>
  <si>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</si>
  <si>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</si>
  <si>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</si>
  <si>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</si>
  <si>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</si>
  <si>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</si>
  <si>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</si>
  <si>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</si>
  <si>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</si>
  <si>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</si>
  <si>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</si>
  <si>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</si>
  <si>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</si>
  <si>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</si>
  <si>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</si>
  <si>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</si>
  <si>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</si>
  <si>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</si>
  <si>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</si>
  <si>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</si>
  <si>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</si>
  <si>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</si>
  <si>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</si>
  <si>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</si>
  <si>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</si>
  <si>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</si>
  <si>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</si>
  <si>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</si>
  <si>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</si>
  <si>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</si>
  <si>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</si>
  <si>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</si>
  <si>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</si>
  <si>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</si>
  <si>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</si>
  <si>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</si>
  <si>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</si>
  <si>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</si>
  <si>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</si>
  <si>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</si>
  <si>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</si>
  <si>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</si>
  <si>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</si>
  <si>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</si>
  <si>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</si>
  <si>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</si>
  <si>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</si>
  <si>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</si>
  <si>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</si>
  <si>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</si>
  <si>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</si>
  <si>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</si>
  <si>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</si>
  <si>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</si>
  <si>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</si>
  <si>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</si>
  <si>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</si>
  <si>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</si>
  <si>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</si>
  <si>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</si>
  <si>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</si>
  <si>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</si>
  <si>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</si>
  <si>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</si>
  <si>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</si>
  <si>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</si>
  <si>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</si>
  <si>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</si>
  <si>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</si>
  <si>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</si>
  <si>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</si>
  <si>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</si>
  <si>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</si>
  <si>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</si>
  <si>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</si>
  <si>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</si>
  <si>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</si>
  <si>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</si>
  <si>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Data: Agosto de 2021</t>
  </si>
  <si>
    <t xml:space="preserve"> Substituição do carpete azul royal em partes do Edifício Principal do Senado Federal.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</si>
</sst>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quot;R$&quot;* #,##0.00_);_(&quot;R$&quot;* \(#,##0.00\);_(&quot;R$&quot;* &quot;-&quot;??_);_(@_)"/>
    <numFmt numFmtId="165" formatCode="_(* #,##0.00_);_(* \(#,##0.00\);_(* &quot;-&quot;??_);_(@_)"/>
    <numFmt numFmtId="168" formatCode="_(* #,##0.00_);_(* \(#,##0.00\);_(* \-??_);_(@_)"/>
    <numFmt numFmtId="169" formatCode="0.0000"/>
    <numFmt numFmtId="170" formatCode="#,##0.0000"/>
    <numFmt numFmtId="172" formatCode="#,##0.0000000"/>
    <numFmt numFmtId="173" formatCode="&quot;Data-base SINAPI&quot;\ mm/yyyy"/>
    <numFmt numFmtId="174" formatCode="#,##0.00;;"/>
    <numFmt numFmtId="175" formatCode="#,##0;;"/>
    <numFmt numFmtId="176" formatCode="&quot;R$&quot;\ #,##0.00;[Red]&quot;R$&quot;\ #,##0.00"/>
  </numFmts>
  <fonts count="32"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8"/>
      <color indexed="12"/>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168" fontId="2" fillId="0" borderId="0" applyFont="0" applyFill="0" applyAlignment="0" applyProtection="0"/>
    <xf numFmtId="164" fontId="2" fillId="0" borderId="0" applyFont="0" applyFill="0" applyBorder="0" applyAlignment="0" applyProtection="0"/>
    <xf numFmtId="0" fontId="9" fillId="0" borderId="0" applyNumberFormat="0" applyFill="0" applyBorder="0" applyAlignment="0" applyProtection="0"/>
    <xf numFmtId="0" fontId="2" fillId="0" borderId="0">
      <protection locked="0"/>
    </xf>
  </cellStyleXfs>
  <cellXfs count="255">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xf numFmtId="0" fontId="0" fillId="0" borderId="0" xfId="0" applyAlignment="1">
      <alignment wrapText="1"/>
    </xf>
    <xf numFmtId="0" fontId="10" fillId="4" borderId="0" xfId="0" applyFont="1" applyFill="1" applyAlignment="1">
      <alignment horizontal="centerContinuous" vertical="distributed"/>
    </xf>
    <xf numFmtId="169"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9"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9" fontId="15" fillId="0" borderId="0" xfId="0" applyNumberFormat="1" applyFont="1" applyAlignment="1">
      <alignment horizontal="centerContinuous" vertical="center" wrapText="1"/>
    </xf>
    <xf numFmtId="0" fontId="20" fillId="0" borderId="0" xfId="0" applyFont="1" applyAlignment="1">
      <alignment vertical="center" wrapText="1"/>
    </xf>
    <xf numFmtId="169"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169" fontId="17" fillId="4" borderId="10" xfId="0" applyNumberFormat="1"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0" borderId="12" xfId="0" applyFont="1" applyBorder="1" applyAlignment="1">
      <alignment horizontal="center" vertical="center" wrapText="1"/>
    </xf>
    <xf numFmtId="2" fontId="22" fillId="4" borderId="10" xfId="0" applyNumberFormat="1" applyFont="1" applyFill="1" applyBorder="1" applyAlignment="1">
      <alignment horizontal="center" vertical="center" wrapText="1"/>
    </xf>
    <xf numFmtId="0" fontId="3" fillId="0" borderId="8" xfId="3" applyFont="1" applyBorder="1" applyAlignment="1">
      <alignment horizontal="center" vertical="center" wrapText="1"/>
    </xf>
    <xf numFmtId="169" fontId="3" fillId="0" borderId="8" xfId="3" applyNumberFormat="1" applyFont="1" applyBorder="1" applyAlignment="1">
      <alignment vertical="center" wrapText="1"/>
    </xf>
    <xf numFmtId="0" fontId="3" fillId="0" borderId="8"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164" fontId="2" fillId="0" borderId="0" xfId="5" applyFont="1" applyFill="1" applyBorder="1" applyAlignment="1" applyProtection="1">
      <alignment horizontal="center" vertical="center" wrapText="1"/>
    </xf>
    <xf numFmtId="0" fontId="2" fillId="0" borderId="0" xfId="3" applyAlignment="1">
      <alignment vertical="center" wrapText="1"/>
    </xf>
    <xf numFmtId="169" fontId="2" fillId="0" borderId="0" xfId="3" applyNumberFormat="1" applyAlignment="1">
      <alignment vertical="center" wrapText="1"/>
    </xf>
    <xf numFmtId="164" fontId="2" fillId="0" borderId="0" xfId="5" applyFont="1" applyBorder="1" applyAlignment="1" applyProtection="1">
      <alignment horizontal="center" vertical="center" wrapText="1"/>
    </xf>
    <xf numFmtId="164" fontId="2" fillId="0" borderId="16" xfId="5" applyFont="1" applyFill="1" applyBorder="1" applyAlignment="1" applyProtection="1">
      <alignment horizontal="center" vertical="center" wrapText="1"/>
    </xf>
    <xf numFmtId="0" fontId="2" fillId="0" borderId="0" xfId="0" applyFont="1" applyAlignment="1">
      <alignment horizontal="center" vertical="center" wrapText="1"/>
    </xf>
    <xf numFmtId="169"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4" fontId="7" fillId="5" borderId="16" xfId="5" applyFont="1" applyFill="1" applyBorder="1" applyAlignment="1" applyProtection="1">
      <alignment horizontal="center" vertical="center" wrapText="1"/>
    </xf>
    <xf numFmtId="164" fontId="7" fillId="0" borderId="0" xfId="5" applyFont="1" applyFill="1" applyBorder="1" applyAlignment="1" applyProtection="1">
      <alignment horizontal="center" vertical="center" wrapText="1"/>
    </xf>
    <xf numFmtId="0" fontId="3" fillId="0" borderId="4" xfId="3" applyFont="1" applyBorder="1" applyAlignment="1">
      <alignment horizontal="center" vertical="center" wrapText="1"/>
    </xf>
    <xf numFmtId="164" fontId="3" fillId="0" borderId="8" xfId="3" applyNumberFormat="1" applyFont="1" applyBorder="1" applyAlignment="1">
      <alignment vertical="center" wrapText="1"/>
    </xf>
    <xf numFmtId="164" fontId="2" fillId="0" borderId="0" xfId="5" applyFont="1" applyFill="1" applyBorder="1" applyAlignment="1" applyProtection="1">
      <alignment vertical="center" wrapText="1"/>
    </xf>
    <xf numFmtId="164" fontId="7" fillId="0" borderId="16" xfId="5" applyFont="1" applyFill="1" applyBorder="1" applyAlignment="1" applyProtection="1">
      <alignment horizontal="center" vertical="center" wrapText="1"/>
    </xf>
    <xf numFmtId="164" fontId="3" fillId="0" borderId="16" xfId="5" applyFont="1" applyFill="1" applyBorder="1" applyAlignment="1" applyProtection="1">
      <alignment horizontal="center" vertical="center" wrapText="1"/>
    </xf>
    <xf numFmtId="164" fontId="3" fillId="0" borderId="0" xfId="5" applyFont="1" applyFill="1" applyBorder="1" applyAlignment="1" applyProtection="1">
      <alignment horizontal="center" vertical="center" wrapText="1"/>
    </xf>
    <xf numFmtId="165" fontId="2" fillId="0" borderId="0" xfId="0" applyNumberFormat="1" applyFont="1" applyAlignment="1">
      <alignment horizontal="center" vertical="center" wrapText="1"/>
    </xf>
    <xf numFmtId="0" fontId="3" fillId="0" borderId="0" xfId="0" applyFont="1" applyAlignment="1">
      <alignment horizontal="center" vertical="center" wrapText="1"/>
    </xf>
    <xf numFmtId="164" fontId="3" fillId="0" borderId="8"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9" fontId="3" fillId="0" borderId="0" xfId="0" applyNumberFormat="1" applyFont="1" applyAlignment="1">
      <alignment horizontal="left" vertical="center" wrapText="1"/>
    </xf>
    <xf numFmtId="164" fontId="2" fillId="0" borderId="0" xfId="5" applyFont="1" applyBorder="1" applyAlignment="1" applyProtection="1">
      <alignment horizontal="center" vertical="center"/>
    </xf>
    <xf numFmtId="0" fontId="2" fillId="0" borderId="3" xfId="0" applyFont="1" applyBorder="1" applyAlignment="1">
      <alignment horizontal="center" vertical="center" wrapText="1"/>
    </xf>
    <xf numFmtId="164" fontId="5" fillId="0" borderId="16" xfId="5" applyFont="1" applyBorder="1" applyAlignment="1" applyProtection="1">
      <alignment horizontal="center" vertical="center" wrapText="1"/>
    </xf>
    <xf numFmtId="164" fontId="5" fillId="0" borderId="0" xfId="5" applyFont="1" applyFill="1" applyBorder="1" applyAlignment="1" applyProtection="1">
      <alignment horizontal="center" vertical="center" wrapText="1"/>
    </xf>
    <xf numFmtId="0" fontId="3" fillId="0" borderId="0" xfId="0" applyFont="1" applyAlignment="1">
      <alignment vertical="center" wrapText="1"/>
    </xf>
    <xf numFmtId="169"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16" xfId="0" applyFont="1" applyBorder="1" applyAlignment="1">
      <alignment vertical="center" wrapText="1"/>
    </xf>
    <xf numFmtId="0" fontId="2" fillId="0" borderId="16" xfId="0" applyFont="1" applyBorder="1"/>
    <xf numFmtId="4" fontId="2" fillId="0" borderId="16"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9" fontId="2" fillId="0" borderId="3" xfId="0" applyNumberFormat="1" applyFont="1" applyBorder="1" applyAlignment="1">
      <alignment horizontal="center" vertical="center" wrapText="1"/>
    </xf>
    <xf numFmtId="164" fontId="2" fillId="0" borderId="3" xfId="5" applyFont="1" applyFill="1" applyBorder="1" applyAlignment="1" applyProtection="1">
      <alignment horizontal="center" vertical="center" wrapText="1"/>
    </xf>
    <xf numFmtId="164" fontId="2" fillId="0" borderId="3" xfId="5" applyFont="1" applyBorder="1" applyAlignment="1" applyProtection="1">
      <alignment horizontal="center" vertical="center" wrapText="1"/>
    </xf>
    <xf numFmtId="164" fontId="2" fillId="0" borderId="18" xfId="5" applyFont="1" applyFill="1" applyBorder="1" applyAlignment="1" applyProtection="1">
      <alignment horizontal="center" vertical="center" wrapText="1"/>
    </xf>
    <xf numFmtId="169" fontId="3" fillId="0" borderId="3" xfId="3" applyNumberFormat="1" applyFont="1" applyBorder="1" applyAlignment="1">
      <alignment vertical="center" wrapText="1"/>
    </xf>
    <xf numFmtId="0" fontId="3" fillId="0" borderId="3" xfId="3" applyFont="1" applyBorder="1" applyAlignment="1">
      <alignment vertical="center" wrapText="1"/>
    </xf>
    <xf numFmtId="0" fontId="3" fillId="0" borderId="18" xfId="3" applyFont="1" applyBorder="1" applyAlignment="1">
      <alignment vertical="center" wrapText="1"/>
    </xf>
    <xf numFmtId="164" fontId="2" fillId="0" borderId="16" xfId="5" applyFont="1" applyBorder="1" applyAlignment="1" applyProtection="1">
      <alignment horizontal="center" vertical="center"/>
    </xf>
    <xf numFmtId="164" fontId="2" fillId="0" borderId="0" xfId="5" applyFont="1" applyFill="1" applyBorder="1" applyAlignment="1" applyProtection="1">
      <alignment horizontal="center" vertical="center"/>
    </xf>
    <xf numFmtId="164" fontId="2" fillId="0" borderId="0" xfId="0" applyNumberFormat="1" applyFont="1" applyAlignment="1">
      <alignment horizontal="center" vertical="center" wrapText="1"/>
    </xf>
    <xf numFmtId="164" fontId="2" fillId="0" borderId="3" xfId="5" applyFont="1" applyBorder="1" applyAlignment="1" applyProtection="1">
      <alignment horizontal="center" vertical="center"/>
    </xf>
    <xf numFmtId="164" fontId="2" fillId="0" borderId="18" xfId="5" applyFont="1" applyBorder="1" applyAlignment="1" applyProtection="1">
      <alignment horizontal="center" vertical="center"/>
    </xf>
    <xf numFmtId="0" fontId="3" fillId="0" borderId="8" xfId="3" applyFont="1" applyBorder="1" applyAlignment="1">
      <alignment horizontal="center" vertical="center"/>
    </xf>
    <xf numFmtId="0" fontId="2" fillId="0" borderId="0" xfId="3" applyAlignment="1">
      <alignment vertical="center"/>
    </xf>
    <xf numFmtId="0" fontId="2" fillId="0" borderId="3" xfId="0" applyFont="1" applyBorder="1" applyAlignment="1">
      <alignment horizontal="center" vertical="center"/>
    </xf>
    <xf numFmtId="0" fontId="10" fillId="4"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70" fontId="8" fillId="0" borderId="0" xfId="0" applyNumberFormat="1" applyFont="1" applyAlignment="1">
      <alignment vertical="center" wrapText="1"/>
    </xf>
    <xf numFmtId="0" fontId="25" fillId="0" borderId="3" xfId="0" applyFont="1" applyBorder="1" applyAlignment="1">
      <alignment vertical="center" wrapText="1"/>
    </xf>
    <xf numFmtId="0" fontId="26" fillId="0" borderId="3" xfId="0" applyFont="1" applyBorder="1" applyAlignment="1">
      <alignment vertical="center" wrapText="1"/>
    </xf>
    <xf numFmtId="0" fontId="26" fillId="0" borderId="0" xfId="0" applyFont="1" applyAlignment="1">
      <alignment vertical="center" wrapText="1"/>
    </xf>
    <xf numFmtId="170" fontId="25" fillId="0" borderId="3" xfId="0" applyNumberFormat="1" applyFont="1" applyBorder="1" applyAlignment="1">
      <alignment vertical="center" wrapText="1"/>
    </xf>
    <xf numFmtId="170" fontId="22" fillId="4" borderId="10"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172" fontId="3" fillId="0" borderId="3" xfId="3" applyNumberFormat="1" applyFont="1" applyBorder="1" applyAlignment="1">
      <alignment vertical="center" wrapText="1"/>
    </xf>
    <xf numFmtId="172" fontId="2" fillId="0" borderId="0" xfId="3" applyNumberFormat="1" applyAlignment="1">
      <alignment vertical="center" wrapText="1"/>
    </xf>
    <xf numFmtId="172" fontId="2" fillId="0" borderId="0" xfId="0" applyNumberFormat="1" applyFont="1" applyAlignment="1">
      <alignment horizontal="center" vertical="center" wrapText="1"/>
    </xf>
    <xf numFmtId="172" fontId="3" fillId="0" borderId="8" xfId="3" applyNumberFormat="1" applyFont="1" applyBorder="1" applyAlignment="1">
      <alignment vertical="center" wrapText="1"/>
    </xf>
    <xf numFmtId="164" fontId="0" fillId="0" borderId="0" xfId="0" applyNumberFormat="1"/>
    <xf numFmtId="172" fontId="2" fillId="0" borderId="3" xfId="0" applyNumberFormat="1" applyFont="1" applyBorder="1" applyAlignment="1">
      <alignment horizontal="center" vertical="center" wrapText="1"/>
    </xf>
    <xf numFmtId="164" fontId="0" fillId="0" borderId="0" xfId="0" applyNumberFormat="1" applyAlignment="1">
      <alignment horizontal="center" vertical="center"/>
    </xf>
    <xf numFmtId="164" fontId="2" fillId="0" borderId="0" xfId="5" applyFont="1" applyFill="1" applyBorder="1" applyAlignment="1">
      <alignment vertical="center" wrapText="1"/>
    </xf>
    <xf numFmtId="164" fontId="2" fillId="0" borderId="0" xfId="5" applyFont="1" applyFill="1" applyBorder="1" applyAlignment="1">
      <alignment horizontal="center" vertical="center" wrapText="1"/>
    </xf>
    <xf numFmtId="164" fontId="0" fillId="0" borderId="0" xfId="0" applyNumberFormat="1" applyProtection="1">
      <protection locked="0"/>
    </xf>
    <xf numFmtId="164" fontId="2" fillId="0" borderId="16" xfId="5"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10" fillId="4" borderId="0" xfId="0" applyFont="1" applyFill="1" applyAlignment="1">
      <alignment horizontal="centerContinuous"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7" fillId="6" borderId="0" xfId="0" applyFont="1" applyFill="1" applyAlignment="1" applyProtection="1">
      <alignment horizontal="centerContinuous" vertical="center" wrapText="1"/>
      <protection locked="0"/>
    </xf>
    <xf numFmtId="0" fontId="28" fillId="6" borderId="3" xfId="0" applyFont="1" applyFill="1" applyBorder="1" applyAlignment="1" applyProtection="1">
      <alignment horizontal="center" vertical="center" wrapText="1"/>
      <protection locked="0"/>
    </xf>
    <xf numFmtId="0" fontId="28" fillId="6" borderId="3" xfId="0" applyFont="1" applyFill="1" applyBorder="1" applyAlignment="1" applyProtection="1">
      <alignment vertical="center" wrapText="1"/>
      <protection locked="0"/>
    </xf>
    <xf numFmtId="173" fontId="28" fillId="6" borderId="3" xfId="0" applyNumberFormat="1" applyFont="1" applyFill="1" applyBorder="1" applyAlignment="1" applyProtection="1">
      <alignment horizontal="centerContinuous" vertical="center" wrapText="1"/>
      <protection locked="0"/>
    </xf>
    <xf numFmtId="0" fontId="28" fillId="6" borderId="3" xfId="0" applyFont="1" applyFill="1" applyBorder="1" applyAlignment="1" applyProtection="1">
      <alignment horizontal="centerContinuous" vertical="center" wrapText="1"/>
      <protection locked="0"/>
    </xf>
    <xf numFmtId="0" fontId="17" fillId="0" borderId="0" xfId="0" applyFont="1" applyAlignment="1" applyProtection="1">
      <alignment horizontal="center" vertical="center" wrapText="1"/>
      <protection locked="0"/>
    </xf>
    <xf numFmtId="3" fontId="2" fillId="0" borderId="6" xfId="4" applyNumberFormat="1" applyFont="1" applyFill="1" applyBorder="1" applyAlignment="1" applyProtection="1">
      <alignment horizontal="center" vertical="center" wrapText="1"/>
      <protection locked="0"/>
    </xf>
    <xf numFmtId="49" fontId="2" fillId="0" borderId="7" xfId="4" applyNumberFormat="1" applyFont="1" applyFill="1" applyBorder="1" applyAlignment="1" applyProtection="1">
      <alignment horizontal="left" vertical="center" wrapText="1"/>
      <protection locked="0"/>
    </xf>
    <xf numFmtId="4" fontId="2" fillId="0" borderId="7"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165" fontId="2" fillId="0" borderId="0" xfId="1" applyFont="1" applyProtection="1">
      <protection locked="0"/>
    </xf>
    <xf numFmtId="165"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165"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3"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7" xfId="0" applyNumberFormat="1" applyFont="1" applyBorder="1" applyAlignment="1" applyProtection="1">
      <alignment horizontal="center" vertical="center"/>
      <protection locked="0"/>
    </xf>
    <xf numFmtId="0" fontId="26" fillId="0" borderId="3" xfId="0" applyFont="1" applyBorder="1" applyAlignment="1">
      <alignment vertical="center"/>
    </xf>
    <xf numFmtId="0" fontId="17" fillId="4" borderId="2" xfId="0" applyFont="1" applyFill="1" applyBorder="1" applyAlignment="1">
      <alignment horizontal="center" vertical="center"/>
    </xf>
    <xf numFmtId="165" fontId="2" fillId="0" borderId="0" xfId="0" applyNumberFormat="1" applyFont="1" applyAlignment="1">
      <alignment horizontal="center" vertical="center"/>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0" fontId="10" fillId="4" borderId="0" xfId="0" applyFont="1" applyFill="1" applyAlignment="1" applyProtection="1">
      <alignment horizontal="centerContinuous" vertical="center" wrapText="1"/>
    </xf>
    <xf numFmtId="164" fontId="2" fillId="0" borderId="7" xfId="5" applyFont="1" applyFill="1" applyBorder="1" applyAlignment="1" applyProtection="1">
      <alignment vertical="center" wrapText="1"/>
    </xf>
    <xf numFmtId="164" fontId="2" fillId="0" borderId="7" xfId="5" applyFont="1" applyFill="1" applyBorder="1" applyAlignment="1" applyProtection="1">
      <alignment horizontal="right" vertical="center" wrapText="1"/>
    </xf>
    <xf numFmtId="10" fontId="2" fillId="0" borderId="7" xfId="2" applyNumberFormat="1" applyFont="1" applyFill="1" applyBorder="1" applyAlignment="1" applyProtection="1">
      <alignment horizontal="center" vertical="center" wrapText="1"/>
    </xf>
    <xf numFmtId="164" fontId="2" fillId="0" borderId="7" xfId="5" applyFont="1" applyFill="1" applyBorder="1" applyAlignment="1" applyProtection="1">
      <alignment horizontal="center" vertical="center" wrapText="1"/>
    </xf>
    <xf numFmtId="176" fontId="29" fillId="2" borderId="0" xfId="1" applyNumberFormat="1" applyFont="1" applyFill="1" applyBorder="1" applyAlignment="1" applyProtection="1">
      <alignment horizontal="right" wrapText="1"/>
    </xf>
    <xf numFmtId="176" fontId="29" fillId="2" borderId="3" xfId="1" applyNumberFormat="1" applyFont="1" applyFill="1" applyBorder="1" applyAlignment="1" applyProtection="1">
      <alignment horizontal="right" wrapText="1"/>
    </xf>
    <xf numFmtId="174" fontId="29" fillId="2" borderId="20" xfId="0" applyNumberFormat="1" applyFont="1" applyFill="1" applyBorder="1" applyAlignment="1" applyProtection="1">
      <alignment horizontal="center" wrapText="1"/>
    </xf>
    <xf numFmtId="174" fontId="29" fillId="2" borderId="4" xfId="0" applyNumberFormat="1" applyFont="1" applyFill="1" applyBorder="1" applyAlignment="1" applyProtection="1">
      <alignment horizontal="center" wrapText="1"/>
    </xf>
    <xf numFmtId="10" fontId="29" fillId="2" borderId="20" xfId="2" applyNumberFormat="1" applyFont="1" applyFill="1" applyBorder="1" applyAlignment="1" applyProtection="1">
      <alignment wrapText="1"/>
    </xf>
    <xf numFmtId="175" fontId="29" fillId="2" borderId="19" xfId="0" applyNumberFormat="1" applyFont="1" applyFill="1" applyBorder="1" applyAlignment="1" applyProtection="1">
      <alignment horizontal="center" wrapText="1"/>
    </xf>
    <xf numFmtId="0" fontId="9" fillId="0" borderId="0" xfId="6" applyNumberFormat="1" applyBorder="1" applyAlignment="1" applyProtection="1">
      <alignment horizontal="left" vertical="center" wrapText="1"/>
    </xf>
    <xf numFmtId="0" fontId="23" fillId="0" borderId="0" xfId="6" applyFont="1" applyBorder="1" applyAlignment="1" applyProtection="1">
      <alignment wrapText="1"/>
    </xf>
    <xf numFmtId="0" fontId="9" fillId="0" borderId="0" xfId="6" applyBorder="1" applyAlignment="1" applyProtection="1">
      <alignment wrapText="1"/>
    </xf>
    <xf numFmtId="0" fontId="6" fillId="0" borderId="4"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4" fillId="0" borderId="0" xfId="6" applyNumberFormat="1" applyFont="1" applyFill="1" applyBorder="1" applyAlignment="1" applyProtection="1">
      <alignment horizontal="center" vertical="center" wrapText="1"/>
    </xf>
    <xf numFmtId="0" fontId="24" fillId="0" borderId="0" xfId="6" applyFont="1" applyBorder="1" applyAlignment="1" applyProtection="1">
      <alignment wrapText="1"/>
    </xf>
    <xf numFmtId="2" fontId="31" fillId="4" borderId="0" xfId="5" applyNumberFormat="1" applyFont="1" applyFill="1" applyBorder="1" applyAlignment="1" applyProtection="1">
      <alignment horizontal="center" vertical="center" wrapText="1"/>
    </xf>
    <xf numFmtId="170" fontId="31" fillId="4" borderId="0" xfId="5" applyNumberFormat="1" applyFont="1" applyFill="1" applyBorder="1" applyAlignment="1" applyProtection="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xf>
    <xf numFmtId="172" fontId="2" fillId="0" borderId="0" xfId="0" applyNumberFormat="1" applyFont="1" applyBorder="1" applyAlignment="1">
      <alignment horizontal="center" vertical="center" wrapText="1"/>
    </xf>
    <xf numFmtId="0" fontId="2" fillId="0" borderId="0" xfId="3" applyBorder="1" applyAlignment="1">
      <alignment vertical="center" wrapText="1"/>
    </xf>
    <xf numFmtId="169" fontId="2" fillId="0" borderId="0" xfId="3" applyNumberFormat="1" applyBorder="1" applyAlignment="1">
      <alignment vertical="center" wrapText="1"/>
    </xf>
    <xf numFmtId="0" fontId="2" fillId="0" borderId="0" xfId="0" applyFont="1" applyBorder="1" applyAlignment="1">
      <alignment horizontal="center" vertical="center" wrapText="1"/>
    </xf>
    <xf numFmtId="169" fontId="2" fillId="0" borderId="0" xfId="0" applyNumberFormat="1" applyFont="1" applyBorder="1" applyAlignment="1">
      <alignment horizontal="center" vertical="center" wrapText="1"/>
    </xf>
    <xf numFmtId="165" fontId="2" fillId="0" borderId="0" xfId="0" applyNumberFormat="1" applyFont="1" applyBorder="1" applyAlignment="1">
      <alignment horizontal="center" vertical="center" wrapText="1"/>
    </xf>
    <xf numFmtId="165" fontId="2" fillId="0" borderId="3" xfId="0" applyNumberFormat="1" applyFont="1" applyBorder="1" applyAlignment="1">
      <alignment horizontal="center" vertical="center" wrapText="1"/>
    </xf>
    <xf numFmtId="0" fontId="3" fillId="0" borderId="17" xfId="3" applyFont="1" applyBorder="1" applyAlignment="1">
      <alignment horizontal="center" vertical="center" wrapText="1"/>
    </xf>
    <xf numFmtId="0" fontId="2" fillId="0" borderId="0" xfId="3" applyFont="1" applyAlignment="1">
      <alignment vertical="center" wrapText="1"/>
    </xf>
    <xf numFmtId="169" fontId="2" fillId="0" borderId="0" xfId="3" applyNumberFormat="1" applyFont="1" applyAlignment="1">
      <alignment vertical="center" wrapText="1"/>
    </xf>
    <xf numFmtId="0" fontId="2" fillId="0" borderId="0" xfId="3" applyFont="1" applyBorder="1" applyAlignment="1">
      <alignment vertical="center" wrapText="1"/>
    </xf>
    <xf numFmtId="169" fontId="2" fillId="0" borderId="0" xfId="3" applyNumberFormat="1" applyFont="1" applyBorder="1" applyAlignment="1">
      <alignment vertical="center" wrapText="1"/>
    </xf>
    <xf numFmtId="0" fontId="2" fillId="3"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7" xfId="3" applyFont="1" applyBorder="1" applyAlignment="1">
      <alignment horizontal="center" vertical="center" wrapText="1"/>
    </xf>
    <xf numFmtId="0" fontId="20" fillId="0" borderId="0" xfId="0" applyFont="1" applyAlignment="1">
      <alignment vertical="center"/>
    </xf>
    <xf numFmtId="0" fontId="17" fillId="4" borderId="10" xfId="0" applyFont="1" applyFill="1" applyBorder="1" applyAlignment="1">
      <alignment horizontal="center" vertical="center"/>
    </xf>
    <xf numFmtId="164" fontId="2" fillId="0" borderId="0" xfId="5" applyFont="1" applyBorder="1" applyAlignment="1" applyProtection="1">
      <alignment vertical="center" wrapText="1"/>
    </xf>
    <xf numFmtId="172" fontId="2" fillId="0" borderId="0" xfId="3" applyNumberFormat="1" applyBorder="1" applyAlignment="1">
      <alignment vertical="center" wrapText="1"/>
    </xf>
    <xf numFmtId="164" fontId="0" fillId="0" borderId="0" xfId="0" applyNumberFormat="1" applyBorder="1" applyAlignment="1">
      <alignment vertical="center"/>
    </xf>
    <xf numFmtId="0" fontId="2" fillId="0" borderId="0" xfId="0" applyFont="1" applyBorder="1" applyAlignment="1">
      <alignment wrapText="1"/>
    </xf>
    <xf numFmtId="3" fontId="3" fillId="0" borderId="14" xfId="3" applyNumberFormat="1" applyFont="1" applyBorder="1" applyAlignment="1">
      <alignment horizontal="center" vertical="center"/>
    </xf>
    <xf numFmtId="3" fontId="3" fillId="0" borderId="13" xfId="3" applyNumberFormat="1" applyFont="1" applyBorder="1" applyAlignment="1">
      <alignment horizontal="center" vertical="center"/>
    </xf>
    <xf numFmtId="3" fontId="3" fillId="0" borderId="17" xfId="3" applyNumberFormat="1" applyFont="1" applyBorder="1" applyAlignment="1">
      <alignment horizontal="center" vertical="center"/>
    </xf>
    <xf numFmtId="0" fontId="3" fillId="3" borderId="15" xfId="3" applyFont="1" applyFill="1" applyBorder="1" applyAlignment="1">
      <alignment horizontal="center" vertical="center" wrapText="1"/>
    </xf>
    <xf numFmtId="0" fontId="3" fillId="3" borderId="0" xfId="3" applyFont="1" applyFill="1" applyBorder="1" applyAlignment="1">
      <alignment horizontal="center" vertical="center" wrapText="1"/>
    </xf>
    <xf numFmtId="0" fontId="3" fillId="3" borderId="3" xfId="3" applyFont="1" applyFill="1" applyBorder="1" applyAlignment="1">
      <alignment horizontal="center" vertical="center" wrapText="1"/>
    </xf>
    <xf numFmtId="0" fontId="3" fillId="0" borderId="15"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 xfId="3" applyFont="1" applyBorder="1" applyAlignment="1">
      <alignment horizontal="center" vertical="center" wrapText="1"/>
    </xf>
    <xf numFmtId="3" fontId="3" fillId="0" borderId="14" xfId="3" applyNumberFormat="1" applyFont="1" applyFill="1" applyBorder="1" applyAlignment="1">
      <alignment horizontal="center" vertical="center"/>
    </xf>
    <xf numFmtId="0" fontId="3" fillId="0" borderId="13" xfId="3" applyFont="1" applyFill="1" applyBorder="1" applyAlignment="1">
      <alignment horizontal="center" vertical="center"/>
    </xf>
    <xf numFmtId="0" fontId="3" fillId="0" borderId="17" xfId="3" applyFont="1" applyFill="1" applyBorder="1" applyAlignment="1">
      <alignment horizontal="center" vertical="center"/>
    </xf>
    <xf numFmtId="0" fontId="3" fillId="0" borderId="15"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3" fillId="0" borderId="3" xfId="3" applyFont="1" applyFill="1" applyBorder="1" applyAlignment="1">
      <alignment horizontal="center" vertical="center" wrapText="1"/>
    </xf>
    <xf numFmtId="3" fontId="3" fillId="0" borderId="13" xfId="3" applyNumberFormat="1" applyFont="1" applyFill="1" applyBorder="1" applyAlignment="1">
      <alignment horizontal="center" vertical="center"/>
    </xf>
    <xf numFmtId="3" fontId="3" fillId="0" borderId="17" xfId="3" applyNumberFormat="1" applyFont="1" applyFill="1" applyBorder="1" applyAlignment="1">
      <alignment horizontal="center" vertical="center"/>
    </xf>
    <xf numFmtId="3" fontId="3" fillId="0" borderId="28" xfId="3" applyNumberFormat="1" applyFont="1" applyFill="1" applyBorder="1" applyAlignment="1">
      <alignment horizontal="center" vertical="center"/>
    </xf>
    <xf numFmtId="3" fontId="3" fillId="0" borderId="22" xfId="3" applyNumberFormat="1" applyFont="1" applyFill="1" applyBorder="1" applyAlignment="1">
      <alignment horizontal="center" vertical="center"/>
    </xf>
    <xf numFmtId="3" fontId="3" fillId="0" borderId="29" xfId="3" applyNumberFormat="1" applyFont="1" applyFill="1" applyBorder="1" applyAlignment="1">
      <alignment horizontal="center" vertical="center"/>
    </xf>
    <xf numFmtId="0" fontId="3" fillId="0" borderId="13" xfId="3" applyFont="1" applyBorder="1" applyAlignment="1">
      <alignment horizontal="center" vertical="center"/>
    </xf>
    <xf numFmtId="0" fontId="3" fillId="0" borderId="17" xfId="3" applyFont="1" applyBorder="1" applyAlignment="1">
      <alignment horizontal="center" vertical="center"/>
    </xf>
    <xf numFmtId="0" fontId="3" fillId="0" borderId="0" xfId="3" applyFont="1" applyAlignment="1">
      <alignment horizontal="center" vertical="center" wrapText="1"/>
    </xf>
    <xf numFmtId="0" fontId="3" fillId="0" borderId="0" xfId="3" applyFont="1" applyFill="1" applyAlignment="1">
      <alignment horizontal="center" vertical="center" wrapText="1"/>
    </xf>
    <xf numFmtId="3" fontId="3" fillId="3" borderId="14" xfId="3" applyNumberFormat="1" applyFont="1" applyFill="1" applyBorder="1" applyAlignment="1">
      <alignment horizontal="center" vertical="center"/>
    </xf>
    <xf numFmtId="3" fontId="3" fillId="3" borderId="13" xfId="3" applyNumberFormat="1" applyFont="1" applyFill="1" applyBorder="1" applyAlignment="1">
      <alignment horizontal="center" vertical="center"/>
    </xf>
    <xf numFmtId="3" fontId="3" fillId="3" borderId="17" xfId="3" applyNumberFormat="1" applyFont="1" applyFill="1" applyBorder="1" applyAlignment="1">
      <alignment horizontal="center" vertical="center"/>
    </xf>
    <xf numFmtId="0" fontId="3" fillId="3" borderId="0" xfId="3" applyFont="1" applyFill="1" applyAlignment="1">
      <alignment horizontal="center" vertical="center" wrapText="1"/>
    </xf>
    <xf numFmtId="3" fontId="3" fillId="0" borderId="14" xfId="3" applyNumberFormat="1" applyFont="1" applyBorder="1" applyAlignment="1">
      <alignment horizontal="center" vertical="center" wrapText="1"/>
    </xf>
    <xf numFmtId="0" fontId="3" fillId="0" borderId="13" xfId="3" applyFont="1" applyBorder="1" applyAlignment="1">
      <alignment horizontal="center" vertical="center" wrapText="1"/>
    </xf>
    <xf numFmtId="0" fontId="3" fillId="0" borderId="14" xfId="3" applyFont="1" applyBorder="1" applyAlignment="1">
      <alignment horizontal="center" vertical="center" wrapText="1"/>
    </xf>
    <xf numFmtId="0" fontId="3" fillId="0" borderId="17" xfId="3" applyFont="1" applyBorder="1" applyAlignment="1">
      <alignment horizontal="center" vertical="center" wrapText="1"/>
    </xf>
    <xf numFmtId="0" fontId="17" fillId="4" borderId="1" xfId="0" applyFont="1" applyFill="1" applyBorder="1" applyAlignment="1" applyProtection="1">
      <alignment horizontal="center" vertical="center" wrapText="1"/>
    </xf>
    <xf numFmtId="0" fontId="17" fillId="4" borderId="2" xfId="0" applyFont="1" applyFill="1" applyBorder="1" applyAlignment="1" applyProtection="1">
      <alignment horizontal="center" vertical="center" wrapText="1"/>
    </xf>
    <xf numFmtId="2" fontId="17" fillId="4" borderId="2" xfId="1" applyNumberFormat="1" applyFont="1" applyFill="1" applyBorder="1" applyAlignment="1" applyProtection="1">
      <alignment horizontal="center" vertical="center" wrapText="1"/>
    </xf>
    <xf numFmtId="165" fontId="17" fillId="4" borderId="2" xfId="1" applyFont="1" applyFill="1" applyBorder="1" applyAlignment="1" applyProtection="1">
      <alignment horizontal="center" vertical="center" wrapText="1"/>
    </xf>
    <xf numFmtId="3" fontId="2" fillId="0" borderId="6" xfId="4" applyNumberFormat="1" applyFont="1" applyFill="1" applyBorder="1" applyAlignment="1" applyProtection="1">
      <alignment horizontal="center" vertical="center" wrapText="1"/>
    </xf>
    <xf numFmtId="49" fontId="2" fillId="0" borderId="7" xfId="4" applyNumberFormat="1" applyFont="1" applyFill="1" applyBorder="1" applyAlignment="1" applyProtection="1">
      <alignment horizontal="left" vertical="center" wrapText="1"/>
    </xf>
    <xf numFmtId="4" fontId="2" fillId="0" borderId="7" xfId="4" applyNumberFormat="1" applyFont="1" applyFill="1" applyBorder="1" applyAlignment="1" applyProtection="1">
      <alignment horizontal="center" vertical="center" wrapText="1"/>
    </xf>
    <xf numFmtId="174" fontId="21" fillId="2" borderId="19" xfId="0" applyNumberFormat="1" applyFont="1" applyFill="1" applyBorder="1" applyAlignment="1" applyProtection="1">
      <alignment vertical="center" wrapText="1"/>
    </xf>
    <xf numFmtId="49" fontId="21" fillId="2" borderId="20" xfId="0" applyNumberFormat="1" applyFont="1" applyFill="1" applyBorder="1" applyAlignment="1" applyProtection="1">
      <alignment vertical="center" wrapText="1"/>
    </xf>
    <xf numFmtId="174" fontId="21" fillId="2" borderId="20" xfId="0" applyNumberFormat="1" applyFont="1" applyFill="1" applyBorder="1" applyAlignment="1" applyProtection="1">
      <alignment vertical="center" wrapText="1"/>
    </xf>
    <xf numFmtId="174" fontId="29" fillId="2" borderId="20" xfId="0" applyNumberFormat="1" applyFont="1" applyFill="1" applyBorder="1" applyAlignment="1" applyProtection="1">
      <alignment vertical="center" wrapText="1"/>
    </xf>
    <xf numFmtId="10" fontId="2" fillId="2" borderId="21" xfId="2" applyNumberFormat="1" applyFont="1" applyFill="1" applyBorder="1" applyAlignment="1" applyProtection="1">
      <alignment horizontal="center" vertical="center" wrapText="1"/>
    </xf>
    <xf numFmtId="164" fontId="2" fillId="2" borderId="21" xfId="5" applyFont="1" applyFill="1" applyBorder="1" applyAlignment="1" applyProtection="1">
      <alignment horizontal="center" vertical="center" wrapText="1"/>
    </xf>
    <xf numFmtId="164" fontId="2" fillId="2" borderId="0" xfId="5" applyFont="1" applyFill="1" applyBorder="1" applyAlignment="1" applyProtection="1">
      <alignment horizontal="right" vertical="center" wrapText="1"/>
    </xf>
    <xf numFmtId="174" fontId="29" fillId="2" borderId="20" xfId="0" applyNumberFormat="1" applyFont="1" applyFill="1" applyBorder="1" applyAlignment="1" applyProtection="1">
      <alignment wrapText="1"/>
    </xf>
    <xf numFmtId="174" fontId="29" fillId="2" borderId="20" xfId="0" applyNumberFormat="1" applyFont="1" applyFill="1" applyBorder="1" applyAlignment="1" applyProtection="1">
      <alignment horizontal="centerContinuous" wrapText="1"/>
    </xf>
    <xf numFmtId="174" fontId="29" fillId="2" borderId="4" xfId="0" applyNumberFormat="1" applyFont="1" applyFill="1" applyBorder="1" applyAlignment="1" applyProtection="1">
      <alignment wrapText="1"/>
    </xf>
    <xf numFmtId="174" fontId="29" fillId="2" borderId="8" xfId="0" applyNumberFormat="1" applyFont="1" applyFill="1" applyBorder="1" applyAlignment="1" applyProtection="1">
      <alignment wrapText="1"/>
    </xf>
    <xf numFmtId="174" fontId="29" fillId="2" borderId="8" xfId="0" applyNumberFormat="1" applyFont="1" applyFill="1" applyBorder="1" applyAlignment="1" applyProtection="1">
      <alignment horizontal="centerContinuous" wrapText="1"/>
    </xf>
    <xf numFmtId="174" fontId="29" fillId="2" borderId="4" xfId="0" applyNumberFormat="1" applyFont="1" applyFill="1" applyBorder="1" applyAlignment="1" applyProtection="1">
      <alignment horizontal="centerContinuous" wrapText="1"/>
    </xf>
    <xf numFmtId="164" fontId="2" fillId="0" borderId="7" xfId="5" applyFont="1" applyFill="1" applyBorder="1" applyAlignment="1" applyProtection="1">
      <alignment vertical="center" wrapText="1"/>
      <protection locked="0"/>
    </xf>
    <xf numFmtId="0" fontId="17" fillId="4" borderId="4" xfId="0" applyFont="1" applyFill="1" applyBorder="1" applyAlignment="1" applyProtection="1">
      <alignment horizontal="centerContinuous" vertical="center"/>
    </xf>
    <xf numFmtId="0" fontId="17" fillId="4" borderId="8" xfId="0" applyFont="1" applyFill="1" applyBorder="1" applyAlignment="1" applyProtection="1">
      <alignment horizontal="centerContinuous" vertical="center"/>
    </xf>
    <xf numFmtId="0" fontId="2" fillId="0" borderId="22" xfId="0" applyFont="1" applyBorder="1" applyAlignment="1" applyProtection="1">
      <alignment vertical="center"/>
    </xf>
    <xf numFmtId="0" fontId="11" fillId="0" borderId="23"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28" fillId="0" borderId="0" xfId="0" applyFont="1" applyAlignment="1" applyProtection="1">
      <alignment horizontal="center" vertical="center"/>
    </xf>
    <xf numFmtId="0" fontId="11" fillId="0" borderId="25" xfId="0" applyFont="1" applyBorder="1" applyAlignment="1" applyProtection="1">
      <alignment horizontal="center" vertical="center" wrapText="1"/>
    </xf>
    <xf numFmtId="0" fontId="21" fillId="0" borderId="26" xfId="0" applyFont="1" applyBorder="1" applyAlignment="1" applyProtection="1">
      <alignment horizontal="center" vertical="center"/>
    </xf>
    <xf numFmtId="0" fontId="11" fillId="0" borderId="27" xfId="0" applyFont="1" applyBorder="1" applyAlignment="1" applyProtection="1">
      <alignment horizontal="center" vertical="center" wrapText="1"/>
    </xf>
    <xf numFmtId="0" fontId="11" fillId="0" borderId="7" xfId="0" applyFont="1" applyBorder="1" applyAlignment="1" applyProtection="1">
      <alignment horizontal="center" vertical="center"/>
    </xf>
    <xf numFmtId="0" fontId="22" fillId="0" borderId="6" xfId="0" applyFont="1" applyBorder="1" applyAlignment="1" applyProtection="1">
      <alignment horizontal="center" vertical="center"/>
    </xf>
    <xf numFmtId="0" fontId="2" fillId="0" borderId="0" xfId="0" applyFont="1" applyAlignment="1" applyProtection="1">
      <alignment horizontal="center" vertical="center"/>
    </xf>
    <xf numFmtId="0" fontId="3" fillId="4" borderId="19" xfId="0" applyFont="1" applyFill="1" applyBorder="1" applyAlignment="1" applyProtection="1">
      <alignment horizontal="center" vertical="center" wrapText="1"/>
    </xf>
    <xf numFmtId="10" fontId="3" fillId="4" borderId="20" xfId="0" applyNumberFormat="1" applyFont="1" applyFill="1" applyBorder="1" applyAlignment="1" applyProtection="1">
      <alignment horizontal="center" vertical="center"/>
    </xf>
    <xf numFmtId="0" fontId="3" fillId="4" borderId="17" xfId="0" applyFont="1" applyFill="1" applyBorder="1" applyAlignment="1" applyProtection="1">
      <alignment horizontal="center" vertical="center"/>
    </xf>
    <xf numFmtId="0" fontId="2" fillId="0" borderId="13" xfId="0" applyFont="1" applyBorder="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16" fillId="0" borderId="0" xfId="0" applyFont="1" applyAlignment="1" applyProtection="1">
      <alignment horizontal="left"/>
    </xf>
  </cellXfs>
  <cellStyles count="8">
    <cellStyle name="Hiperlink" xfId="6" builtinId="8"/>
    <cellStyle name="Moeda 2" xfId="5"/>
    <cellStyle name="Normal" xfId="0" builtinId="0"/>
    <cellStyle name="Normal 2 4" xfId="7"/>
    <cellStyle name="Normal_Composições" xfId="3"/>
    <cellStyle name="Porcentagem" xfId="2" builtinId="5"/>
    <cellStyle name="Separador de milhares_MODELO CÂMARA" xfId="4"/>
    <cellStyle name="Vírgula" xfId="1" builtinId="3"/>
  </cellStyles>
  <dxfs count="2365">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192881</xdr:colOff>
      <xdr:row>4</xdr:row>
      <xdr:rowOff>264318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mc="http://schemas.openxmlformats.org/markup-compatibility/2006" xmlns:a14="http://schemas.microsoft.com/office/drawing/2010/main" xmlns="" xmlns:a16="http://schemas.microsoft.com/office/drawing/2014/main" id="{AB4325E4-263B-4A6E-BB84-9450B2F7E73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488156</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mc="http://schemas.openxmlformats.org/markup-compatibility/2006" xmlns:a14="http://schemas.microsoft.com/office/drawing/2010/main" xmlns="" xmlns:a16="http://schemas.microsoft.com/office/drawing/2014/main" id="{88E27A7A-2301-4D25-A570-C6ED4980A2E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488156</xdr:colOff>
      <xdr:row>4</xdr:row>
      <xdr:rowOff>140493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mc="http://schemas.openxmlformats.org/markup-compatibility/2006" xmlns:a14="http://schemas.microsoft.com/office/drawing/2010/main" xmlns="" xmlns:a16="http://schemas.microsoft.com/office/drawing/2014/main" id="{F09C3939-A3F5-4FDB-AAE7-4576911F771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mc="http://schemas.openxmlformats.org/markup-compatibility/2006" xmlns:a14="http://schemas.microsoft.com/office/drawing/2010/main" xmlns="" xmlns:a16="http://schemas.microsoft.com/office/drawing/2014/main" id="{872414FF-4BDB-4464-9C9F-C29C5EF0D15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169068</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mc="http://schemas.openxmlformats.org/markup-compatibility/2006" xmlns:a14="http://schemas.microsoft.com/office/drawing/2010/main" xmlns="" xmlns:a16="http://schemas.microsoft.com/office/drawing/2014/main" id="{16360958-FAF6-441B-B969-3858981F094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mc="http://schemas.openxmlformats.org/markup-compatibility/2006" xmlns:a14="http://schemas.microsoft.com/office/drawing/2010/main" xmlns="" xmlns:a16="http://schemas.microsoft.com/office/drawing/2014/main" id="{72E545A2-22EB-468B-BF42-70C4D731381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mc="http://schemas.openxmlformats.org/markup-compatibility/2006" xmlns:a14="http://schemas.microsoft.com/office/drawing/2010/main" xmlns="" xmlns:a16="http://schemas.microsoft.com/office/drawing/2014/main" id="{2C0BAA92-CC07-4C00-800B-121223C9431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593211</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mc="http://schemas.openxmlformats.org/markup-compatibility/2006" xmlns:a14="http://schemas.microsoft.com/office/drawing/2010/main" xmlns="" xmlns:a16="http://schemas.microsoft.com/office/drawing/2014/main" id="{69B3AF1F-C095-4A14-B4FF-2E7D9086F07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10</xdr:col>
      <xdr:colOff>602736</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mc="http://schemas.openxmlformats.org/markup-compatibility/2006" xmlns:a14="http://schemas.microsoft.com/office/drawing/2010/main" xmlns="" xmlns:a16="http://schemas.microsoft.com/office/drawing/2014/main" id="{447176A3-217E-484D-A638-F6CFD4D0A4F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19</xdr:row>
      <xdr:rowOff>120066</xdr:rowOff>
    </xdr:from>
    <xdr:to>
      <xdr:col>4</xdr:col>
      <xdr:colOff>486452</xdr:colOff>
      <xdr:row>37</xdr:row>
      <xdr:rowOff>26769</xdr:rowOff>
    </xdr:to>
    <xdr:pic>
      <xdr:nvPicPr>
        <xdr:cNvPr id="2" name="Imagem 1">
          <a:extLst>
            <a:ext uri="{FF2B5EF4-FFF2-40B4-BE49-F238E27FC236}">
              <a16:creationId xmlns="" xmlns:a16="http://schemas.microsoft.com/office/drawing/2014/main" id="{656868C2-726C-4F85-8760-4FE08709ADA2}"/>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enverimper.com.br/files/produtos/0000001-0000500/122/e5fe48d2b8810574e94921c5fb6cea0c.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vedacit.com.br/produtos/primer-eco-vedacit" TargetMode="External"/><Relationship Id="rId11" Type="http://schemas.openxmlformats.org/officeDocument/2006/relationships/vmlDrawing" Target="../drawings/vmlDrawing1.vml"/><Relationship Id="rId5" Type="http://schemas.openxmlformats.org/officeDocument/2006/relationships/hyperlink" Target="http://www.bautechbrasil.com.br/produtos/pinturas-especiais-e-complementos/bautech-resina-acr%C3%ADlica-multiuso" TargetMode="External"/><Relationship Id="rId10" Type="http://schemas.openxmlformats.org/officeDocument/2006/relationships/drawing" Target="../drawings/drawing1.xml"/><Relationship Id="rId4" Type="http://schemas.openxmlformats.org/officeDocument/2006/relationships/hyperlink" Target="http://www.bautechbrasil.com.br/produtos/selantes-especiais/bautech-selante-acr%C3%ADlico"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6202"/>
  <sheetViews>
    <sheetView zoomScale="80" zoomScaleNormal="80" zoomScaleSheetLayoutView="80" workbookViewId="0">
      <pane ySplit="5" topLeftCell="A6" activePane="bottomLeft" state="frozen"/>
      <selection pane="bottomLeft" activeCell="G4" sqref="G4"/>
    </sheetView>
  </sheetViews>
  <sheetFormatPr defaultRowHeight="15" x14ac:dyDescent="0.25"/>
  <cols>
    <col min="1" max="1" width="14.7109375" customWidth="1"/>
    <col min="2" max="2" width="50.7109375" customWidth="1"/>
    <col min="3" max="3" width="65.7109375" style="4"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6" t="str">
        <f>Orçamentária!A1</f>
        <v xml:space="preserve"> Substituição do carpete azul royal em partes do Edifício Principal do Senado Federal.</v>
      </c>
      <c r="B1" s="6"/>
      <c r="C1" s="6"/>
      <c r="D1" s="6"/>
      <c r="E1" s="7"/>
      <c r="F1" s="6"/>
      <c r="G1" s="6"/>
      <c r="H1" s="6"/>
      <c r="I1" s="8"/>
      <c r="J1" s="9"/>
    </row>
    <row r="2" spans="1:10" ht="24.95" customHeight="1" x14ac:dyDescent="0.25">
      <c r="A2" s="10" t="s">
        <v>0</v>
      </c>
      <c r="B2" s="11"/>
      <c r="C2" s="132"/>
      <c r="D2" s="11"/>
      <c r="E2" s="12"/>
      <c r="F2" s="11"/>
      <c r="G2" s="11"/>
      <c r="H2" s="11"/>
      <c r="I2" s="13"/>
      <c r="J2" s="9"/>
    </row>
    <row r="3" spans="1:10" ht="20.100000000000001" customHeight="1" x14ac:dyDescent="0.25">
      <c r="A3" s="14" t="str">
        <f>Orçamentária!A3</f>
        <v>Data: Agosto de 2021</v>
      </c>
      <c r="B3" s="14"/>
      <c r="C3" s="133"/>
      <c r="D3" s="14"/>
      <c r="E3" s="15"/>
      <c r="F3" s="14"/>
      <c r="G3" s="14"/>
      <c r="H3" s="14"/>
      <c r="J3" s="9"/>
    </row>
    <row r="4" spans="1:10" ht="15.75" thickBot="1" x14ac:dyDescent="0.3">
      <c r="A4" s="16"/>
      <c r="B4" s="16"/>
      <c r="C4" s="174"/>
      <c r="D4" s="16"/>
      <c r="E4" s="17"/>
      <c r="F4" s="16"/>
      <c r="G4" s="18"/>
      <c r="H4" s="16"/>
      <c r="I4" s="16"/>
      <c r="J4" s="19"/>
    </row>
    <row r="5" spans="1:10" ht="30.75" thickBot="1" x14ac:dyDescent="0.3">
      <c r="A5" s="20" t="s">
        <v>1</v>
      </c>
      <c r="B5" s="21" t="s">
        <v>2</v>
      </c>
      <c r="C5" s="175" t="s">
        <v>3</v>
      </c>
      <c r="D5" s="21" t="s">
        <v>4</v>
      </c>
      <c r="E5" s="22" t="s">
        <v>5</v>
      </c>
      <c r="F5" s="21" t="s">
        <v>6</v>
      </c>
      <c r="G5" s="21" t="s">
        <v>7</v>
      </c>
      <c r="H5" s="23" t="s">
        <v>8</v>
      </c>
      <c r="I5" s="24"/>
      <c r="J5" s="25" t="s">
        <v>9</v>
      </c>
    </row>
    <row r="6" spans="1:10" ht="15.75" thickBot="1" x14ac:dyDescent="0.3">
      <c r="A6" s="180" t="s">
        <v>10</v>
      </c>
      <c r="B6" s="186" t="str">
        <f>INDEX(Orçamentária!A:B,MATCH(Composições!A6,Orçamentária!A:A,0),2)</f>
        <v>Engenheiro(a) /Arquiteto(a) júnior</v>
      </c>
      <c r="C6" s="41"/>
      <c r="D6" s="26" t="str">
        <f>TRIM(INDEX(Orçamentária!C:C,MATCH(Composições!A6,Orçamentária!A:A,0),1))</f>
        <v>hh</v>
      </c>
      <c r="E6" s="27"/>
      <c r="F6" s="28" t="s">
        <v>558</v>
      </c>
      <c r="G6" s="28" t="str">
        <f>IF(ISNUMBER(F6),E6*F6,"")</f>
        <v/>
      </c>
      <c r="H6" s="29"/>
      <c r="I6" s="30"/>
      <c r="J6" s="155">
        <v>40</v>
      </c>
    </row>
    <row r="7" spans="1:10" x14ac:dyDescent="0.25">
      <c r="A7" s="200"/>
      <c r="B7" s="202"/>
      <c r="C7" s="32"/>
      <c r="D7" s="32"/>
      <c r="E7" s="33"/>
      <c r="F7" s="31" t="s">
        <v>558</v>
      </c>
      <c r="G7" s="34" t="str">
        <f>IF(ISNUMBER(F7),E7*F7,"")</f>
        <v/>
      </c>
      <c r="H7" s="35"/>
      <c r="I7" s="31"/>
      <c r="J7" s="155">
        <v>40</v>
      </c>
    </row>
    <row r="8" spans="1:10" x14ac:dyDescent="0.25">
      <c r="A8" s="200"/>
      <c r="B8" s="202"/>
      <c r="C8" s="36" t="s">
        <v>11</v>
      </c>
      <c r="D8" s="36" t="s">
        <v>12</v>
      </c>
      <c r="E8" s="37">
        <v>1</v>
      </c>
      <c r="F8" s="31">
        <v>88.283500000000004</v>
      </c>
      <c r="G8" s="34">
        <f>IF(ISNUMBER(F8),E8*F8,"")</f>
        <v>88.283500000000004</v>
      </c>
      <c r="H8" s="39">
        <f>SUM(G8:G8)</f>
        <v>88.283500000000004</v>
      </c>
      <c r="I8" s="40"/>
      <c r="J8" s="155">
        <v>40</v>
      </c>
    </row>
    <row r="9" spans="1:10" ht="15.75" thickBot="1" x14ac:dyDescent="0.3">
      <c r="A9" s="201"/>
      <c r="B9" s="188"/>
      <c r="C9" s="36"/>
      <c r="D9" s="36"/>
      <c r="E9" s="37"/>
      <c r="F9" s="31" t="s">
        <v>558</v>
      </c>
      <c r="G9" s="34" t="str">
        <f>IF(ISNUMBER(F9),E9*F9,"")</f>
        <v/>
      </c>
      <c r="H9" s="35"/>
      <c r="I9" s="31"/>
      <c r="J9" s="155">
        <v>40</v>
      </c>
    </row>
    <row r="10" spans="1:10" ht="15.75" hidden="1" thickBot="1" x14ac:dyDescent="0.3">
      <c r="A10" s="208" t="s">
        <v>13</v>
      </c>
      <c r="B10" s="186" t="str">
        <f>INDEX(Orçamentária!A:B,MATCH(Composições!A10,Orçamentária!A:A,0),2)</f>
        <v>Mestre de obras</v>
      </c>
      <c r="C10" s="41"/>
      <c r="D10" s="26" t="str">
        <f>TRIM(INDEX(Orçamentária!C:C,MATCH(Composições!A10,Orçamentária!A:A,0),1))</f>
        <v>hh</v>
      </c>
      <c r="E10" s="27"/>
      <c r="F10" s="42" t="s">
        <v>558</v>
      </c>
      <c r="G10" s="28" t="str">
        <f>IF(ISNUMBER(F10),E10*F10,"")</f>
        <v/>
      </c>
      <c r="H10" s="29"/>
      <c r="I10" s="30"/>
      <c r="J10" s="155">
        <v>0</v>
      </c>
    </row>
    <row r="11" spans="1:10" ht="15.75" hidden="1" thickBot="1" x14ac:dyDescent="0.3">
      <c r="A11" s="209"/>
      <c r="B11" s="202"/>
      <c r="C11" s="32"/>
      <c r="D11" s="32"/>
      <c r="E11" s="33"/>
      <c r="F11" s="43" t="s">
        <v>558</v>
      </c>
      <c r="G11" s="31" t="str">
        <f>IF(ISNUMBER(F11),E11*F11,"")</f>
        <v/>
      </c>
      <c r="H11" s="35"/>
      <c r="I11" s="31"/>
      <c r="J11" s="155">
        <v>0</v>
      </c>
    </row>
    <row r="12" spans="1:10" ht="15.75" hidden="1" thickBot="1" x14ac:dyDescent="0.3">
      <c r="A12" s="209"/>
      <c r="B12" s="202"/>
      <c r="C12" s="36" t="s">
        <v>14</v>
      </c>
      <c r="D12" s="36" t="s">
        <v>12</v>
      </c>
      <c r="E12" s="37">
        <v>1</v>
      </c>
      <c r="F12" s="31">
        <v>27.179499999999997</v>
      </c>
      <c r="G12" s="34">
        <f>IF(ISNUMBER(F12),E12*F12,"")</f>
        <v>27.179499999999997</v>
      </c>
      <c r="H12" s="39">
        <f>SUM(G12:G12)</f>
        <v>27.179499999999997</v>
      </c>
      <c r="I12" s="40"/>
      <c r="J12" s="155">
        <v>0</v>
      </c>
    </row>
    <row r="13" spans="1:10" ht="15.75" hidden="1" thickBot="1" x14ac:dyDescent="0.3">
      <c r="A13" s="209"/>
      <c r="B13" s="202"/>
      <c r="C13" s="36"/>
      <c r="D13" s="36"/>
      <c r="E13" s="37"/>
      <c r="F13" s="31" t="s">
        <v>558</v>
      </c>
      <c r="G13" s="31" t="str">
        <f>IF(ISNUMBER(F13),E13*F13,"")</f>
        <v/>
      </c>
      <c r="H13" s="35"/>
      <c r="I13" s="31"/>
      <c r="J13" s="155">
        <v>0</v>
      </c>
    </row>
    <row r="14" spans="1:10" ht="15.75" thickBot="1" x14ac:dyDescent="0.3">
      <c r="A14" s="180" t="s">
        <v>15</v>
      </c>
      <c r="B14" s="186" t="str">
        <f>INDEX(Orçamentária!A:B,MATCH(Composições!A14,Orçamentária!A:A,0),2)</f>
        <v>Planejamento físico-financeiro</v>
      </c>
      <c r="C14" s="41"/>
      <c r="D14" s="26" t="str">
        <f>TRIM(INDEX(Orçamentária!C:C,MATCH(Composições!A14,Orçamentária!A:A,0),1))</f>
        <v>un</v>
      </c>
      <c r="E14" s="27"/>
      <c r="F14" s="42" t="s">
        <v>558</v>
      </c>
      <c r="G14" s="28" t="str">
        <f>IF(ISNUMBER(F14),E14*F14,"")</f>
        <v/>
      </c>
      <c r="H14" s="29"/>
      <c r="I14" s="30"/>
      <c r="J14" s="155">
        <v>1</v>
      </c>
    </row>
    <row r="15" spans="1:10" x14ac:dyDescent="0.25">
      <c r="A15" s="200"/>
      <c r="B15" s="202"/>
      <c r="C15" s="32"/>
      <c r="D15" s="32"/>
      <c r="E15" s="33"/>
      <c r="F15" s="43" t="s">
        <v>558</v>
      </c>
      <c r="G15" s="31" t="str">
        <f>IF(ISNUMBER(F15),E15*F15,"")</f>
        <v/>
      </c>
      <c r="H15" s="35"/>
      <c r="I15" s="31"/>
      <c r="J15" s="155">
        <v>1</v>
      </c>
    </row>
    <row r="16" spans="1:10" x14ac:dyDescent="0.25">
      <c r="A16" s="200"/>
      <c r="B16" s="202"/>
      <c r="C16" s="36" t="s">
        <v>16</v>
      </c>
      <c r="D16" s="36" t="s">
        <v>12</v>
      </c>
      <c r="E16" s="37">
        <v>16</v>
      </c>
      <c r="F16" s="31">
        <v>100.3295</v>
      </c>
      <c r="G16" s="31">
        <f>IF(ISNUMBER(F16),E16*F16,"")</f>
        <v>1605.2719999999999</v>
      </c>
      <c r="H16" s="39">
        <f>SUM(G16:G16)</f>
        <v>1605.2719999999999</v>
      </c>
      <c r="I16" s="40"/>
      <c r="J16" s="155">
        <v>1</v>
      </c>
    </row>
    <row r="17" spans="1:10" ht="15.75" thickBot="1" x14ac:dyDescent="0.3">
      <c r="A17" s="201"/>
      <c r="B17" s="188"/>
      <c r="C17" s="36"/>
      <c r="D17" s="36"/>
      <c r="E17" s="37"/>
      <c r="F17" s="31" t="s">
        <v>558</v>
      </c>
      <c r="G17" s="31" t="str">
        <f>IF(ISNUMBER(F17),E17*F17,"")</f>
        <v/>
      </c>
      <c r="H17" s="35"/>
      <c r="I17" s="31"/>
      <c r="J17" s="155">
        <v>1</v>
      </c>
    </row>
    <row r="18" spans="1:10" ht="15.75" thickBot="1" x14ac:dyDescent="0.3">
      <c r="A18" s="180" t="s">
        <v>17</v>
      </c>
      <c r="B18" s="186" t="str">
        <f>INDEX(Orçamentária!A:B,MATCH(Composições!A18,Orçamentária!A:A,0),2)</f>
        <v>Projetos de segurança do trabalho</v>
      </c>
      <c r="C18" s="41"/>
      <c r="D18" s="26" t="str">
        <f>TRIM(INDEX(Orçamentária!C:C,MATCH(Composições!A18,Orçamentária!A:A,0),1))</f>
        <v>un</v>
      </c>
      <c r="E18" s="27"/>
      <c r="F18" s="42" t="s">
        <v>558</v>
      </c>
      <c r="G18" s="28" t="str">
        <f>IF(ISNUMBER(F18),E18*F18,"")</f>
        <v/>
      </c>
      <c r="H18" s="29"/>
      <c r="I18" s="30"/>
      <c r="J18" s="155">
        <v>1</v>
      </c>
    </row>
    <row r="19" spans="1:10" x14ac:dyDescent="0.25">
      <c r="A19" s="200"/>
      <c r="B19" s="202"/>
      <c r="C19" s="32"/>
      <c r="D19" s="32"/>
      <c r="E19" s="33"/>
      <c r="F19" s="43" t="s">
        <v>558</v>
      </c>
      <c r="G19" s="31" t="str">
        <f>IF(ISNUMBER(F19),E19*F19,"")</f>
        <v/>
      </c>
      <c r="H19" s="35"/>
      <c r="I19" s="31"/>
      <c r="J19" s="155">
        <v>1</v>
      </c>
    </row>
    <row r="20" spans="1:10" x14ac:dyDescent="0.25">
      <c r="A20" s="200"/>
      <c r="B20" s="202"/>
      <c r="C20" s="36" t="s">
        <v>18</v>
      </c>
      <c r="D20" s="36" t="s">
        <v>12</v>
      </c>
      <c r="E20" s="37">
        <v>20</v>
      </c>
      <c r="F20" s="31">
        <v>100.6525</v>
      </c>
      <c r="G20" s="31">
        <f>IF(ISNUMBER(F20),E20*F20,"")</f>
        <v>2013.0500000000002</v>
      </c>
      <c r="H20" s="39">
        <f>SUM(G20:G21)</f>
        <v>2246.9900000000002</v>
      </c>
      <c r="I20" s="40"/>
      <c r="J20" s="155">
        <v>1</v>
      </c>
    </row>
    <row r="21" spans="1:10" x14ac:dyDescent="0.25">
      <c r="A21" s="200"/>
      <c r="B21" s="202"/>
      <c r="C21" s="36" t="s">
        <v>19</v>
      </c>
      <c r="D21" s="36" t="s">
        <v>20</v>
      </c>
      <c r="E21" s="37">
        <v>1</v>
      </c>
      <c r="F21" s="34">
        <v>233.94</v>
      </c>
      <c r="G21" s="31">
        <f>IF(ISNUMBER(F21),E21*F21,"")</f>
        <v>233.94</v>
      </c>
      <c r="H21" s="35"/>
      <c r="I21" s="31"/>
      <c r="J21" s="155">
        <v>1</v>
      </c>
    </row>
    <row r="22" spans="1:10" ht="15.75" thickBot="1" x14ac:dyDescent="0.3">
      <c r="A22" s="201"/>
      <c r="B22" s="188"/>
      <c r="C22" s="36"/>
      <c r="D22" s="36"/>
      <c r="E22" s="37"/>
      <c r="F22" s="31" t="s">
        <v>558</v>
      </c>
      <c r="G22" s="31" t="str">
        <f>IF(ISNUMBER(F22),E22*F22,"")</f>
        <v/>
      </c>
      <c r="H22" s="35"/>
      <c r="I22" s="31"/>
      <c r="J22" s="155">
        <v>1</v>
      </c>
    </row>
    <row r="23" spans="1:10" ht="15.75" hidden="1" thickBot="1" x14ac:dyDescent="0.3">
      <c r="A23" s="180" t="s">
        <v>21</v>
      </c>
      <c r="B23" s="186" t="str">
        <f>INDEX(Orçamentária!A:B,MATCH(Composições!A23,Orçamentária!A:A,0),2)</f>
        <v>Demolição de alvenarias</v>
      </c>
      <c r="C23" s="41"/>
      <c r="D23" s="26" t="str">
        <f>TRIM(INDEX(Orçamentária!C:C,MATCH(Composições!A23,Orçamentária!A:A,0),1))</f>
        <v>m3</v>
      </c>
      <c r="E23" s="27"/>
      <c r="F23" s="42" t="s">
        <v>558</v>
      </c>
      <c r="G23" s="28" t="str">
        <f>IF(ISNUMBER(F23),E23*F23,"")</f>
        <v/>
      </c>
      <c r="H23" s="29"/>
      <c r="I23" s="30"/>
      <c r="J23" s="155">
        <v>0</v>
      </c>
    </row>
    <row r="24" spans="1:10" ht="15.75" hidden="1" thickBot="1" x14ac:dyDescent="0.3">
      <c r="A24" s="200"/>
      <c r="B24" s="202"/>
      <c r="C24" s="32"/>
      <c r="D24" s="32"/>
      <c r="E24" s="33"/>
      <c r="F24" s="43" t="s">
        <v>558</v>
      </c>
      <c r="G24" s="31" t="str">
        <f>IF(ISNUMBER(F24),E24*F24,"")</f>
        <v/>
      </c>
      <c r="H24" s="35"/>
      <c r="I24" s="31"/>
      <c r="J24" s="155">
        <v>0</v>
      </c>
    </row>
    <row r="25" spans="1:10" ht="15.75" hidden="1" thickBot="1" x14ac:dyDescent="0.3">
      <c r="A25" s="200"/>
      <c r="B25" s="202"/>
      <c r="C25" s="36" t="s">
        <v>22</v>
      </c>
      <c r="D25" s="36" t="s">
        <v>12</v>
      </c>
      <c r="E25" s="37">
        <v>0.22500000000000001</v>
      </c>
      <c r="F25" s="31">
        <v>22.704999999999998</v>
      </c>
      <c r="G25" s="34">
        <f>IF(ISNUMBER(F25),E25*F25,"")</f>
        <v>5.108625</v>
      </c>
      <c r="H25" s="39">
        <f>SUM(G25:G26)</f>
        <v>44.001366599999997</v>
      </c>
      <c r="I25" s="40"/>
      <c r="J25" s="155">
        <v>0</v>
      </c>
    </row>
    <row r="26" spans="1:10" ht="15.75" hidden="1" thickBot="1" x14ac:dyDescent="0.3">
      <c r="A26" s="200"/>
      <c r="B26" s="202"/>
      <c r="C26" s="36" t="s">
        <v>23</v>
      </c>
      <c r="D26" s="36" t="s">
        <v>12</v>
      </c>
      <c r="E26" s="37">
        <v>2.3248000000000002</v>
      </c>
      <c r="F26" s="31">
        <v>16.729499999999998</v>
      </c>
      <c r="G26" s="34">
        <f>IF(ISNUMBER(F26),E26*F26,"")</f>
        <v>38.892741600000001</v>
      </c>
      <c r="H26" s="44"/>
      <c r="I26" s="40"/>
      <c r="J26" s="155">
        <v>0</v>
      </c>
    </row>
    <row r="27" spans="1:10" ht="15.75" hidden="1" thickBot="1" x14ac:dyDescent="0.3">
      <c r="A27" s="201"/>
      <c r="B27" s="188"/>
      <c r="C27" s="36"/>
      <c r="D27" s="36"/>
      <c r="E27" s="37"/>
      <c r="F27" s="31" t="s">
        <v>558</v>
      </c>
      <c r="G27" s="31" t="str">
        <f>IF(ISNUMBER(F27),E27*F27,"")</f>
        <v/>
      </c>
      <c r="H27" s="35"/>
      <c r="I27" s="31"/>
      <c r="J27" s="155">
        <v>0</v>
      </c>
    </row>
    <row r="28" spans="1:10" ht="15.75" hidden="1" thickBot="1" x14ac:dyDescent="0.3">
      <c r="A28" s="180" t="s">
        <v>24</v>
      </c>
      <c r="B28" s="186" t="str">
        <f>INDEX(Orçamentária!A:B,MATCH(Composições!A28,Orçamentária!A:A,0),2)</f>
        <v>Demolição de concreto simples</v>
      </c>
      <c r="C28" s="41"/>
      <c r="D28" s="26" t="str">
        <f>TRIM(INDEX(Orçamentária!C:C,MATCH(Composições!A28,Orçamentária!A:A,0),1))</f>
        <v>m3</v>
      </c>
      <c r="E28" s="27"/>
      <c r="F28" s="42" t="s">
        <v>558</v>
      </c>
      <c r="G28" s="28" t="str">
        <f>IF(ISNUMBER(F28),E28*F28,"")</f>
        <v/>
      </c>
      <c r="H28" s="29"/>
      <c r="I28" s="30"/>
      <c r="J28" s="155">
        <v>0</v>
      </c>
    </row>
    <row r="29" spans="1:10" ht="15.75" hidden="1" thickBot="1" x14ac:dyDescent="0.3">
      <c r="A29" s="200"/>
      <c r="B29" s="202"/>
      <c r="C29" s="32"/>
      <c r="D29" s="32"/>
      <c r="E29" s="33"/>
      <c r="F29" s="43" t="s">
        <v>558</v>
      </c>
      <c r="G29" s="31" t="str">
        <f>IF(ISNUMBER(F29),E29*F29,"")</f>
        <v/>
      </c>
      <c r="H29" s="35"/>
      <c r="I29" s="31"/>
      <c r="J29" s="155">
        <v>0</v>
      </c>
    </row>
    <row r="30" spans="1:10" ht="15.75" hidden="1" thickBot="1" x14ac:dyDescent="0.3">
      <c r="A30" s="200"/>
      <c r="B30" s="202"/>
      <c r="C30" s="36" t="s">
        <v>22</v>
      </c>
      <c r="D30" s="36" t="s">
        <v>12</v>
      </c>
      <c r="E30" s="37">
        <v>1.3</v>
      </c>
      <c r="F30" s="31">
        <v>22.704999999999998</v>
      </c>
      <c r="G30" s="34">
        <f>IF(ISNUMBER(F30),E30*F30,"")</f>
        <v>29.516499999999997</v>
      </c>
      <c r="H30" s="39">
        <f>SUM(G30:G31)</f>
        <v>246.99999999999997</v>
      </c>
      <c r="I30" s="40"/>
      <c r="J30" s="155">
        <v>0</v>
      </c>
    </row>
    <row r="31" spans="1:10" ht="15.75" hidden="1" thickBot="1" x14ac:dyDescent="0.3">
      <c r="A31" s="200"/>
      <c r="B31" s="202"/>
      <c r="C31" s="36" t="s">
        <v>23</v>
      </c>
      <c r="D31" s="36" t="s">
        <v>12</v>
      </c>
      <c r="E31" s="37">
        <v>13</v>
      </c>
      <c r="F31" s="31">
        <v>16.729499999999998</v>
      </c>
      <c r="G31" s="34">
        <f>IF(ISNUMBER(F31),E31*F31,"")</f>
        <v>217.48349999999996</v>
      </c>
      <c r="H31" s="35"/>
      <c r="I31" s="31"/>
      <c r="J31" s="155">
        <v>0</v>
      </c>
    </row>
    <row r="32" spans="1:10" ht="15.75" hidden="1" thickBot="1" x14ac:dyDescent="0.3">
      <c r="A32" s="201"/>
      <c r="B32" s="188"/>
      <c r="C32" s="36"/>
      <c r="D32" s="36"/>
      <c r="E32" s="37"/>
      <c r="F32" s="31" t="s">
        <v>558</v>
      </c>
      <c r="G32" s="31" t="str">
        <f>IF(ISNUMBER(F32),E32*F32,"")</f>
        <v/>
      </c>
      <c r="H32" s="35"/>
      <c r="I32" s="31"/>
      <c r="J32" s="155">
        <v>0</v>
      </c>
    </row>
    <row r="33" spans="1:10" ht="15.75" thickBot="1" x14ac:dyDescent="0.3">
      <c r="A33" s="180" t="s">
        <v>25</v>
      </c>
      <c r="B33" s="186" t="str">
        <f>INDEX(Orçamentária!A:B,MATCH(Composições!A33,Orçamentária!A:A,0),2)</f>
        <v>Demolição de contrapiso</v>
      </c>
      <c r="C33" s="41"/>
      <c r="D33" s="26" t="str">
        <f>TRIM(INDEX(Orçamentária!C:C,MATCH(Composições!A33,Orçamentária!A:A,0),1))</f>
        <v>m2</v>
      </c>
      <c r="E33" s="27"/>
      <c r="F33" s="42" t="s">
        <v>558</v>
      </c>
      <c r="G33" s="28" t="str">
        <f>IF(ISNUMBER(F33),E33*F33,"")</f>
        <v/>
      </c>
      <c r="H33" s="29"/>
      <c r="I33" s="30"/>
      <c r="J33" s="155">
        <v>260</v>
      </c>
    </row>
    <row r="34" spans="1:10" x14ac:dyDescent="0.25">
      <c r="A34" s="200"/>
      <c r="B34" s="202"/>
      <c r="C34" s="32"/>
      <c r="D34" s="32"/>
      <c r="E34" s="33"/>
      <c r="F34" s="43" t="s">
        <v>558</v>
      </c>
      <c r="G34" s="31" t="str">
        <f>IF(ISNUMBER(F34),E34*F34,"")</f>
        <v/>
      </c>
      <c r="H34" s="35"/>
      <c r="I34" s="31"/>
      <c r="J34" s="155">
        <v>260</v>
      </c>
    </row>
    <row r="35" spans="1:10" x14ac:dyDescent="0.25">
      <c r="A35" s="200"/>
      <c r="B35" s="202"/>
      <c r="C35" s="36" t="s">
        <v>23</v>
      </c>
      <c r="D35" s="36" t="s">
        <v>12</v>
      </c>
      <c r="E35" s="37">
        <v>0.7</v>
      </c>
      <c r="F35" s="31">
        <v>16.729499999999998</v>
      </c>
      <c r="G35" s="34">
        <f>IF(ISNUMBER(F35),E35*F35,"")</f>
        <v>11.710649999999998</v>
      </c>
      <c r="H35" s="39">
        <f>SUM(G35:G35)</f>
        <v>11.710649999999998</v>
      </c>
      <c r="I35" s="40"/>
      <c r="J35" s="155">
        <v>260</v>
      </c>
    </row>
    <row r="36" spans="1:10" ht="15.75" thickBot="1" x14ac:dyDescent="0.3">
      <c r="A36" s="201"/>
      <c r="B36" s="188"/>
      <c r="C36" s="36"/>
      <c r="D36" s="36"/>
      <c r="E36" s="37"/>
      <c r="F36" s="31" t="s">
        <v>558</v>
      </c>
      <c r="G36" s="31" t="str">
        <f>IF(ISNUMBER(F36),E36*F36,"")</f>
        <v/>
      </c>
      <c r="H36" s="35"/>
      <c r="I36" s="31"/>
      <c r="J36" s="155">
        <v>260</v>
      </c>
    </row>
    <row r="37" spans="1:10" ht="15.75" hidden="1" thickBot="1" x14ac:dyDescent="0.3">
      <c r="A37" s="180" t="s">
        <v>26</v>
      </c>
      <c r="B37" s="186" t="str">
        <f>INDEX(Orçamentária!A:B,MATCH(Composições!A37,Orçamentária!A:A,0),2)</f>
        <v>Demolição de fechamento ou parede em gesso acartonado</v>
      </c>
      <c r="C37" s="41"/>
      <c r="D37" s="26" t="str">
        <f>TRIM(INDEX(Orçamentária!C:C,MATCH(Composições!A37,Orçamentária!A:A,0),1))</f>
        <v>m2</v>
      </c>
      <c r="E37" s="27"/>
      <c r="F37" s="42" t="s">
        <v>558</v>
      </c>
      <c r="G37" s="28" t="str">
        <f>IF(ISNUMBER(F37),E37*F37,"")</f>
        <v/>
      </c>
      <c r="H37" s="29"/>
      <c r="I37" s="30"/>
      <c r="J37" s="155">
        <v>0</v>
      </c>
    </row>
    <row r="38" spans="1:10" ht="15.75" hidden="1" thickBot="1" x14ac:dyDescent="0.3">
      <c r="A38" s="200"/>
      <c r="B38" s="202"/>
      <c r="C38" s="32"/>
      <c r="D38" s="32"/>
      <c r="E38" s="33"/>
      <c r="F38" s="43" t="s">
        <v>558</v>
      </c>
      <c r="G38" s="31" t="str">
        <f>IF(ISNUMBER(F38),E38*F38,"")</f>
        <v/>
      </c>
      <c r="H38" s="35"/>
      <c r="I38" s="31"/>
      <c r="J38" s="155">
        <v>0</v>
      </c>
    </row>
    <row r="39" spans="1:10" ht="15.75" hidden="1" thickBot="1" x14ac:dyDescent="0.3">
      <c r="A39" s="200"/>
      <c r="B39" s="202"/>
      <c r="C39" s="36" t="s">
        <v>27</v>
      </c>
      <c r="D39" s="36" t="s">
        <v>12</v>
      </c>
      <c r="E39" s="37">
        <v>0.1186</v>
      </c>
      <c r="F39" s="31">
        <v>17.299499999999998</v>
      </c>
      <c r="G39" s="34">
        <f>IF(ISNUMBER(F39),E39*F39,"")</f>
        <v>2.0517206999999997</v>
      </c>
      <c r="H39" s="39">
        <f>SUM(G39:G40)</f>
        <v>5.9480212499999991</v>
      </c>
      <c r="I39" s="40"/>
      <c r="J39" s="155">
        <v>0</v>
      </c>
    </row>
    <row r="40" spans="1:10" ht="15.75" hidden="1" thickBot="1" x14ac:dyDescent="0.3">
      <c r="A40" s="200"/>
      <c r="B40" s="202"/>
      <c r="C40" s="36" t="s">
        <v>23</v>
      </c>
      <c r="D40" s="36" t="s">
        <v>12</v>
      </c>
      <c r="E40" s="37">
        <v>0.2329</v>
      </c>
      <c r="F40" s="31">
        <v>16.729499999999998</v>
      </c>
      <c r="G40" s="34">
        <f>IF(ISNUMBER(F40),E40*F40,"")</f>
        <v>3.8963005499999994</v>
      </c>
      <c r="H40" s="45"/>
      <c r="I40" s="46"/>
      <c r="J40" s="155">
        <v>0</v>
      </c>
    </row>
    <row r="41" spans="1:10" ht="15.75" hidden="1" thickBot="1" x14ac:dyDescent="0.3">
      <c r="A41" s="201"/>
      <c r="B41" s="188"/>
      <c r="C41" s="36"/>
      <c r="D41" s="36"/>
      <c r="E41" s="37"/>
      <c r="F41" s="31" t="s">
        <v>558</v>
      </c>
      <c r="G41" s="31" t="str">
        <f>IF(ISNUMBER(F41),E41*F41,"")</f>
        <v/>
      </c>
      <c r="H41" s="35"/>
      <c r="I41" s="31"/>
      <c r="J41" s="155">
        <v>0</v>
      </c>
    </row>
    <row r="42" spans="1:10" ht="15.75" hidden="1" thickBot="1" x14ac:dyDescent="0.3">
      <c r="A42" s="180" t="s">
        <v>28</v>
      </c>
      <c r="B42" s="186" t="str">
        <f>INDEX(Orçamentária!A:B,MATCH(Composições!A42,Orçamentária!A:A,0),2)</f>
        <v>Demolição de forro</v>
      </c>
      <c r="C42" s="41"/>
      <c r="D42" s="26" t="str">
        <f>TRIM(INDEX(Orçamentária!C:C,MATCH(Composições!A42,Orçamentária!A:A,0),1))</f>
        <v>m2</v>
      </c>
      <c r="E42" s="27"/>
      <c r="F42" s="42" t="s">
        <v>558</v>
      </c>
      <c r="G42" s="28" t="str">
        <f>IF(ISNUMBER(F42),E42*F42,"")</f>
        <v/>
      </c>
      <c r="H42" s="29"/>
      <c r="I42" s="30"/>
      <c r="J42" s="155">
        <v>0</v>
      </c>
    </row>
    <row r="43" spans="1:10" ht="15.75" hidden="1" thickBot="1" x14ac:dyDescent="0.3">
      <c r="A43" s="200"/>
      <c r="B43" s="202"/>
      <c r="C43" s="32"/>
      <c r="D43" s="32"/>
      <c r="E43" s="33"/>
      <c r="F43" s="43" t="s">
        <v>558</v>
      </c>
      <c r="G43" s="31" t="str">
        <f>IF(ISNUMBER(F43),E43*F43,"")</f>
        <v/>
      </c>
      <c r="H43" s="35"/>
      <c r="I43" s="31"/>
      <c r="J43" s="155">
        <v>0</v>
      </c>
    </row>
    <row r="44" spans="1:10" ht="15.75" hidden="1" thickBot="1" x14ac:dyDescent="0.3">
      <c r="A44" s="200"/>
      <c r="B44" s="202"/>
      <c r="C44" s="36" t="s">
        <v>27</v>
      </c>
      <c r="D44" s="36" t="s">
        <v>12</v>
      </c>
      <c r="E44" s="37">
        <v>2.58E-2</v>
      </c>
      <c r="F44" s="31">
        <v>17.299499999999998</v>
      </c>
      <c r="G44" s="34">
        <f>IF(ISNUMBER(F44),E44*F44,"")</f>
        <v>0.44632709999999998</v>
      </c>
      <c r="H44" s="39">
        <f>SUM(G44:G45)</f>
        <v>1.29451275</v>
      </c>
      <c r="I44" s="40"/>
      <c r="J44" s="155">
        <v>0</v>
      </c>
    </row>
    <row r="45" spans="1:10" ht="15.75" hidden="1" thickBot="1" x14ac:dyDescent="0.3">
      <c r="A45" s="200"/>
      <c r="B45" s="202"/>
      <c r="C45" s="36" t="s">
        <v>23</v>
      </c>
      <c r="D45" s="36" t="s">
        <v>12</v>
      </c>
      <c r="E45" s="37">
        <v>5.0700000000000002E-2</v>
      </c>
      <c r="F45" s="31">
        <v>16.729499999999998</v>
      </c>
      <c r="G45" s="34">
        <f>IF(ISNUMBER(F45),E45*F45,"")</f>
        <v>0.8481856499999999</v>
      </c>
      <c r="H45" s="35"/>
      <c r="I45" s="31"/>
      <c r="J45" s="155">
        <v>0</v>
      </c>
    </row>
    <row r="46" spans="1:10" ht="15.75" hidden="1" thickBot="1" x14ac:dyDescent="0.3">
      <c r="A46" s="201"/>
      <c r="B46" s="188"/>
      <c r="C46" s="36"/>
      <c r="D46" s="36"/>
      <c r="E46" s="37"/>
      <c r="F46" s="31" t="s">
        <v>558</v>
      </c>
      <c r="G46" s="31" t="str">
        <f>IF(ISNUMBER(F46),E46*F46,"")</f>
        <v/>
      </c>
      <c r="H46" s="35"/>
      <c r="I46" s="31"/>
      <c r="J46" s="155">
        <v>0</v>
      </c>
    </row>
    <row r="47" spans="1:10" ht="15.75" hidden="1" thickBot="1" x14ac:dyDescent="0.3">
      <c r="A47" s="180" t="s">
        <v>29</v>
      </c>
      <c r="B47" s="186" t="str">
        <f>INDEX(Orçamentária!A:B,MATCH(Composições!A47,Orçamentária!A:A,0),2)</f>
        <v>Demolição de infraestrutura elétrica (eletrodutos, eletrocalhas, cabos)</v>
      </c>
      <c r="C47" s="41"/>
      <c r="D47" s="26" t="str">
        <f>TRIM(INDEX(Orçamentária!C:C,MATCH(Composições!A47,Orçamentária!A:A,0),1))</f>
        <v>m</v>
      </c>
      <c r="E47" s="27"/>
      <c r="F47" s="42" t="s">
        <v>558</v>
      </c>
      <c r="G47" s="28" t="str">
        <f>IF(ISNUMBER(F47),E47*F47,"")</f>
        <v/>
      </c>
      <c r="H47" s="29"/>
      <c r="I47" s="30"/>
      <c r="J47" s="155">
        <v>0</v>
      </c>
    </row>
    <row r="48" spans="1:10" ht="15.75" hidden="1" thickBot="1" x14ac:dyDescent="0.3">
      <c r="A48" s="200"/>
      <c r="B48" s="202"/>
      <c r="C48" s="32"/>
      <c r="D48" s="32"/>
      <c r="E48" s="33"/>
      <c r="F48" s="43" t="s">
        <v>558</v>
      </c>
      <c r="G48" s="31" t="str">
        <f>IF(ISNUMBER(F48),E48*F48,"")</f>
        <v/>
      </c>
      <c r="H48" s="35"/>
      <c r="I48" s="31"/>
      <c r="J48" s="155">
        <v>0</v>
      </c>
    </row>
    <row r="49" spans="1:10" ht="15.75" hidden="1" thickBot="1" x14ac:dyDescent="0.3">
      <c r="A49" s="200"/>
      <c r="B49" s="202"/>
      <c r="C49" s="36" t="s">
        <v>30</v>
      </c>
      <c r="D49" s="36" t="s">
        <v>12</v>
      </c>
      <c r="E49" s="37">
        <f>ROUND(0.0096*5,4)</f>
        <v>4.8000000000000001E-2</v>
      </c>
      <c r="F49" s="31">
        <v>22.895</v>
      </c>
      <c r="G49" s="34">
        <f>IF(ISNUMBER(F49),E49*F49,"")</f>
        <v>1.0989599999999999</v>
      </c>
      <c r="H49" s="39">
        <f>SUM(G49:G50)</f>
        <v>2.6715329999999997</v>
      </c>
      <c r="I49" s="40"/>
      <c r="J49" s="155">
        <v>0</v>
      </c>
    </row>
    <row r="50" spans="1:10" ht="15.75" hidden="1" thickBot="1" x14ac:dyDescent="0.3">
      <c r="A50" s="200"/>
      <c r="B50" s="202"/>
      <c r="C50" s="36" t="s">
        <v>23</v>
      </c>
      <c r="D50" s="36" t="s">
        <v>12</v>
      </c>
      <c r="E50" s="37">
        <f>ROUND(0.0188*5,4)</f>
        <v>9.4E-2</v>
      </c>
      <c r="F50" s="31">
        <v>16.729499999999998</v>
      </c>
      <c r="G50" s="34">
        <f>IF(ISNUMBER(F50),E50*F50,"")</f>
        <v>1.5725729999999998</v>
      </c>
      <c r="H50" s="35"/>
      <c r="I50" s="31"/>
      <c r="J50" s="155">
        <v>0</v>
      </c>
    </row>
    <row r="51" spans="1:10" ht="15.75" hidden="1" thickBot="1" x14ac:dyDescent="0.3">
      <c r="A51" s="201"/>
      <c r="B51" s="188"/>
      <c r="C51" s="36"/>
      <c r="D51" s="36"/>
      <c r="E51" s="37"/>
      <c r="F51" s="31" t="s">
        <v>558</v>
      </c>
      <c r="G51" s="31" t="str">
        <f>IF(ISNUMBER(F51),E51*F51,"")</f>
        <v/>
      </c>
      <c r="H51" s="35"/>
      <c r="I51" s="31"/>
      <c r="J51" s="155">
        <v>0</v>
      </c>
    </row>
    <row r="52" spans="1:10" ht="15.75" hidden="1" thickBot="1" x14ac:dyDescent="0.3">
      <c r="A52" s="180" t="s">
        <v>31</v>
      </c>
      <c r="B52" s="186" t="str">
        <f>INDEX(Orçamentária!A:B,MATCH(Composições!A52,Orçamentária!A:A,0),2)</f>
        <v>Demolição de revestimento cerâmico, granito, mármore ou granitina</v>
      </c>
      <c r="C52" s="41"/>
      <c r="D52" s="26" t="str">
        <f>TRIM(INDEX(Orçamentária!C:C,MATCH(Composições!A52,Orçamentária!A:A,0),1))</f>
        <v>m2</v>
      </c>
      <c r="E52" s="27"/>
      <c r="F52" s="42" t="s">
        <v>558</v>
      </c>
      <c r="G52" s="28" t="str">
        <f>IF(ISNUMBER(F52),E52*F52,"")</f>
        <v/>
      </c>
      <c r="H52" s="29"/>
      <c r="I52" s="30"/>
      <c r="J52" s="155">
        <v>0</v>
      </c>
    </row>
    <row r="53" spans="1:10" ht="15.75" hidden="1" thickBot="1" x14ac:dyDescent="0.3">
      <c r="A53" s="200"/>
      <c r="B53" s="202"/>
      <c r="C53" s="32"/>
      <c r="D53" s="32"/>
      <c r="E53" s="33"/>
      <c r="F53" s="43" t="s">
        <v>558</v>
      </c>
      <c r="G53" s="31" t="str">
        <f>IF(ISNUMBER(F53),E53*F53,"")</f>
        <v/>
      </c>
      <c r="H53" s="35"/>
      <c r="I53" s="31"/>
      <c r="J53" s="155">
        <v>0</v>
      </c>
    </row>
    <row r="54" spans="1:10" ht="26.25" hidden="1" thickBot="1" x14ac:dyDescent="0.3">
      <c r="A54" s="200"/>
      <c r="B54" s="202"/>
      <c r="C54" s="36" t="s">
        <v>32</v>
      </c>
      <c r="D54" s="36" t="s">
        <v>33</v>
      </c>
      <c r="E54" s="37">
        <v>6.9900000000000004E-2</v>
      </c>
      <c r="F54" s="34">
        <v>21.127999999999997</v>
      </c>
      <c r="G54" s="34">
        <f>IF(ISNUMBER(F54),E54*F54,"")</f>
        <v>1.4768471999999999</v>
      </c>
      <c r="H54" s="39">
        <f>SUM(G54:G57)</f>
        <v>9.7758248999999999</v>
      </c>
      <c r="I54" s="40"/>
      <c r="J54" s="155">
        <v>0</v>
      </c>
    </row>
    <row r="55" spans="1:10" ht="26.25" hidden="1" thickBot="1" x14ac:dyDescent="0.3">
      <c r="A55" s="200"/>
      <c r="B55" s="202"/>
      <c r="C55" s="36" t="s">
        <v>34</v>
      </c>
      <c r="D55" s="36" t="s">
        <v>35</v>
      </c>
      <c r="E55" s="37">
        <v>4.82E-2</v>
      </c>
      <c r="F55" s="34">
        <v>19.494</v>
      </c>
      <c r="G55" s="34">
        <f>IF(ISNUMBER(F55),E55*F55,"")</f>
        <v>0.93961079999999997</v>
      </c>
      <c r="H55" s="35"/>
      <c r="I55" s="31"/>
      <c r="J55" s="155">
        <v>0</v>
      </c>
    </row>
    <row r="56" spans="1:10" ht="15.75" hidden="1" thickBot="1" x14ac:dyDescent="0.3">
      <c r="A56" s="200"/>
      <c r="B56" s="202"/>
      <c r="C56" s="36" t="s">
        <v>36</v>
      </c>
      <c r="D56" s="36" t="s">
        <v>12</v>
      </c>
      <c r="E56" s="37">
        <v>0.1055</v>
      </c>
      <c r="F56" s="31">
        <v>22.628999999999998</v>
      </c>
      <c r="G56" s="34">
        <f>IF(ISNUMBER(F56),E56*F56,"")</f>
        <v>2.3873594999999996</v>
      </c>
      <c r="H56" s="35"/>
      <c r="I56" s="31"/>
      <c r="J56" s="155">
        <v>0</v>
      </c>
    </row>
    <row r="57" spans="1:10" ht="15.75" hidden="1" thickBot="1" x14ac:dyDescent="0.3">
      <c r="A57" s="200"/>
      <c r="B57" s="202"/>
      <c r="C57" s="36" t="s">
        <v>23</v>
      </c>
      <c r="D57" s="36" t="s">
        <v>12</v>
      </c>
      <c r="E57" s="37">
        <v>0.29720000000000002</v>
      </c>
      <c r="F57" s="31">
        <v>16.729499999999998</v>
      </c>
      <c r="G57" s="34">
        <f>IF(ISNUMBER(F57),E57*F57,"")</f>
        <v>4.9720073999999999</v>
      </c>
      <c r="H57" s="35"/>
      <c r="I57" s="31"/>
      <c r="J57" s="155">
        <v>0</v>
      </c>
    </row>
    <row r="58" spans="1:10" ht="15.75" hidden="1" thickBot="1" x14ac:dyDescent="0.3">
      <c r="A58" s="201"/>
      <c r="B58" s="188"/>
      <c r="C58" s="36"/>
      <c r="D58" s="36"/>
      <c r="E58" s="37"/>
      <c r="F58" s="31" t="s">
        <v>558</v>
      </c>
      <c r="G58" s="31" t="str">
        <f>IF(ISNUMBER(F58),E58*F58,"")</f>
        <v/>
      </c>
      <c r="H58" s="35"/>
      <c r="I58" s="31"/>
      <c r="J58" s="155">
        <v>0</v>
      </c>
    </row>
    <row r="59" spans="1:10" ht="15.75" hidden="1" thickBot="1" x14ac:dyDescent="0.3">
      <c r="A59" s="180" t="s">
        <v>37</v>
      </c>
      <c r="B59" s="186" t="str">
        <f>INDEX(Orçamentária!A:B,MATCH(Composições!A59,Orçamentária!A:A,0),2)</f>
        <v>Demolição de revestimento em argamassa</v>
      </c>
      <c r="C59" s="41"/>
      <c r="D59" s="26" t="str">
        <f>TRIM(INDEX(Orçamentária!C:C,MATCH(Composições!A59,Orçamentária!A:A,0),1))</f>
        <v>m2</v>
      </c>
      <c r="E59" s="27"/>
      <c r="F59" s="42" t="s">
        <v>558</v>
      </c>
      <c r="G59" s="28" t="str">
        <f>IF(ISNUMBER(F59),E59*F59,"")</f>
        <v/>
      </c>
      <c r="H59" s="29"/>
      <c r="I59" s="30"/>
      <c r="J59" s="155">
        <v>0</v>
      </c>
    </row>
    <row r="60" spans="1:10" ht="15.75" hidden="1" thickBot="1" x14ac:dyDescent="0.3">
      <c r="A60" s="200"/>
      <c r="B60" s="202"/>
      <c r="C60" s="32"/>
      <c r="D60" s="32"/>
      <c r="E60" s="33"/>
      <c r="F60" s="43" t="s">
        <v>558</v>
      </c>
      <c r="G60" s="31" t="str">
        <f>IF(ISNUMBER(F60),E60*F60,"")</f>
        <v/>
      </c>
      <c r="H60" s="35"/>
      <c r="I60" s="31"/>
      <c r="J60" s="155">
        <v>0</v>
      </c>
    </row>
    <row r="61" spans="1:10" ht="15.75" hidden="1" thickBot="1" x14ac:dyDescent="0.3">
      <c r="A61" s="200"/>
      <c r="B61" s="202"/>
      <c r="C61" s="36" t="s">
        <v>22</v>
      </c>
      <c r="D61" s="36" t="s">
        <v>12</v>
      </c>
      <c r="E61" s="37">
        <v>3.7400000000000003E-2</v>
      </c>
      <c r="F61" s="31">
        <v>22.704999999999998</v>
      </c>
      <c r="G61" s="34">
        <f>IF(ISNUMBER(F61),E61*F61,"")</f>
        <v>0.84916700000000001</v>
      </c>
      <c r="H61" s="39">
        <f>SUM(G61:G62)</f>
        <v>2.6107833500000002</v>
      </c>
      <c r="I61" s="40"/>
      <c r="J61" s="155">
        <v>0</v>
      </c>
    </row>
    <row r="62" spans="1:10" ht="15.75" hidden="1" thickBot="1" x14ac:dyDescent="0.3">
      <c r="A62" s="200"/>
      <c r="B62" s="202"/>
      <c r="C62" s="36" t="s">
        <v>23</v>
      </c>
      <c r="D62" s="36" t="s">
        <v>12</v>
      </c>
      <c r="E62" s="37">
        <v>0.1053</v>
      </c>
      <c r="F62" s="31">
        <v>16.729499999999998</v>
      </c>
      <c r="G62" s="34">
        <f>IF(ISNUMBER(F62),E62*F62,"")</f>
        <v>1.7616163499999999</v>
      </c>
      <c r="H62" s="35"/>
      <c r="I62" s="31"/>
      <c r="J62" s="155">
        <v>0</v>
      </c>
    </row>
    <row r="63" spans="1:10" ht="15.75" hidden="1" thickBot="1" x14ac:dyDescent="0.3">
      <c r="A63" s="201"/>
      <c r="B63" s="188"/>
      <c r="C63" s="36"/>
      <c r="D63" s="36"/>
      <c r="E63" s="37"/>
      <c r="F63" s="31" t="s">
        <v>558</v>
      </c>
      <c r="G63" s="31" t="str">
        <f>IF(ISNUMBER(F63),E63*F63,"")</f>
        <v/>
      </c>
      <c r="H63" s="35"/>
      <c r="I63" s="31"/>
      <c r="J63" s="155">
        <v>0</v>
      </c>
    </row>
    <row r="64" spans="1:10" ht="15.75" hidden="1" thickBot="1" x14ac:dyDescent="0.3">
      <c r="A64" s="180" t="s">
        <v>38</v>
      </c>
      <c r="B64" s="186" t="str">
        <f>INDEX(Orçamentária!A:B,MATCH(Composições!A64,Orçamentária!A:A,0),2)</f>
        <v>Demolição de tubulação hidrossanitária embutida com conexões e acessórios</v>
      </c>
      <c r="C64" s="41"/>
      <c r="D64" s="26" t="str">
        <f>TRIM(INDEX(Orçamentária!C:C,MATCH(Composições!A64,Orçamentária!A:A,0),1))</f>
        <v>m</v>
      </c>
      <c r="E64" s="27"/>
      <c r="F64" s="42" t="s">
        <v>558</v>
      </c>
      <c r="G64" s="28" t="str">
        <f>IF(ISNUMBER(F64),E64*F64,"")</f>
        <v/>
      </c>
      <c r="H64" s="29"/>
      <c r="I64" s="30"/>
      <c r="J64" s="155">
        <v>0</v>
      </c>
    </row>
    <row r="65" spans="1:10" ht="15.75" hidden="1" thickBot="1" x14ac:dyDescent="0.3">
      <c r="A65" s="200"/>
      <c r="B65" s="202"/>
      <c r="C65" s="32"/>
      <c r="D65" s="32"/>
      <c r="E65" s="33"/>
      <c r="F65" s="43" t="s">
        <v>558</v>
      </c>
      <c r="G65" s="31" t="str">
        <f>IF(ISNUMBER(F65),E65*F65,"")</f>
        <v/>
      </c>
      <c r="H65" s="35"/>
      <c r="I65" s="31"/>
      <c r="J65" s="155">
        <v>0</v>
      </c>
    </row>
    <row r="66" spans="1:10" ht="15.75" hidden="1" thickBot="1" x14ac:dyDescent="0.3">
      <c r="A66" s="200"/>
      <c r="B66" s="202"/>
      <c r="C66" s="36" t="s">
        <v>39</v>
      </c>
      <c r="D66" s="47" t="s">
        <v>12</v>
      </c>
      <c r="E66" s="37">
        <v>7.1000000000000004E-3</v>
      </c>
      <c r="F66" s="31">
        <v>22.2395</v>
      </c>
      <c r="G66" s="34">
        <f>IF(ISNUMBER(F66),E66*F66,"")</f>
        <v>0.15790045</v>
      </c>
      <c r="H66" s="39">
        <f>SUM(G66:G67)</f>
        <v>0.39211344999999997</v>
      </c>
      <c r="I66" s="40"/>
      <c r="J66" s="155">
        <v>0</v>
      </c>
    </row>
    <row r="67" spans="1:10" ht="15.75" hidden="1" thickBot="1" x14ac:dyDescent="0.3">
      <c r="A67" s="200"/>
      <c r="B67" s="202"/>
      <c r="C67" s="36" t="s">
        <v>23</v>
      </c>
      <c r="D67" s="47" t="s">
        <v>12</v>
      </c>
      <c r="E67" s="37">
        <v>1.4E-2</v>
      </c>
      <c r="F67" s="31">
        <v>16.729499999999998</v>
      </c>
      <c r="G67" s="34">
        <f>IF(ISNUMBER(F67),E67*F67,"")</f>
        <v>0.23421299999999998</v>
      </c>
      <c r="H67" s="35"/>
      <c r="I67" s="31"/>
      <c r="J67" s="155">
        <v>0</v>
      </c>
    </row>
    <row r="68" spans="1:10" ht="15.75" hidden="1" thickBot="1" x14ac:dyDescent="0.3">
      <c r="A68" s="201"/>
      <c r="B68" s="188"/>
      <c r="C68" s="36"/>
      <c r="D68" s="36"/>
      <c r="E68" s="37"/>
      <c r="F68" s="31" t="s">
        <v>558</v>
      </c>
      <c r="G68" s="31" t="str">
        <f>IF(ISNUMBER(F68),E68*F68,"")</f>
        <v/>
      </c>
      <c r="H68" s="35"/>
      <c r="I68" s="31"/>
      <c r="J68" s="155">
        <v>0</v>
      </c>
    </row>
    <row r="69" spans="1:10" ht="15.75" hidden="1" thickBot="1" x14ac:dyDescent="0.3">
      <c r="A69" s="180" t="s">
        <v>40</v>
      </c>
      <c r="B69" s="186" t="str">
        <f>INDEX(Orçamentária!A:B,MATCH(Composições!A69,Orçamentária!A:A,0),2)</f>
        <v>Demolição em concreto armado</v>
      </c>
      <c r="C69" s="41"/>
      <c r="D69" s="26" t="str">
        <f>TRIM(INDEX(Orçamentária!C:C,MATCH(Composições!A69,Orçamentária!A:A,0),1))</f>
        <v>m3</v>
      </c>
      <c r="E69" s="27"/>
      <c r="F69" s="42" t="s">
        <v>558</v>
      </c>
      <c r="G69" s="28" t="str">
        <f>IF(ISNUMBER(F69),E69*F69,"")</f>
        <v/>
      </c>
      <c r="H69" s="29"/>
      <c r="I69" s="30"/>
      <c r="J69" s="155">
        <v>0</v>
      </c>
    </row>
    <row r="70" spans="1:10" ht="15.75" hidden="1" thickBot="1" x14ac:dyDescent="0.3">
      <c r="A70" s="200"/>
      <c r="B70" s="202"/>
      <c r="C70" s="32"/>
      <c r="D70" s="32"/>
      <c r="E70" s="33"/>
      <c r="F70" s="43" t="s">
        <v>558</v>
      </c>
      <c r="G70" s="31" t="str">
        <f>IF(ISNUMBER(F70),E70*F70,"")</f>
        <v/>
      </c>
      <c r="H70" s="35"/>
      <c r="I70" s="31"/>
      <c r="J70" s="155">
        <v>0</v>
      </c>
    </row>
    <row r="71" spans="1:10" ht="26.25" hidden="1" thickBot="1" x14ac:dyDescent="0.3">
      <c r="A71" s="200"/>
      <c r="B71" s="202"/>
      <c r="C71" s="36" t="s">
        <v>32</v>
      </c>
      <c r="D71" s="36" t="s">
        <v>33</v>
      </c>
      <c r="E71" s="37">
        <v>3.2467999999999999</v>
      </c>
      <c r="F71" s="34">
        <v>21.127999999999997</v>
      </c>
      <c r="G71" s="34">
        <f>IF(ISNUMBER(F71),E71*F71,"")</f>
        <v>68.598390399999985</v>
      </c>
      <c r="H71" s="39">
        <f>SUM(G71:G75)</f>
        <v>230.55569094999996</v>
      </c>
      <c r="I71" s="40"/>
      <c r="J71" s="155">
        <v>0</v>
      </c>
    </row>
    <row r="72" spans="1:10" ht="26.25" hidden="1" thickBot="1" x14ac:dyDescent="0.3">
      <c r="A72" s="200"/>
      <c r="B72" s="202"/>
      <c r="C72" s="36" t="s">
        <v>34</v>
      </c>
      <c r="D72" s="36" t="s">
        <v>35</v>
      </c>
      <c r="E72" s="37">
        <v>0.92020000000000002</v>
      </c>
      <c r="F72" s="34">
        <v>19.494</v>
      </c>
      <c r="G72" s="34">
        <f>IF(ISNUMBER(F72),E72*F72,"")</f>
        <v>17.938378799999999</v>
      </c>
      <c r="H72" s="35"/>
      <c r="I72" s="31"/>
      <c r="J72" s="155">
        <v>0</v>
      </c>
    </row>
    <row r="73" spans="1:10" ht="26.25" hidden="1" thickBot="1" x14ac:dyDescent="0.3">
      <c r="A73" s="200"/>
      <c r="B73" s="202"/>
      <c r="C73" s="36" t="s">
        <v>41</v>
      </c>
      <c r="D73" s="36" t="s">
        <v>42</v>
      </c>
      <c r="E73" s="37">
        <v>0.28349999999999997</v>
      </c>
      <c r="F73" s="34">
        <v>68.817999999999998</v>
      </c>
      <c r="G73" s="31">
        <f>IF(ISNUMBER(F73),E73*F73,"")</f>
        <v>19.509902999999998</v>
      </c>
      <c r="H73" s="35"/>
      <c r="I73" s="31"/>
      <c r="J73" s="155">
        <v>0</v>
      </c>
    </row>
    <row r="74" spans="1:10" ht="15.75" hidden="1" thickBot="1" x14ac:dyDescent="0.3">
      <c r="A74" s="200"/>
      <c r="B74" s="202"/>
      <c r="C74" s="36" t="s">
        <v>22</v>
      </c>
      <c r="D74" s="36" t="s">
        <v>12</v>
      </c>
      <c r="E74" s="37">
        <v>0.63660000000000005</v>
      </c>
      <c r="F74" s="31">
        <v>22.704999999999998</v>
      </c>
      <c r="G74" s="34">
        <f>IF(ISNUMBER(F74),E74*F74,"")</f>
        <v>14.454003</v>
      </c>
      <c r="H74" s="35"/>
      <c r="I74" s="31"/>
      <c r="J74" s="155">
        <v>0</v>
      </c>
    </row>
    <row r="75" spans="1:10" ht="15.75" hidden="1" thickBot="1" x14ac:dyDescent="0.3">
      <c r="A75" s="200"/>
      <c r="B75" s="202"/>
      <c r="C75" s="36" t="s">
        <v>23</v>
      </c>
      <c r="D75" s="36" t="s">
        <v>12</v>
      </c>
      <c r="E75" s="37">
        <v>6.5785</v>
      </c>
      <c r="F75" s="31">
        <v>16.729499999999998</v>
      </c>
      <c r="G75" s="34">
        <f>IF(ISNUMBER(F75),E75*F75,"")</f>
        <v>110.05501574999998</v>
      </c>
      <c r="H75" s="35"/>
      <c r="I75" s="31"/>
      <c r="J75" s="155">
        <v>0</v>
      </c>
    </row>
    <row r="76" spans="1:10" ht="15.75" hidden="1" thickBot="1" x14ac:dyDescent="0.3">
      <c r="A76" s="201"/>
      <c r="B76" s="188"/>
      <c r="C76" s="36"/>
      <c r="D76" s="36"/>
      <c r="E76" s="37"/>
      <c r="F76" s="31" t="s">
        <v>558</v>
      </c>
      <c r="G76" s="31" t="str">
        <f>IF(ISNUMBER(F76),E76*F76,"")</f>
        <v/>
      </c>
      <c r="H76" s="35"/>
      <c r="I76" s="31"/>
      <c r="J76" s="155">
        <v>0</v>
      </c>
    </row>
    <row r="77" spans="1:10" ht="15.75" hidden="1" thickBot="1" x14ac:dyDescent="0.3">
      <c r="A77" s="208" t="s">
        <v>43</v>
      </c>
      <c r="B77" s="186" t="str">
        <f>INDEX(Orçamentária!A:B,MATCH(Composições!A77,Orçamentária!A:A,0),2)</f>
        <v>Remoção de armários</v>
      </c>
      <c r="C77" s="41"/>
      <c r="D77" s="26" t="str">
        <f>TRIM(INDEX(Orçamentária!C:C,MATCH(Composições!A77,Orçamentária!A:A,0),1))</f>
        <v>m2</v>
      </c>
      <c r="E77" s="27"/>
      <c r="F77" s="42" t="s">
        <v>558</v>
      </c>
      <c r="G77" s="28" t="str">
        <f>IF(ISNUMBER(F77),E77*F77,"")</f>
        <v/>
      </c>
      <c r="H77" s="29"/>
      <c r="I77" s="30"/>
      <c r="J77" s="155">
        <v>0</v>
      </c>
    </row>
    <row r="78" spans="1:10" ht="15.75" hidden="1" thickBot="1" x14ac:dyDescent="0.3">
      <c r="A78" s="209"/>
      <c r="B78" s="202"/>
      <c r="C78" s="32"/>
      <c r="D78" s="32"/>
      <c r="E78" s="33"/>
      <c r="F78" s="43" t="s">
        <v>558</v>
      </c>
      <c r="G78" s="31" t="str">
        <f>IF(ISNUMBER(F78),E78*F78,"")</f>
        <v/>
      </c>
      <c r="H78" s="35"/>
      <c r="I78" s="31"/>
      <c r="J78" s="155">
        <v>0</v>
      </c>
    </row>
    <row r="79" spans="1:10" ht="15.75" hidden="1" thickBot="1" x14ac:dyDescent="0.3">
      <c r="A79" s="209"/>
      <c r="B79" s="202"/>
      <c r="C79" s="36" t="s">
        <v>44</v>
      </c>
      <c r="D79" s="36" t="s">
        <v>12</v>
      </c>
      <c r="E79" s="37">
        <v>0.35</v>
      </c>
      <c r="F79" s="31">
        <v>22.533999999999999</v>
      </c>
      <c r="G79" s="34">
        <f>IF(ISNUMBER(F79),E79*F79,"")</f>
        <v>7.8868999999999989</v>
      </c>
      <c r="H79" s="39">
        <f>SUM(G79:G80)</f>
        <v>13.742224999999998</v>
      </c>
      <c r="I79" s="40"/>
      <c r="J79" s="155">
        <v>0</v>
      </c>
    </row>
    <row r="80" spans="1:10" ht="15.75" hidden="1" thickBot="1" x14ac:dyDescent="0.3">
      <c r="A80" s="209"/>
      <c r="B80" s="202"/>
      <c r="C80" s="36" t="s">
        <v>23</v>
      </c>
      <c r="D80" s="36" t="s">
        <v>12</v>
      </c>
      <c r="E80" s="37">
        <v>0.35</v>
      </c>
      <c r="F80" s="31">
        <v>16.729499999999998</v>
      </c>
      <c r="G80" s="34">
        <f>IF(ISNUMBER(F80),E80*F80,"")</f>
        <v>5.8553249999999988</v>
      </c>
      <c r="H80" s="45"/>
      <c r="I80" s="46"/>
      <c r="J80" s="155">
        <v>0</v>
      </c>
    </row>
    <row r="81" spans="1:10" ht="15.75" hidden="1" thickBot="1" x14ac:dyDescent="0.3">
      <c r="A81" s="209"/>
      <c r="B81" s="202"/>
      <c r="C81" s="36"/>
      <c r="D81" s="36"/>
      <c r="E81" s="37"/>
      <c r="F81" s="31" t="s">
        <v>558</v>
      </c>
      <c r="G81" s="31" t="str">
        <f>IF(ISNUMBER(F81),E81*F81,"")</f>
        <v/>
      </c>
      <c r="H81" s="35"/>
      <c r="I81" s="31"/>
      <c r="J81" s="155">
        <v>0</v>
      </c>
    </row>
    <row r="82" spans="1:10" ht="15.75" hidden="1" thickBot="1" x14ac:dyDescent="0.3">
      <c r="A82" s="180" t="s">
        <v>45</v>
      </c>
      <c r="B82" s="186" t="str">
        <f>INDEX(Orçamentária!A:B,MATCH(Composições!A82,Orçamentária!A:A,0),2)</f>
        <v>Remoção de bancadas</v>
      </c>
      <c r="C82" s="41"/>
      <c r="D82" s="26" t="str">
        <f>TRIM(INDEX(Orçamentária!C:C,MATCH(Composições!A82,Orçamentária!A:A,0),1))</f>
        <v>m2</v>
      </c>
      <c r="E82" s="27"/>
      <c r="F82" s="42" t="s">
        <v>558</v>
      </c>
      <c r="G82" s="28" t="str">
        <f>IF(ISNUMBER(F82),E82*F82,"")</f>
        <v/>
      </c>
      <c r="H82" s="29"/>
      <c r="I82" s="30"/>
      <c r="J82" s="155">
        <v>0</v>
      </c>
    </row>
    <row r="83" spans="1:10" ht="15.75" hidden="1" thickBot="1" x14ac:dyDescent="0.3">
      <c r="A83" s="200"/>
      <c r="B83" s="202"/>
      <c r="C83" s="32"/>
      <c r="D83" s="32"/>
      <c r="E83" s="33"/>
      <c r="F83" s="43" t="s">
        <v>558</v>
      </c>
      <c r="G83" s="31" t="str">
        <f>IF(ISNUMBER(F83),E83*F83,"")</f>
        <v/>
      </c>
      <c r="H83" s="35"/>
      <c r="I83" s="31"/>
      <c r="J83" s="155">
        <v>0</v>
      </c>
    </row>
    <row r="84" spans="1:10" ht="15.75" hidden="1" thickBot="1" x14ac:dyDescent="0.3">
      <c r="A84" s="200"/>
      <c r="B84" s="202"/>
      <c r="C84" s="36" t="s">
        <v>22</v>
      </c>
      <c r="D84" s="36" t="s">
        <v>12</v>
      </c>
      <c r="E84" s="37">
        <v>0.15</v>
      </c>
      <c r="F84" s="31">
        <v>22.704999999999998</v>
      </c>
      <c r="G84" s="34">
        <f>IF(ISNUMBER(F84),E84*F84,"")</f>
        <v>3.4057499999999998</v>
      </c>
      <c r="H84" s="39">
        <f>SUM(G84:G85)</f>
        <v>20.135249999999999</v>
      </c>
      <c r="I84" s="40"/>
      <c r="J84" s="155">
        <v>0</v>
      </c>
    </row>
    <row r="85" spans="1:10" ht="15.75" hidden="1" thickBot="1" x14ac:dyDescent="0.3">
      <c r="A85" s="200"/>
      <c r="B85" s="202"/>
      <c r="C85" s="36" t="s">
        <v>23</v>
      </c>
      <c r="D85" s="36" t="s">
        <v>12</v>
      </c>
      <c r="E85" s="37">
        <v>1</v>
      </c>
      <c r="F85" s="31">
        <v>16.729499999999998</v>
      </c>
      <c r="G85" s="34">
        <f>IF(ISNUMBER(F85),E85*F85,"")</f>
        <v>16.729499999999998</v>
      </c>
      <c r="H85" s="35"/>
      <c r="I85" s="31"/>
      <c r="J85" s="155">
        <v>0</v>
      </c>
    </row>
    <row r="86" spans="1:10" ht="15.75" hidden="1" thickBot="1" x14ac:dyDescent="0.3">
      <c r="A86" s="201"/>
      <c r="B86" s="188"/>
      <c r="C86" s="36"/>
      <c r="D86" s="36"/>
      <c r="E86" s="37"/>
      <c r="F86" s="31" t="s">
        <v>558</v>
      </c>
      <c r="G86" s="31" t="str">
        <f>IF(ISNUMBER(F86),E86*F86,"")</f>
        <v/>
      </c>
      <c r="H86" s="35"/>
      <c r="I86" s="31"/>
      <c r="J86" s="155">
        <v>0</v>
      </c>
    </row>
    <row r="87" spans="1:10" ht="15.75" hidden="1" thickBot="1" x14ac:dyDescent="0.3">
      <c r="A87" s="180" t="s">
        <v>46</v>
      </c>
      <c r="B87" s="186" t="str">
        <f>INDEX(Orçamentária!A:B,MATCH(Composições!A87,Orçamentária!A:A,0),2)</f>
        <v>Remoção de batentes de madeira</v>
      </c>
      <c r="C87" s="41"/>
      <c r="D87" s="26" t="str">
        <f>TRIM(INDEX(Orçamentária!C:C,MATCH(Composições!A87,Orçamentária!A:A,0),1))</f>
        <v>un</v>
      </c>
      <c r="E87" s="27"/>
      <c r="F87" s="42" t="s">
        <v>558</v>
      </c>
      <c r="G87" s="28" t="str">
        <f>IF(ISNUMBER(F87),E87*F87,"")</f>
        <v/>
      </c>
      <c r="H87" s="29"/>
      <c r="I87" s="30"/>
      <c r="J87" s="155">
        <v>0</v>
      </c>
    </row>
    <row r="88" spans="1:10" ht="15.75" hidden="1" thickBot="1" x14ac:dyDescent="0.3">
      <c r="A88" s="200"/>
      <c r="B88" s="202"/>
      <c r="C88" s="32"/>
      <c r="D88" s="32"/>
      <c r="E88" s="33"/>
      <c r="F88" s="43" t="s">
        <v>558</v>
      </c>
      <c r="G88" s="31" t="str">
        <f>IF(ISNUMBER(F88),E88*F88,"")</f>
        <v/>
      </c>
      <c r="H88" s="35"/>
      <c r="I88" s="31"/>
      <c r="J88" s="155">
        <v>0</v>
      </c>
    </row>
    <row r="89" spans="1:10" ht="15.75" hidden="1" thickBot="1" x14ac:dyDescent="0.3">
      <c r="A89" s="200"/>
      <c r="B89" s="202"/>
      <c r="C89" s="36" t="s">
        <v>22</v>
      </c>
      <c r="D89" s="36" t="s">
        <v>12</v>
      </c>
      <c r="E89" s="37">
        <f>0.08/2</f>
        <v>0.04</v>
      </c>
      <c r="F89" s="31">
        <v>22.704999999999998</v>
      </c>
      <c r="G89" s="34">
        <f>IF(ISNUMBER(F89),E89*F89,"")</f>
        <v>0.9081999999999999</v>
      </c>
      <c r="H89" s="39">
        <f>SUM(G89:G90)</f>
        <v>7.6</v>
      </c>
      <c r="I89" s="40"/>
      <c r="J89" s="155">
        <v>0</v>
      </c>
    </row>
    <row r="90" spans="1:10" ht="15.75" hidden="1" thickBot="1" x14ac:dyDescent="0.3">
      <c r="A90" s="200"/>
      <c r="B90" s="202"/>
      <c r="C90" s="36" t="s">
        <v>23</v>
      </c>
      <c r="D90" s="36" t="s">
        <v>12</v>
      </c>
      <c r="E90" s="37">
        <f>0.8/2</f>
        <v>0.4</v>
      </c>
      <c r="F90" s="31">
        <v>16.729499999999998</v>
      </c>
      <c r="G90" s="34">
        <f>IF(ISNUMBER(F90),E90*F90,"")</f>
        <v>6.6917999999999997</v>
      </c>
      <c r="H90" s="35"/>
      <c r="I90" s="31"/>
      <c r="J90" s="155">
        <v>0</v>
      </c>
    </row>
    <row r="91" spans="1:10" ht="15.75" hidden="1" thickBot="1" x14ac:dyDescent="0.3">
      <c r="A91" s="200"/>
      <c r="B91" s="202"/>
      <c r="C91" s="36"/>
      <c r="D91" s="36"/>
      <c r="E91" s="37"/>
      <c r="F91" s="34" t="s">
        <v>558</v>
      </c>
      <c r="G91" s="34" t="str">
        <f>IF(ISNUMBER(F91),E91*F91,"")</f>
        <v/>
      </c>
      <c r="H91" s="35"/>
      <c r="I91" s="31"/>
      <c r="J91" s="155">
        <v>0</v>
      </c>
    </row>
    <row r="92" spans="1:10" ht="15.75" hidden="1" thickBot="1" x14ac:dyDescent="0.3">
      <c r="A92" s="180" t="s">
        <v>47</v>
      </c>
      <c r="B92" s="186" t="str">
        <f>INDEX(Orçamentária!A:B,MATCH(Composições!A92,Orçamentária!A:A,0),2)</f>
        <v>Remoção de canaleta em alumínio</v>
      </c>
      <c r="C92" s="41"/>
      <c r="D92" s="26" t="str">
        <f>TRIM(INDEX(Orçamentária!C:C,MATCH(Composições!A92,Orçamentária!A:A,0),1))</f>
        <v>m</v>
      </c>
      <c r="E92" s="27"/>
      <c r="F92" s="42" t="s">
        <v>558</v>
      </c>
      <c r="G92" s="28" t="str">
        <f>IF(ISNUMBER(F92),E92*F92,"")</f>
        <v/>
      </c>
      <c r="H92" s="29"/>
      <c r="I92" s="30"/>
      <c r="J92" s="155">
        <v>0</v>
      </c>
    </row>
    <row r="93" spans="1:10" ht="15.75" hidden="1" thickBot="1" x14ac:dyDescent="0.3">
      <c r="A93" s="200"/>
      <c r="B93" s="202"/>
      <c r="C93" s="32"/>
      <c r="D93" s="32"/>
      <c r="E93" s="33"/>
      <c r="F93" s="43" t="s">
        <v>558</v>
      </c>
      <c r="G93" s="31" t="str">
        <f>IF(ISNUMBER(F93),E93*F93,"")</f>
        <v/>
      </c>
      <c r="H93" s="35"/>
      <c r="I93" s="31"/>
      <c r="J93" s="155">
        <v>0</v>
      </c>
    </row>
    <row r="94" spans="1:10" ht="15.75" hidden="1" thickBot="1" x14ac:dyDescent="0.3">
      <c r="A94" s="200"/>
      <c r="B94" s="202"/>
      <c r="C94" s="36" t="s">
        <v>30</v>
      </c>
      <c r="D94" s="47" t="s">
        <v>12</v>
      </c>
      <c r="E94" s="37">
        <f>0.75*0.1</f>
        <v>7.5000000000000011E-2</v>
      </c>
      <c r="F94" s="31">
        <v>22.895</v>
      </c>
      <c r="G94" s="34">
        <f>IF(ISNUMBER(F94),E94*F94,"")</f>
        <v>1.7171250000000002</v>
      </c>
      <c r="H94" s="39">
        <f>SUM(G94:G95)</f>
        <v>4.2265500000000005</v>
      </c>
      <c r="I94" s="40"/>
      <c r="J94" s="155">
        <v>0</v>
      </c>
    </row>
    <row r="95" spans="1:10" ht="15.75" hidden="1" thickBot="1" x14ac:dyDescent="0.3">
      <c r="A95" s="200"/>
      <c r="B95" s="202"/>
      <c r="C95" s="36" t="s">
        <v>23</v>
      </c>
      <c r="D95" s="47" t="s">
        <v>12</v>
      </c>
      <c r="E95" s="37">
        <f>0.75*0.2</f>
        <v>0.15000000000000002</v>
      </c>
      <c r="F95" s="31">
        <v>16.729499999999998</v>
      </c>
      <c r="G95" s="34">
        <f>IF(ISNUMBER(F95),E95*F95,"")</f>
        <v>2.5094250000000002</v>
      </c>
      <c r="H95" s="35"/>
      <c r="I95" s="31"/>
      <c r="J95" s="155">
        <v>0</v>
      </c>
    </row>
    <row r="96" spans="1:10" ht="15.75" hidden="1" thickBot="1" x14ac:dyDescent="0.3">
      <c r="A96" s="201"/>
      <c r="B96" s="188"/>
      <c r="C96" s="36"/>
      <c r="D96" s="36"/>
      <c r="E96" s="37"/>
      <c r="F96" s="31" t="s">
        <v>558</v>
      </c>
      <c r="G96" s="31" t="str">
        <f>IF(ISNUMBER(F96),E96*F96,"")</f>
        <v/>
      </c>
      <c r="H96" s="35"/>
      <c r="I96" s="31"/>
      <c r="J96" s="155">
        <v>0</v>
      </c>
    </row>
    <row r="97" spans="1:10" ht="15.75" hidden="1" thickBot="1" x14ac:dyDescent="0.3">
      <c r="A97" s="180" t="s">
        <v>48</v>
      </c>
      <c r="B97" s="186" t="str">
        <f>INDEX(Orçamentária!A:B,MATCH(Composições!A97,Orçamentária!A:A,0),2)</f>
        <v>Remoção de carpete</v>
      </c>
      <c r="C97" s="41"/>
      <c r="D97" s="26" t="str">
        <f>TRIM(INDEX(Orçamentária!C:C,MATCH(Composições!A97,Orçamentária!A:A,0),1))</f>
        <v>m2</v>
      </c>
      <c r="E97" s="27"/>
      <c r="F97" s="42" t="s">
        <v>558</v>
      </c>
      <c r="G97" s="28" t="str">
        <f>IF(ISNUMBER(F97),E97*F97,"")</f>
        <v/>
      </c>
      <c r="H97" s="29"/>
      <c r="I97" s="30"/>
      <c r="J97" s="155">
        <v>0</v>
      </c>
    </row>
    <row r="98" spans="1:10" ht="15.75" hidden="1" thickBot="1" x14ac:dyDescent="0.3">
      <c r="A98" s="200"/>
      <c r="B98" s="202"/>
      <c r="C98" s="32"/>
      <c r="D98" s="32"/>
      <c r="E98" s="33"/>
      <c r="F98" s="43" t="s">
        <v>558</v>
      </c>
      <c r="G98" s="31" t="str">
        <f>IF(ISNUMBER(F98),E98*F98,"")</f>
        <v/>
      </c>
      <c r="H98" s="35"/>
      <c r="I98" s="31"/>
      <c r="J98" s="155">
        <v>0</v>
      </c>
    </row>
    <row r="99" spans="1:10" ht="15.75" hidden="1" thickBot="1" x14ac:dyDescent="0.3">
      <c r="A99" s="200"/>
      <c r="B99" s="202"/>
      <c r="C99" s="36" t="s">
        <v>22</v>
      </c>
      <c r="D99" s="36" t="s">
        <v>12</v>
      </c>
      <c r="E99" s="37">
        <v>0.01</v>
      </c>
      <c r="F99" s="31">
        <v>22.704999999999998</v>
      </c>
      <c r="G99" s="34">
        <f>IF(ISNUMBER(F99),E99*F99,"")</f>
        <v>0.22704999999999997</v>
      </c>
      <c r="H99" s="39">
        <f>SUM(G99:G100)</f>
        <v>1.9</v>
      </c>
      <c r="I99" s="40"/>
      <c r="J99" s="155">
        <v>0</v>
      </c>
    </row>
    <row r="100" spans="1:10" ht="15.75" hidden="1" thickBot="1" x14ac:dyDescent="0.3">
      <c r="A100" s="200"/>
      <c r="B100" s="202"/>
      <c r="C100" s="36" t="s">
        <v>23</v>
      </c>
      <c r="D100" s="36" t="s">
        <v>12</v>
      </c>
      <c r="E100" s="37">
        <v>0.1</v>
      </c>
      <c r="F100" s="31">
        <v>16.729499999999998</v>
      </c>
      <c r="G100" s="34">
        <f>IF(ISNUMBER(F100),E100*F100,"")</f>
        <v>1.6729499999999999</v>
      </c>
      <c r="H100" s="35"/>
      <c r="I100" s="31"/>
      <c r="J100" s="155">
        <v>0</v>
      </c>
    </row>
    <row r="101" spans="1:10" ht="15.75" hidden="1" thickBot="1" x14ac:dyDescent="0.3">
      <c r="A101" s="201"/>
      <c r="B101" s="188"/>
      <c r="C101" s="36"/>
      <c r="D101" s="36"/>
      <c r="E101" s="37"/>
      <c r="F101" s="31" t="s">
        <v>558</v>
      </c>
      <c r="G101" s="31" t="str">
        <f>IF(ISNUMBER(F101),E101*F101,"")</f>
        <v/>
      </c>
      <c r="H101" s="35"/>
      <c r="I101" s="31"/>
      <c r="J101" s="155">
        <v>0</v>
      </c>
    </row>
    <row r="102" spans="1:10" ht="15.75" hidden="1" thickBot="1" x14ac:dyDescent="0.3">
      <c r="A102" s="180" t="s">
        <v>49</v>
      </c>
      <c r="B102" s="186" t="str">
        <f>INDEX(Orçamentária!A:B,MATCH(Composições!A102,Orçamentária!A:A,0),2)</f>
        <v>Remoção de cortinas</v>
      </c>
      <c r="C102" s="41"/>
      <c r="D102" s="26" t="str">
        <f>TRIM(INDEX(Orçamentária!C:C,MATCH(Composições!A102,Orçamentária!A:A,0),1))</f>
        <v>m</v>
      </c>
      <c r="E102" s="27"/>
      <c r="F102" s="42" t="s">
        <v>558</v>
      </c>
      <c r="G102" s="28" t="str">
        <f>IF(ISNUMBER(F102),E102*F102,"")</f>
        <v/>
      </c>
      <c r="H102" s="29"/>
      <c r="I102" s="30"/>
      <c r="J102" s="155">
        <v>0</v>
      </c>
    </row>
    <row r="103" spans="1:10" ht="15.75" hidden="1" thickBot="1" x14ac:dyDescent="0.3">
      <c r="A103" s="200"/>
      <c r="B103" s="202"/>
      <c r="C103" s="32"/>
      <c r="D103" s="32"/>
      <c r="E103" s="33"/>
      <c r="F103" s="43" t="s">
        <v>558</v>
      </c>
      <c r="G103" s="31" t="str">
        <f>IF(ISNUMBER(F103),E103*F103,"")</f>
        <v/>
      </c>
      <c r="H103" s="35"/>
      <c r="I103" s="31"/>
      <c r="J103" s="155">
        <v>0</v>
      </c>
    </row>
    <row r="104" spans="1:10" ht="15.75" hidden="1" thickBot="1" x14ac:dyDescent="0.3">
      <c r="A104" s="200"/>
      <c r="B104" s="202"/>
      <c r="C104" s="36" t="s">
        <v>50</v>
      </c>
      <c r="D104" s="36" t="s">
        <v>12</v>
      </c>
      <c r="E104" s="37">
        <f>ROUND(1/6,4)</f>
        <v>0.16669999999999999</v>
      </c>
      <c r="F104" s="31">
        <v>19.911999999999999</v>
      </c>
      <c r="G104" s="34">
        <f>IF(ISNUMBER(F104),E104*F104,"")</f>
        <v>3.3193303999999997</v>
      </c>
      <c r="H104" s="39">
        <f>SUM(G104:G104)</f>
        <v>3.3193303999999997</v>
      </c>
      <c r="I104" s="40"/>
      <c r="J104" s="155">
        <v>0</v>
      </c>
    </row>
    <row r="105" spans="1:10" ht="15.75" hidden="1" thickBot="1" x14ac:dyDescent="0.3">
      <c r="A105" s="201"/>
      <c r="B105" s="188"/>
      <c r="C105" s="36"/>
      <c r="D105" s="36"/>
      <c r="E105" s="37"/>
      <c r="F105" s="31" t="s">
        <v>558</v>
      </c>
      <c r="G105" s="31" t="str">
        <f>IF(ISNUMBER(F105),E105*F105,"")</f>
        <v/>
      </c>
      <c r="H105" s="35"/>
      <c r="I105" s="31"/>
      <c r="J105" s="155">
        <v>0</v>
      </c>
    </row>
    <row r="106" spans="1:10" ht="15.75" hidden="1" thickBot="1" x14ac:dyDescent="0.3">
      <c r="A106" s="180" t="s">
        <v>51</v>
      </c>
      <c r="B106" s="186" t="str">
        <f>INDEX(Orçamentária!A:B,MATCH(Composições!A106,Orçamentária!A:A,0),2)</f>
        <v>Remoção de difusores, grelhas e acessórios de climatização</v>
      </c>
      <c r="C106" s="41"/>
      <c r="D106" s="26" t="str">
        <f>TRIM(INDEX(Orçamentária!C:C,MATCH(Composições!A106,Orçamentária!A:A,0),1))</f>
        <v>un</v>
      </c>
      <c r="E106" s="27"/>
      <c r="F106" s="42" t="s">
        <v>558</v>
      </c>
      <c r="G106" s="28" t="str">
        <f>IF(ISNUMBER(F106),E106*F106,"")</f>
        <v/>
      </c>
      <c r="H106" s="29"/>
      <c r="I106" s="30"/>
      <c r="J106" s="155">
        <v>0</v>
      </c>
    </row>
    <row r="107" spans="1:10" ht="15.75" hidden="1" thickBot="1" x14ac:dyDescent="0.3">
      <c r="A107" s="200"/>
      <c r="B107" s="202"/>
      <c r="C107" s="32"/>
      <c r="D107" s="32"/>
      <c r="E107" s="33"/>
      <c r="F107" s="43" t="s">
        <v>558</v>
      </c>
      <c r="G107" s="31" t="str">
        <f>IF(ISNUMBER(F107),E107*F107,"")</f>
        <v/>
      </c>
      <c r="H107" s="35"/>
      <c r="I107" s="31"/>
      <c r="J107" s="155">
        <v>0</v>
      </c>
    </row>
    <row r="108" spans="1:10" ht="15.75" hidden="1" thickBot="1" x14ac:dyDescent="0.3">
      <c r="A108" s="200"/>
      <c r="B108" s="202"/>
      <c r="C108" s="36" t="s">
        <v>52</v>
      </c>
      <c r="D108" s="47" t="s">
        <v>12</v>
      </c>
      <c r="E108" s="37">
        <v>0.6</v>
      </c>
      <c r="F108" s="31">
        <v>17.898</v>
      </c>
      <c r="G108" s="31">
        <f>IF(ISNUMBER(F108),E108*F108,"")</f>
        <v>10.738799999999999</v>
      </c>
      <c r="H108" s="39">
        <f>SUM(G108:G109)</f>
        <v>20.776499999999999</v>
      </c>
      <c r="I108" s="40"/>
      <c r="J108" s="155">
        <v>0</v>
      </c>
    </row>
    <row r="109" spans="1:10" ht="15.75" hidden="1" thickBot="1" x14ac:dyDescent="0.3">
      <c r="A109" s="200"/>
      <c r="B109" s="202"/>
      <c r="C109" s="36" t="s">
        <v>23</v>
      </c>
      <c r="D109" s="47" t="s">
        <v>12</v>
      </c>
      <c r="E109" s="37">
        <v>0.6</v>
      </c>
      <c r="F109" s="31">
        <v>16.729499999999998</v>
      </c>
      <c r="G109" s="31">
        <f>IF(ISNUMBER(F109),E109*F109,"")</f>
        <v>10.037699999999999</v>
      </c>
      <c r="H109" s="35"/>
      <c r="I109" s="31"/>
      <c r="J109" s="155">
        <v>0</v>
      </c>
    </row>
    <row r="110" spans="1:10" ht="15.75" hidden="1" thickBot="1" x14ac:dyDescent="0.3">
      <c r="A110" s="201"/>
      <c r="B110" s="188"/>
      <c r="C110" s="36"/>
      <c r="D110" s="36"/>
      <c r="E110" s="37"/>
      <c r="F110" s="31" t="s">
        <v>558</v>
      </c>
      <c r="G110" s="31" t="str">
        <f>IF(ISNUMBER(F110),E110*F110,"")</f>
        <v/>
      </c>
      <c r="H110" s="35"/>
      <c r="I110" s="31"/>
      <c r="J110" s="155">
        <v>0</v>
      </c>
    </row>
    <row r="111" spans="1:10" ht="15.75" hidden="1" thickBot="1" x14ac:dyDescent="0.3">
      <c r="A111" s="180" t="s">
        <v>53</v>
      </c>
      <c r="B111" s="186" t="str">
        <f>INDEX(Orçamentária!A:B,MATCH(Composições!A111,Orçamentária!A:A,0),2)</f>
        <v>Remoção de divisória de mármore ou granito</v>
      </c>
      <c r="C111" s="41"/>
      <c r="D111" s="26" t="str">
        <f>TRIM(INDEX(Orçamentária!C:C,MATCH(Composições!A111,Orçamentária!A:A,0),1))</f>
        <v>m2</v>
      </c>
      <c r="E111" s="27"/>
      <c r="F111" s="42" t="s">
        <v>558</v>
      </c>
      <c r="G111" s="28" t="str">
        <f>IF(ISNUMBER(F111),E111*F111,"")</f>
        <v/>
      </c>
      <c r="H111" s="29"/>
      <c r="I111" s="30"/>
      <c r="J111" s="155">
        <v>0</v>
      </c>
    </row>
    <row r="112" spans="1:10" ht="15.75" hidden="1" thickBot="1" x14ac:dyDescent="0.3">
      <c r="A112" s="200"/>
      <c r="B112" s="202"/>
      <c r="C112" s="32"/>
      <c r="D112" s="32"/>
      <c r="E112" s="33"/>
      <c r="F112" s="43" t="s">
        <v>558</v>
      </c>
      <c r="G112" s="31" t="str">
        <f>IF(ISNUMBER(F112),E112*F112,"")</f>
        <v/>
      </c>
      <c r="H112" s="35"/>
      <c r="I112" s="31"/>
      <c r="J112" s="155">
        <v>0</v>
      </c>
    </row>
    <row r="113" spans="1:10" ht="15.75" hidden="1" thickBot="1" x14ac:dyDescent="0.3">
      <c r="A113" s="200"/>
      <c r="B113" s="202"/>
      <c r="C113" s="36" t="s">
        <v>54</v>
      </c>
      <c r="D113" s="36" t="s">
        <v>12</v>
      </c>
      <c r="E113" s="37">
        <v>0.6</v>
      </c>
      <c r="F113" s="31">
        <v>18.9145</v>
      </c>
      <c r="G113" s="34">
        <f>IF(ISNUMBER(F113),E113*F113,"")</f>
        <v>11.348699999999999</v>
      </c>
      <c r="H113" s="39">
        <f>SUM(G113:G114)</f>
        <v>31.424099999999996</v>
      </c>
      <c r="I113" s="40"/>
      <c r="J113" s="155">
        <v>0</v>
      </c>
    </row>
    <row r="114" spans="1:10" ht="15.75" hidden="1" thickBot="1" x14ac:dyDescent="0.3">
      <c r="A114" s="200"/>
      <c r="B114" s="202"/>
      <c r="C114" s="36" t="s">
        <v>23</v>
      </c>
      <c r="D114" s="36" t="s">
        <v>12</v>
      </c>
      <c r="E114" s="37">
        <v>1.2</v>
      </c>
      <c r="F114" s="31">
        <v>16.729499999999998</v>
      </c>
      <c r="G114" s="34">
        <f>IF(ISNUMBER(F114),E114*F114,"")</f>
        <v>20.075399999999998</v>
      </c>
      <c r="H114" s="35"/>
      <c r="I114" s="31"/>
      <c r="J114" s="155">
        <v>0</v>
      </c>
    </row>
    <row r="115" spans="1:10" ht="15.75" hidden="1" thickBot="1" x14ac:dyDescent="0.3">
      <c r="A115" s="201"/>
      <c r="B115" s="188"/>
      <c r="C115" s="36"/>
      <c r="D115" s="36"/>
      <c r="E115" s="37"/>
      <c r="F115" s="31" t="s">
        <v>558</v>
      </c>
      <c r="G115" s="31" t="str">
        <f>IF(ISNUMBER(F115),E115*F115,"")</f>
        <v/>
      </c>
      <c r="H115" s="35"/>
      <c r="I115" s="31"/>
      <c r="J115" s="155">
        <v>0</v>
      </c>
    </row>
    <row r="116" spans="1:10" ht="15.75" hidden="1" thickBot="1" x14ac:dyDescent="0.3">
      <c r="A116" s="180" t="s">
        <v>55</v>
      </c>
      <c r="B116" s="186" t="str">
        <f>INDEX(Orçamentária!A:B,MATCH(Composições!A116,Orçamentária!A:A,0),2)</f>
        <v>Remoção de divisórias de MDF e gesso acartonado</v>
      </c>
      <c r="C116" s="41"/>
      <c r="D116" s="26" t="str">
        <f>TRIM(INDEX(Orçamentária!C:C,MATCH(Composições!A116,Orçamentária!A:A,0),1))</f>
        <v>m2</v>
      </c>
      <c r="E116" s="27"/>
      <c r="F116" s="42" t="s">
        <v>558</v>
      </c>
      <c r="G116" s="28" t="str">
        <f>IF(ISNUMBER(F116),E116*F116,"")</f>
        <v/>
      </c>
      <c r="H116" s="29"/>
      <c r="I116" s="30"/>
      <c r="J116" s="155">
        <v>0</v>
      </c>
    </row>
    <row r="117" spans="1:10" ht="15.75" hidden="1" thickBot="1" x14ac:dyDescent="0.3">
      <c r="A117" s="200"/>
      <c r="B117" s="202"/>
      <c r="C117" s="32"/>
      <c r="D117" s="32"/>
      <c r="E117" s="33"/>
      <c r="F117" s="43" t="s">
        <v>558</v>
      </c>
      <c r="G117" s="31" t="str">
        <f>IF(ISNUMBER(F117),E117*F117,"")</f>
        <v/>
      </c>
      <c r="H117" s="35"/>
      <c r="I117" s="31"/>
      <c r="J117" s="155">
        <v>0</v>
      </c>
    </row>
    <row r="118" spans="1:10" ht="15.75" hidden="1" thickBot="1" x14ac:dyDescent="0.3">
      <c r="A118" s="200"/>
      <c r="B118" s="202"/>
      <c r="C118" s="36" t="s">
        <v>27</v>
      </c>
      <c r="D118" s="47" t="s">
        <v>12</v>
      </c>
      <c r="E118" s="37">
        <v>0.1186</v>
      </c>
      <c r="F118" s="31">
        <v>17.299499999999998</v>
      </c>
      <c r="G118" s="31">
        <f>IF(ISNUMBER(F118),E118*F118,"")</f>
        <v>2.0517206999999997</v>
      </c>
      <c r="H118" s="39">
        <f>SUM(G118:G119)</f>
        <v>5.9480212499999991</v>
      </c>
      <c r="I118" s="40"/>
      <c r="J118" s="155">
        <v>0</v>
      </c>
    </row>
    <row r="119" spans="1:10" ht="15.75" hidden="1" thickBot="1" x14ac:dyDescent="0.3">
      <c r="A119" s="200"/>
      <c r="B119" s="202"/>
      <c r="C119" s="36" t="s">
        <v>23</v>
      </c>
      <c r="D119" s="47" t="s">
        <v>12</v>
      </c>
      <c r="E119" s="37">
        <v>0.2329</v>
      </c>
      <c r="F119" s="31">
        <v>16.729499999999998</v>
      </c>
      <c r="G119" s="31">
        <f>IF(ISNUMBER(F119),E119*F119,"")</f>
        <v>3.8963005499999994</v>
      </c>
      <c r="H119" s="35"/>
      <c r="I119" s="31"/>
      <c r="J119" s="155">
        <v>0</v>
      </c>
    </row>
    <row r="120" spans="1:10" ht="15.75" hidden="1" thickBot="1" x14ac:dyDescent="0.3">
      <c r="A120" s="201"/>
      <c r="B120" s="188"/>
      <c r="C120" s="36"/>
      <c r="D120" s="36"/>
      <c r="E120" s="37"/>
      <c r="F120" s="31" t="s">
        <v>558</v>
      </c>
      <c r="G120" s="31" t="str">
        <f>IF(ISNUMBER(F120),E120*F120,"")</f>
        <v/>
      </c>
      <c r="H120" s="35"/>
      <c r="I120" s="31"/>
      <c r="J120" s="155">
        <v>0</v>
      </c>
    </row>
    <row r="121" spans="1:10" ht="15.75" hidden="1" thickBot="1" x14ac:dyDescent="0.3">
      <c r="A121" s="180" t="s">
        <v>56</v>
      </c>
      <c r="B121" s="186" t="str">
        <f>INDEX(Orçamentária!A:B,MATCH(Composições!A121,Orçamentária!A:A,0),2)</f>
        <v>Remoção de dutos/tubulações</v>
      </c>
      <c r="C121" s="41"/>
      <c r="D121" s="26" t="str">
        <f>TRIM(INDEX(Orçamentária!C:C,MATCH(Composições!A121,Orçamentária!A:A,0),1))</f>
        <v>m</v>
      </c>
      <c r="E121" s="27"/>
      <c r="F121" s="42" t="s">
        <v>558</v>
      </c>
      <c r="G121" s="28" t="str">
        <f>IF(ISNUMBER(F121),E121*F121,"")</f>
        <v/>
      </c>
      <c r="H121" s="29"/>
      <c r="I121" s="30"/>
      <c r="J121" s="155">
        <v>0</v>
      </c>
    </row>
    <row r="122" spans="1:10" ht="15.75" hidden="1" thickBot="1" x14ac:dyDescent="0.3">
      <c r="A122" s="200"/>
      <c r="B122" s="202"/>
      <c r="C122" s="32"/>
      <c r="D122" s="32"/>
      <c r="E122" s="33"/>
      <c r="F122" s="43" t="s">
        <v>558</v>
      </c>
      <c r="G122" s="31" t="str">
        <f>IF(ISNUMBER(F122),E122*F122,"")</f>
        <v/>
      </c>
      <c r="H122" s="35"/>
      <c r="I122" s="31"/>
      <c r="J122" s="155">
        <v>0</v>
      </c>
    </row>
    <row r="123" spans="1:10" ht="15.75" hidden="1" thickBot="1" x14ac:dyDescent="0.3">
      <c r="A123" s="200"/>
      <c r="B123" s="202"/>
      <c r="C123" s="36" t="s">
        <v>39</v>
      </c>
      <c r="D123" s="47" t="s">
        <v>12</v>
      </c>
      <c r="E123" s="37">
        <v>0.17499999999999999</v>
      </c>
      <c r="F123" s="31">
        <v>22.2395</v>
      </c>
      <c r="G123" s="34">
        <f>IF(ISNUMBER(F123),E123*F123,"")</f>
        <v>3.8919124999999997</v>
      </c>
      <c r="H123" s="39">
        <f>SUM(G123:G124)</f>
        <v>8.9107624999999988</v>
      </c>
      <c r="I123" s="40"/>
      <c r="J123" s="155">
        <v>0</v>
      </c>
    </row>
    <row r="124" spans="1:10" ht="15.75" hidden="1" thickBot="1" x14ac:dyDescent="0.3">
      <c r="A124" s="200"/>
      <c r="B124" s="202"/>
      <c r="C124" s="36" t="s">
        <v>23</v>
      </c>
      <c r="D124" s="47" t="s">
        <v>12</v>
      </c>
      <c r="E124" s="37">
        <v>0.3</v>
      </c>
      <c r="F124" s="31">
        <v>16.729499999999998</v>
      </c>
      <c r="G124" s="34">
        <f>IF(ISNUMBER(F124),E124*F124,"")</f>
        <v>5.0188499999999996</v>
      </c>
      <c r="H124" s="35"/>
      <c r="I124" s="31"/>
      <c r="J124" s="155">
        <v>0</v>
      </c>
    </row>
    <row r="125" spans="1:10" ht="15.75" hidden="1" thickBot="1" x14ac:dyDescent="0.3">
      <c r="A125" s="201"/>
      <c r="B125" s="188"/>
      <c r="C125" s="36"/>
      <c r="D125" s="36"/>
      <c r="E125" s="37"/>
      <c r="F125" s="31" t="s">
        <v>558</v>
      </c>
      <c r="G125" s="31" t="str">
        <f>IF(ISNUMBER(F125),E125*F125,"")</f>
        <v/>
      </c>
      <c r="H125" s="35"/>
      <c r="I125" s="31"/>
      <c r="J125" s="155">
        <v>0</v>
      </c>
    </row>
    <row r="126" spans="1:10" ht="15.75" hidden="1" thickBot="1" x14ac:dyDescent="0.3">
      <c r="A126" s="180" t="s">
        <v>57</v>
      </c>
      <c r="B126" s="186" t="str">
        <f>INDEX(Orçamentária!A:B,MATCH(Composições!A126,Orçamentária!A:A,0),2)</f>
        <v>Remoção de esquadrias metálicas</v>
      </c>
      <c r="C126" s="41"/>
      <c r="D126" s="26" t="str">
        <f>TRIM(INDEX(Orçamentária!C:C,MATCH(Composições!A126,Orçamentária!A:A,0),1))</f>
        <v>m2</v>
      </c>
      <c r="E126" s="27"/>
      <c r="F126" s="42" t="s">
        <v>558</v>
      </c>
      <c r="G126" s="28" t="str">
        <f>IF(ISNUMBER(F126),E126*F126,"")</f>
        <v/>
      </c>
      <c r="H126" s="29"/>
      <c r="I126" s="30"/>
      <c r="J126" s="155">
        <v>0</v>
      </c>
    </row>
    <row r="127" spans="1:10" ht="15.75" hidden="1" thickBot="1" x14ac:dyDescent="0.3">
      <c r="A127" s="200"/>
      <c r="B127" s="202"/>
      <c r="C127" s="32"/>
      <c r="D127" s="32"/>
      <c r="E127" s="33"/>
      <c r="F127" s="43" t="s">
        <v>558</v>
      </c>
      <c r="G127" s="31" t="str">
        <f>IF(ISNUMBER(F127),E127*F127,"")</f>
        <v/>
      </c>
      <c r="H127" s="35"/>
      <c r="I127" s="31"/>
      <c r="J127" s="155">
        <v>0</v>
      </c>
    </row>
    <row r="128" spans="1:10" ht="15.75" hidden="1" thickBot="1" x14ac:dyDescent="0.3">
      <c r="A128" s="200"/>
      <c r="B128" s="202"/>
      <c r="C128" s="36" t="s">
        <v>22</v>
      </c>
      <c r="D128" s="36" t="s">
        <v>12</v>
      </c>
      <c r="E128" s="37">
        <v>0.05</v>
      </c>
      <c r="F128" s="31">
        <v>22.704999999999998</v>
      </c>
      <c r="G128" s="34">
        <f>IF(ISNUMBER(F128),E128*F128,"")</f>
        <v>1.1352499999999999</v>
      </c>
      <c r="H128" s="39">
        <f>SUM(G128:G129)</f>
        <v>9.4999999999999982</v>
      </c>
      <c r="I128" s="40"/>
      <c r="J128" s="155">
        <v>0</v>
      </c>
    </row>
    <row r="129" spans="1:10" ht="15.75" hidden="1" thickBot="1" x14ac:dyDescent="0.3">
      <c r="A129" s="200"/>
      <c r="B129" s="202"/>
      <c r="C129" s="36" t="s">
        <v>23</v>
      </c>
      <c r="D129" s="36" t="s">
        <v>12</v>
      </c>
      <c r="E129" s="37">
        <v>0.5</v>
      </c>
      <c r="F129" s="31">
        <v>16.729499999999998</v>
      </c>
      <c r="G129" s="34">
        <f>IF(ISNUMBER(F129),E129*F129,"")</f>
        <v>8.364749999999999</v>
      </c>
      <c r="H129" s="45"/>
      <c r="I129" s="46"/>
      <c r="J129" s="155">
        <v>0</v>
      </c>
    </row>
    <row r="130" spans="1:10" ht="15.75" hidden="1" thickBot="1" x14ac:dyDescent="0.3">
      <c r="A130" s="201"/>
      <c r="B130" s="188"/>
      <c r="C130" s="36"/>
      <c r="D130" s="36"/>
      <c r="E130" s="37"/>
      <c r="F130" s="31" t="s">
        <v>558</v>
      </c>
      <c r="G130" s="31" t="str">
        <f>IF(ISNUMBER(F130),E130*F130,"")</f>
        <v/>
      </c>
      <c r="H130" s="35"/>
      <c r="I130" s="31"/>
      <c r="J130" s="155">
        <v>0</v>
      </c>
    </row>
    <row r="131" spans="1:10" ht="15.75" hidden="1" thickBot="1" x14ac:dyDescent="0.3">
      <c r="A131" s="180" t="s">
        <v>58</v>
      </c>
      <c r="B131" s="186" t="str">
        <f>INDEX(Orçamentária!A:B,MATCH(Composições!A131,Orçamentária!A:A,0),2)</f>
        <v>Remoção de exaustor</v>
      </c>
      <c r="C131" s="41"/>
      <c r="D131" s="26" t="str">
        <f>TRIM(INDEX(Orçamentária!C:C,MATCH(Composições!A131,Orçamentária!A:A,0),1))</f>
        <v>un</v>
      </c>
      <c r="E131" s="27"/>
      <c r="F131" s="42" t="s">
        <v>558</v>
      </c>
      <c r="G131" s="28" t="str">
        <f>IF(ISNUMBER(F131),E131*F131,"")</f>
        <v/>
      </c>
      <c r="H131" s="29"/>
      <c r="I131" s="30"/>
      <c r="J131" s="155">
        <v>0</v>
      </c>
    </row>
    <row r="132" spans="1:10" ht="15.75" hidden="1" thickBot="1" x14ac:dyDescent="0.3">
      <c r="A132" s="200"/>
      <c r="B132" s="202"/>
      <c r="C132" s="32"/>
      <c r="D132" s="32"/>
      <c r="E132" s="33"/>
      <c r="F132" s="43" t="s">
        <v>558</v>
      </c>
      <c r="G132" s="31" t="str">
        <f>IF(ISNUMBER(F132),E132*F132,"")</f>
        <v/>
      </c>
      <c r="H132" s="35"/>
      <c r="I132" s="31"/>
      <c r="J132" s="155">
        <v>0</v>
      </c>
    </row>
    <row r="133" spans="1:10" ht="15.75" hidden="1" thickBot="1" x14ac:dyDescent="0.3">
      <c r="A133" s="200"/>
      <c r="B133" s="202"/>
      <c r="C133" s="36" t="s">
        <v>30</v>
      </c>
      <c r="D133" s="36" t="s">
        <v>12</v>
      </c>
      <c r="E133" s="37">
        <v>0.3</v>
      </c>
      <c r="F133" s="31">
        <v>22.895</v>
      </c>
      <c r="G133" s="31">
        <f>IF(ISNUMBER(F133),E133*F133,"")</f>
        <v>6.8685</v>
      </c>
      <c r="H133" s="39">
        <f>SUM(G133:G133)</f>
        <v>6.8685</v>
      </c>
      <c r="I133" s="40"/>
      <c r="J133" s="155">
        <v>0</v>
      </c>
    </row>
    <row r="134" spans="1:10" ht="15.75" hidden="1" thickBot="1" x14ac:dyDescent="0.3">
      <c r="A134" s="201"/>
      <c r="B134" s="188"/>
      <c r="C134" s="36"/>
      <c r="D134" s="36"/>
      <c r="E134" s="37"/>
      <c r="F134" s="31" t="s">
        <v>558</v>
      </c>
      <c r="G134" s="31" t="str">
        <f>IF(ISNUMBER(F134),E134*F134,"")</f>
        <v/>
      </c>
      <c r="H134" s="35"/>
      <c r="I134" s="31"/>
      <c r="J134" s="155">
        <v>0</v>
      </c>
    </row>
    <row r="135" spans="1:10" ht="15.75" hidden="1" thickBot="1" x14ac:dyDescent="0.3">
      <c r="A135" s="180" t="s">
        <v>59</v>
      </c>
      <c r="B135" s="186" t="str">
        <f>INDEX(Orçamentária!A:B,MATCH(Composições!A135,Orçamentária!A:A,0),2)</f>
        <v>Remoção de fechadura/puxador de porta</v>
      </c>
      <c r="C135" s="41"/>
      <c r="D135" s="26" t="str">
        <f>TRIM(INDEX(Orçamentária!C:C,MATCH(Composições!A135,Orçamentária!A:A,0),1))</f>
        <v>un</v>
      </c>
      <c r="E135" s="27"/>
      <c r="F135" s="42" t="s">
        <v>558</v>
      </c>
      <c r="G135" s="28" t="str">
        <f>IF(ISNUMBER(F135),E135*F135,"")</f>
        <v/>
      </c>
      <c r="H135" s="29"/>
      <c r="I135" s="30"/>
      <c r="J135" s="155">
        <v>0</v>
      </c>
    </row>
    <row r="136" spans="1:10" ht="15.75" hidden="1" thickBot="1" x14ac:dyDescent="0.3">
      <c r="A136" s="200"/>
      <c r="B136" s="202"/>
      <c r="C136" s="32"/>
      <c r="D136" s="32"/>
      <c r="E136" s="33"/>
      <c r="F136" s="43" t="s">
        <v>558</v>
      </c>
      <c r="G136" s="31" t="str">
        <f>IF(ISNUMBER(F136),E136*F136,"")</f>
        <v/>
      </c>
      <c r="H136" s="35"/>
      <c r="I136" s="31"/>
      <c r="J136" s="155">
        <v>0</v>
      </c>
    </row>
    <row r="137" spans="1:10" ht="15.75" hidden="1" thickBot="1" x14ac:dyDescent="0.3">
      <c r="A137" s="200"/>
      <c r="B137" s="202"/>
      <c r="C137" s="36" t="s">
        <v>44</v>
      </c>
      <c r="D137" s="36" t="s">
        <v>12</v>
      </c>
      <c r="E137" s="37">
        <f>0.25</f>
        <v>0.25</v>
      </c>
      <c r="F137" s="31">
        <v>22.533999999999999</v>
      </c>
      <c r="G137" s="34">
        <f>IF(ISNUMBER(F137),E137*F137,"")</f>
        <v>5.6334999999999997</v>
      </c>
      <c r="H137" s="39">
        <f>SUM(G137:G137)</f>
        <v>5.6334999999999997</v>
      </c>
      <c r="I137" s="40"/>
      <c r="J137" s="155">
        <v>0</v>
      </c>
    </row>
    <row r="138" spans="1:10" ht="15.75" hidden="1" thickBot="1" x14ac:dyDescent="0.3">
      <c r="A138" s="200"/>
      <c r="B138" s="202"/>
      <c r="C138" s="36"/>
      <c r="D138" s="36"/>
      <c r="E138" s="37"/>
      <c r="F138" s="31" t="s">
        <v>558</v>
      </c>
      <c r="G138" s="31" t="str">
        <f>IF(ISNUMBER(F138),E138*F138,"")</f>
        <v/>
      </c>
      <c r="H138" s="35"/>
      <c r="I138" s="31"/>
      <c r="J138" s="155">
        <v>0</v>
      </c>
    </row>
    <row r="139" spans="1:10" ht="15.75" hidden="1" thickBot="1" x14ac:dyDescent="0.3">
      <c r="A139" s="180" t="s">
        <v>60</v>
      </c>
      <c r="B139" s="186" t="str">
        <f>INDEX(Orçamentária!A:B,MATCH(Composições!A139,Orçamentária!A:A,0),2)</f>
        <v>Remoção de folha de porta e dobradiças / pivôs</v>
      </c>
      <c r="C139" s="41"/>
      <c r="D139" s="26" t="str">
        <f>TRIM(INDEX(Orçamentária!C:C,MATCH(Composições!A139,Orçamentária!A:A,0),1))</f>
        <v>un</v>
      </c>
      <c r="E139" s="27"/>
      <c r="F139" s="42" t="s">
        <v>558</v>
      </c>
      <c r="G139" s="28" t="str">
        <f>IF(ISNUMBER(F139),E139*F139,"")</f>
        <v/>
      </c>
      <c r="H139" s="29"/>
      <c r="I139" s="30"/>
      <c r="J139" s="155">
        <v>0</v>
      </c>
    </row>
    <row r="140" spans="1:10" ht="15.75" hidden="1" thickBot="1" x14ac:dyDescent="0.3">
      <c r="A140" s="200"/>
      <c r="B140" s="202"/>
      <c r="C140" s="32"/>
      <c r="D140" s="32"/>
      <c r="E140" s="33"/>
      <c r="F140" s="43" t="s">
        <v>558</v>
      </c>
      <c r="G140" s="31" t="str">
        <f>IF(ISNUMBER(F140),E140*F140,"")</f>
        <v/>
      </c>
      <c r="H140" s="35"/>
      <c r="I140" s="31"/>
      <c r="J140" s="155">
        <v>0</v>
      </c>
    </row>
    <row r="141" spans="1:10" ht="15.75" hidden="1" thickBot="1" x14ac:dyDescent="0.3">
      <c r="A141" s="200"/>
      <c r="B141" s="202"/>
      <c r="C141" s="36" t="s">
        <v>22</v>
      </c>
      <c r="D141" s="36" t="s">
        <v>12</v>
      </c>
      <c r="E141" s="37">
        <v>0.13150000000000001</v>
      </c>
      <c r="F141" s="31">
        <v>22.704999999999998</v>
      </c>
      <c r="G141" s="34">
        <f>IF(ISNUMBER(F141),E141*F141,"")</f>
        <v>2.9857074999999997</v>
      </c>
      <c r="H141" s="39">
        <f>SUM(G141:G142)</f>
        <v>7.3052643999999987</v>
      </c>
      <c r="I141" s="40"/>
      <c r="J141" s="155">
        <v>0</v>
      </c>
    </row>
    <row r="142" spans="1:10" ht="15.75" hidden="1" thickBot="1" x14ac:dyDescent="0.3">
      <c r="A142" s="200"/>
      <c r="B142" s="202"/>
      <c r="C142" s="36" t="s">
        <v>23</v>
      </c>
      <c r="D142" s="47" t="s">
        <v>12</v>
      </c>
      <c r="E142" s="37">
        <v>0.25819999999999999</v>
      </c>
      <c r="F142" s="31">
        <v>16.729499999999998</v>
      </c>
      <c r="G142" s="34">
        <f>IF(ISNUMBER(F142),E142*F142,"")</f>
        <v>4.3195568999999994</v>
      </c>
      <c r="H142" s="45"/>
      <c r="I142" s="46"/>
      <c r="J142" s="155">
        <v>0</v>
      </c>
    </row>
    <row r="143" spans="1:10" ht="15.75" hidden="1" thickBot="1" x14ac:dyDescent="0.3">
      <c r="A143" s="201"/>
      <c r="B143" s="188"/>
      <c r="C143" s="36"/>
      <c r="D143" s="36"/>
      <c r="E143" s="37"/>
      <c r="F143" s="31" t="s">
        <v>558</v>
      </c>
      <c r="G143" s="31" t="str">
        <f>IF(ISNUMBER(F143),E143*F143,"")</f>
        <v/>
      </c>
      <c r="H143" s="35"/>
      <c r="I143" s="31"/>
      <c r="J143" s="155">
        <v>0</v>
      </c>
    </row>
    <row r="144" spans="1:10" ht="15.75" hidden="1" thickBot="1" x14ac:dyDescent="0.3">
      <c r="A144" s="180" t="s">
        <v>61</v>
      </c>
      <c r="B144" s="186" t="str">
        <f>INDEX(Orçamentária!A:B,MATCH(Composições!A144,Orçamentária!A:A,0),2)</f>
        <v>Remoção de laminado melamínico (LDAP), em PVC ou vinílico</v>
      </c>
      <c r="C144" s="41"/>
      <c r="D144" s="26" t="str">
        <f>TRIM(INDEX(Orçamentária!C:C,MATCH(Composições!A144,Orçamentária!A:A,0),1))</f>
        <v>m2</v>
      </c>
      <c r="E144" s="27"/>
      <c r="F144" s="42" t="s">
        <v>558</v>
      </c>
      <c r="G144" s="28" t="str">
        <f>IF(ISNUMBER(F144),E144*F144,"")</f>
        <v/>
      </c>
      <c r="H144" s="29"/>
      <c r="I144" s="30"/>
      <c r="J144" s="155">
        <v>0</v>
      </c>
    </row>
    <row r="145" spans="1:10" ht="15.75" hidden="1" thickBot="1" x14ac:dyDescent="0.3">
      <c r="A145" s="200"/>
      <c r="B145" s="202"/>
      <c r="C145" s="32"/>
      <c r="D145" s="32"/>
      <c r="E145" s="33"/>
      <c r="F145" s="43" t="s">
        <v>558</v>
      </c>
      <c r="G145" s="31" t="str">
        <f>IF(ISNUMBER(F145),E145*F145,"")</f>
        <v/>
      </c>
      <c r="H145" s="35"/>
      <c r="I145" s="31"/>
      <c r="J145" s="155">
        <v>0</v>
      </c>
    </row>
    <row r="146" spans="1:10" ht="15.75" hidden="1" thickBot="1" x14ac:dyDescent="0.3">
      <c r="A146" s="200"/>
      <c r="B146" s="202"/>
      <c r="C146" s="36" t="s">
        <v>22</v>
      </c>
      <c r="D146" s="36" t="s">
        <v>12</v>
      </c>
      <c r="E146" s="37">
        <v>0.09</v>
      </c>
      <c r="F146" s="31">
        <v>22.704999999999998</v>
      </c>
      <c r="G146" s="34">
        <f>IF(ISNUMBER(F146),E146*F146,"")</f>
        <v>2.04345</v>
      </c>
      <c r="H146" s="39">
        <f>SUM(G146:G147)</f>
        <v>17.099999999999998</v>
      </c>
      <c r="I146" s="40"/>
      <c r="J146" s="155">
        <v>0</v>
      </c>
    </row>
    <row r="147" spans="1:10" ht="15.75" hidden="1" thickBot="1" x14ac:dyDescent="0.3">
      <c r="A147" s="200"/>
      <c r="B147" s="202"/>
      <c r="C147" s="36" t="s">
        <v>23</v>
      </c>
      <c r="D147" s="36" t="s">
        <v>12</v>
      </c>
      <c r="E147" s="37">
        <v>0.9</v>
      </c>
      <c r="F147" s="31">
        <v>16.729499999999998</v>
      </c>
      <c r="G147" s="34">
        <f>IF(ISNUMBER(F147),E147*F147,"")</f>
        <v>15.056549999999998</v>
      </c>
      <c r="H147" s="35"/>
      <c r="I147" s="31"/>
      <c r="J147" s="155">
        <v>0</v>
      </c>
    </row>
    <row r="148" spans="1:10" ht="15.75" hidden="1" thickBot="1" x14ac:dyDescent="0.3">
      <c r="A148" s="201"/>
      <c r="B148" s="188"/>
      <c r="C148" s="36"/>
      <c r="D148" s="36"/>
      <c r="E148" s="37"/>
      <c r="F148" s="31" t="s">
        <v>558</v>
      </c>
      <c r="G148" s="31" t="str">
        <f>IF(ISNUMBER(F148),E148*F148,"")</f>
        <v/>
      </c>
      <c r="H148" s="35"/>
      <c r="I148" s="31"/>
      <c r="J148" s="155">
        <v>0</v>
      </c>
    </row>
    <row r="149" spans="1:10" ht="15.75" hidden="1" thickBot="1" x14ac:dyDescent="0.3">
      <c r="A149" s="180" t="s">
        <v>62</v>
      </c>
      <c r="B149" s="186" t="str">
        <f>INDEX(Orçamentária!A:B,MATCH(Composições!A149,Orçamentária!A:A,0),2)</f>
        <v>Remoção de louças</v>
      </c>
      <c r="C149" s="41"/>
      <c r="D149" s="26" t="str">
        <f>TRIM(INDEX(Orçamentária!C:C,MATCH(Composições!A149,Orçamentária!A:A,0),1))</f>
        <v>un</v>
      </c>
      <c r="E149" s="27"/>
      <c r="F149" s="42" t="s">
        <v>558</v>
      </c>
      <c r="G149" s="28" t="str">
        <f>IF(ISNUMBER(F149),E149*F149,"")</f>
        <v/>
      </c>
      <c r="H149" s="29"/>
      <c r="I149" s="30"/>
      <c r="J149" s="155">
        <v>0</v>
      </c>
    </row>
    <row r="150" spans="1:10" ht="15.75" hidden="1" thickBot="1" x14ac:dyDescent="0.3">
      <c r="A150" s="200"/>
      <c r="B150" s="202"/>
      <c r="C150" s="32"/>
      <c r="D150" s="32"/>
      <c r="E150" s="33"/>
      <c r="F150" s="43" t="s">
        <v>558</v>
      </c>
      <c r="G150" s="31" t="str">
        <f>IF(ISNUMBER(F150),E150*F150,"")</f>
        <v/>
      </c>
      <c r="H150" s="35"/>
      <c r="I150" s="31"/>
      <c r="J150" s="155">
        <v>0</v>
      </c>
    </row>
    <row r="151" spans="1:10" ht="15.75" hidden="1" thickBot="1" x14ac:dyDescent="0.3">
      <c r="A151" s="200"/>
      <c r="B151" s="202"/>
      <c r="C151" s="36" t="s">
        <v>39</v>
      </c>
      <c r="D151" s="47" t="s">
        <v>12</v>
      </c>
      <c r="E151" s="37">
        <v>0.17549999999999999</v>
      </c>
      <c r="F151" s="31">
        <v>22.2395</v>
      </c>
      <c r="G151" s="34">
        <f>IF(ISNUMBER(F151),E151*F151,"")</f>
        <v>3.9030322499999999</v>
      </c>
      <c r="H151" s="39">
        <f>SUM(G151:G152)</f>
        <v>9.6713638499999988</v>
      </c>
      <c r="I151" s="40"/>
      <c r="J151" s="155">
        <v>0</v>
      </c>
    </row>
    <row r="152" spans="1:10" ht="15.75" hidden="1" thickBot="1" x14ac:dyDescent="0.3">
      <c r="A152" s="200"/>
      <c r="B152" s="202"/>
      <c r="C152" s="36" t="s">
        <v>23</v>
      </c>
      <c r="D152" s="36" t="s">
        <v>12</v>
      </c>
      <c r="E152" s="37">
        <v>0.3448</v>
      </c>
      <c r="F152" s="31">
        <v>16.729499999999998</v>
      </c>
      <c r="G152" s="34">
        <f>IF(ISNUMBER(F152),E152*F152,"")</f>
        <v>5.7683315999999989</v>
      </c>
      <c r="H152" s="44"/>
      <c r="I152" s="40"/>
      <c r="J152" s="155">
        <v>0</v>
      </c>
    </row>
    <row r="153" spans="1:10" ht="15.75" hidden="1" thickBot="1" x14ac:dyDescent="0.3">
      <c r="A153" s="201"/>
      <c r="B153" s="188"/>
      <c r="C153" s="36"/>
      <c r="D153" s="36"/>
      <c r="E153" s="37"/>
      <c r="F153" s="31" t="s">
        <v>558</v>
      </c>
      <c r="G153" s="31" t="str">
        <f>IF(ISNUMBER(F153),E153*F153,"")</f>
        <v/>
      </c>
      <c r="H153" s="35"/>
      <c r="I153" s="31"/>
      <c r="J153" s="155">
        <v>0</v>
      </c>
    </row>
    <row r="154" spans="1:10" ht="15.75" hidden="1" thickBot="1" x14ac:dyDescent="0.3">
      <c r="A154" s="180" t="s">
        <v>63</v>
      </c>
      <c r="B154" s="186" t="str">
        <f>INDEX(Orçamentária!A:B,MATCH(Composições!A154,Orçamentária!A:A,0),2)</f>
        <v>Remoção de luminária</v>
      </c>
      <c r="C154" s="41"/>
      <c r="D154" s="26" t="str">
        <f>TRIM(INDEX(Orçamentária!C:C,MATCH(Composições!A154,Orçamentária!A:A,0),1))</f>
        <v>un</v>
      </c>
      <c r="E154" s="27"/>
      <c r="F154" s="42" t="s">
        <v>558</v>
      </c>
      <c r="G154" s="28" t="str">
        <f>IF(ISNUMBER(F154),E154*F154,"")</f>
        <v/>
      </c>
      <c r="H154" s="29"/>
      <c r="I154" s="30"/>
      <c r="J154" s="155">
        <v>0</v>
      </c>
    </row>
    <row r="155" spans="1:10" ht="15.75" hidden="1" thickBot="1" x14ac:dyDescent="0.3">
      <c r="A155" s="181"/>
      <c r="B155" s="202"/>
      <c r="C155" s="32"/>
      <c r="D155" s="32"/>
      <c r="E155" s="33"/>
      <c r="F155" s="43" t="s">
        <v>558</v>
      </c>
      <c r="G155" s="31" t="str">
        <f>IF(ISNUMBER(F155),E155*F155,"")</f>
        <v/>
      </c>
      <c r="H155" s="35"/>
      <c r="I155" s="31"/>
      <c r="J155" s="155">
        <v>0</v>
      </c>
    </row>
    <row r="156" spans="1:10" ht="15.75" hidden="1" thickBot="1" x14ac:dyDescent="0.3">
      <c r="A156" s="181"/>
      <c r="B156" s="202"/>
      <c r="C156" s="36" t="s">
        <v>30</v>
      </c>
      <c r="D156" s="47" t="s">
        <v>12</v>
      </c>
      <c r="E156" s="37">
        <f>0.0183*5</f>
        <v>9.1499999999999998E-2</v>
      </c>
      <c r="F156" s="31">
        <v>22.895</v>
      </c>
      <c r="G156" s="34">
        <f>IF(ISNUMBER(F156),E156*F156,"")</f>
        <v>2.0948924999999998</v>
      </c>
      <c r="H156" s="39">
        <f>SUM(G156:G157)</f>
        <v>5.0978377499999992</v>
      </c>
      <c r="I156" s="40"/>
      <c r="J156" s="155">
        <v>0</v>
      </c>
    </row>
    <row r="157" spans="1:10" ht="15.75" hidden="1" thickBot="1" x14ac:dyDescent="0.3">
      <c r="A157" s="181"/>
      <c r="B157" s="202"/>
      <c r="C157" s="36" t="s">
        <v>23</v>
      </c>
      <c r="D157" s="47" t="s">
        <v>12</v>
      </c>
      <c r="E157" s="37">
        <f>0.0359*5</f>
        <v>0.17949999999999999</v>
      </c>
      <c r="F157" s="31">
        <v>16.729499999999998</v>
      </c>
      <c r="G157" s="34">
        <f>IF(ISNUMBER(F157),E157*F157,"")</f>
        <v>3.0029452499999993</v>
      </c>
      <c r="H157" s="45"/>
      <c r="I157" s="46"/>
      <c r="J157" s="155">
        <v>0</v>
      </c>
    </row>
    <row r="158" spans="1:10" ht="15.75" hidden="1" thickBot="1" x14ac:dyDescent="0.3">
      <c r="A158" s="181"/>
      <c r="B158" s="202"/>
      <c r="C158" s="36"/>
      <c r="D158" s="36"/>
      <c r="E158" s="37"/>
      <c r="F158" s="31" t="s">
        <v>558</v>
      </c>
      <c r="G158" s="31" t="str">
        <f>IF(ISNUMBER(F158),E158*F158,"")</f>
        <v/>
      </c>
      <c r="H158" s="35"/>
      <c r="I158" s="31"/>
      <c r="J158" s="155">
        <v>0</v>
      </c>
    </row>
    <row r="159" spans="1:10" ht="15.75" hidden="1" thickBot="1" x14ac:dyDescent="0.3">
      <c r="A159" s="181"/>
      <c r="B159" s="202"/>
      <c r="C159" s="48" t="s">
        <v>64</v>
      </c>
      <c r="D159" s="36"/>
      <c r="E159" s="37"/>
      <c r="F159" s="31" t="s">
        <v>558</v>
      </c>
      <c r="G159" s="31" t="str">
        <f>IF(ISNUMBER(F159),E159*F159,"")</f>
        <v/>
      </c>
      <c r="H159" s="35"/>
      <c r="I159" s="31"/>
      <c r="J159" s="155">
        <v>0</v>
      </c>
    </row>
    <row r="160" spans="1:10" ht="15.75" hidden="1" thickBot="1" x14ac:dyDescent="0.3">
      <c r="A160" s="182"/>
      <c r="B160" s="188"/>
      <c r="C160" s="36"/>
      <c r="D160" s="36"/>
      <c r="E160" s="37"/>
      <c r="F160" s="31" t="s">
        <v>558</v>
      </c>
      <c r="G160" s="31" t="str">
        <f>IF(ISNUMBER(F160),E160*F160,"")</f>
        <v/>
      </c>
      <c r="H160" s="35"/>
      <c r="I160" s="31"/>
      <c r="J160" s="155">
        <v>0</v>
      </c>
    </row>
    <row r="161" spans="1:10" ht="15.75" hidden="1" thickBot="1" x14ac:dyDescent="0.3">
      <c r="A161" s="180" t="s">
        <v>65</v>
      </c>
      <c r="B161" s="186" t="str">
        <f>INDEX(Orçamentária!A:B,MATCH(Composições!A161,Orçamentária!A:A,0),2)</f>
        <v>Remoção de metais e acessórios</v>
      </c>
      <c r="C161" s="41"/>
      <c r="D161" s="26" t="str">
        <f>TRIM(INDEX(Orçamentária!C:C,MATCH(Composições!A161,Orçamentária!A:A,0),1))</f>
        <v>un</v>
      </c>
      <c r="E161" s="27"/>
      <c r="F161" s="42" t="s">
        <v>558</v>
      </c>
      <c r="G161" s="28" t="str">
        <f>IF(ISNUMBER(F161),E161*F161,"")</f>
        <v/>
      </c>
      <c r="H161" s="29"/>
      <c r="I161" s="30"/>
      <c r="J161" s="155">
        <v>0</v>
      </c>
    </row>
    <row r="162" spans="1:10" ht="15.75" hidden="1" thickBot="1" x14ac:dyDescent="0.3">
      <c r="A162" s="200"/>
      <c r="B162" s="202"/>
      <c r="C162" s="32"/>
      <c r="D162" s="32"/>
      <c r="E162" s="33"/>
      <c r="F162" s="43" t="s">
        <v>558</v>
      </c>
      <c r="G162" s="31" t="str">
        <f>IF(ISNUMBER(F162),E162*F162,"")</f>
        <v/>
      </c>
      <c r="H162" s="35"/>
      <c r="I162" s="31"/>
      <c r="J162" s="155">
        <v>0</v>
      </c>
    </row>
    <row r="163" spans="1:10" ht="15.75" hidden="1" thickBot="1" x14ac:dyDescent="0.3">
      <c r="A163" s="200"/>
      <c r="B163" s="202"/>
      <c r="C163" s="36" t="s">
        <v>39</v>
      </c>
      <c r="D163" s="47" t="s">
        <v>12</v>
      </c>
      <c r="E163" s="37">
        <v>0.128</v>
      </c>
      <c r="F163" s="31">
        <v>22.2395</v>
      </c>
      <c r="G163" s="34">
        <f>IF(ISNUMBER(F163),E163*F163,"")</f>
        <v>2.8466559999999999</v>
      </c>
      <c r="H163" s="39">
        <f>SUM(G163:G164)</f>
        <v>7.0524522999999988</v>
      </c>
      <c r="I163" s="40"/>
      <c r="J163" s="155">
        <v>0</v>
      </c>
    </row>
    <row r="164" spans="1:10" ht="15.75" hidden="1" thickBot="1" x14ac:dyDescent="0.3">
      <c r="A164" s="200"/>
      <c r="B164" s="202"/>
      <c r="C164" s="36" t="s">
        <v>23</v>
      </c>
      <c r="D164" s="36" t="s">
        <v>12</v>
      </c>
      <c r="E164" s="37">
        <v>0.25140000000000001</v>
      </c>
      <c r="F164" s="31">
        <v>16.729499999999998</v>
      </c>
      <c r="G164" s="34">
        <f>IF(ISNUMBER(F164),E164*F164,"")</f>
        <v>4.2057962999999994</v>
      </c>
      <c r="H164" s="44"/>
      <c r="I164" s="40"/>
      <c r="J164" s="155">
        <v>0</v>
      </c>
    </row>
    <row r="165" spans="1:10" ht="15.75" hidden="1" thickBot="1" x14ac:dyDescent="0.3">
      <c r="A165" s="201"/>
      <c r="B165" s="188"/>
      <c r="C165" s="36"/>
      <c r="D165" s="36"/>
      <c r="E165" s="37"/>
      <c r="F165" s="31" t="s">
        <v>558</v>
      </c>
      <c r="G165" s="31" t="str">
        <f>IF(ISNUMBER(F165),E165*F165,"")</f>
        <v/>
      </c>
      <c r="H165" s="35"/>
      <c r="I165" s="31"/>
      <c r="J165" s="155">
        <v>0</v>
      </c>
    </row>
    <row r="166" spans="1:10" ht="15.75" hidden="1" thickBot="1" x14ac:dyDescent="0.3">
      <c r="A166" s="180" t="s">
        <v>66</v>
      </c>
      <c r="B166" s="186" t="str">
        <f>INDEX(Orçamentária!A:B,MATCH(Composições!A166,Orçamentária!A:A,0),2)</f>
        <v>Remoção de painéis de vidro temperado</v>
      </c>
      <c r="C166" s="41"/>
      <c r="D166" s="26" t="str">
        <f>TRIM(INDEX(Orçamentária!C:C,MATCH(Composições!A166,Orçamentária!A:A,0),1))</f>
        <v>m2</v>
      </c>
      <c r="E166" s="27"/>
      <c r="F166" s="42" t="s">
        <v>558</v>
      </c>
      <c r="G166" s="28" t="str">
        <f>IF(ISNUMBER(F166),E166*F166,"")</f>
        <v/>
      </c>
      <c r="H166" s="29"/>
      <c r="I166" s="30"/>
      <c r="J166" s="155">
        <v>0</v>
      </c>
    </row>
    <row r="167" spans="1:10" ht="15.75" hidden="1" thickBot="1" x14ac:dyDescent="0.3">
      <c r="A167" s="200"/>
      <c r="B167" s="202"/>
      <c r="C167" s="32"/>
      <c r="D167" s="32"/>
      <c r="E167" s="33"/>
      <c r="F167" s="43" t="s">
        <v>558</v>
      </c>
      <c r="G167" s="31" t="str">
        <f>IF(ISNUMBER(F167),E167*F167,"")</f>
        <v/>
      </c>
      <c r="H167" s="35"/>
      <c r="I167" s="31"/>
      <c r="J167" s="155">
        <v>0</v>
      </c>
    </row>
    <row r="168" spans="1:10" ht="15.75" hidden="1" thickBot="1" x14ac:dyDescent="0.3">
      <c r="A168" s="200"/>
      <c r="B168" s="202"/>
      <c r="C168" s="36" t="s">
        <v>23</v>
      </c>
      <c r="D168" s="36" t="s">
        <v>12</v>
      </c>
      <c r="E168" s="37">
        <v>0.35</v>
      </c>
      <c r="F168" s="31">
        <v>16.729499999999998</v>
      </c>
      <c r="G168" s="34">
        <f>IF(ISNUMBER(F168),E168*F168,"")</f>
        <v>5.8553249999999988</v>
      </c>
      <c r="H168" s="39">
        <f>SUM(G168:G169)</f>
        <v>13.802074999999999</v>
      </c>
      <c r="I168" s="40"/>
      <c r="J168" s="155">
        <v>0</v>
      </c>
    </row>
    <row r="169" spans="1:10" ht="15.75" hidden="1" thickBot="1" x14ac:dyDescent="0.3">
      <c r="A169" s="200"/>
      <c r="B169" s="202"/>
      <c r="C169" s="36" t="s">
        <v>22</v>
      </c>
      <c r="D169" s="36" t="s">
        <v>12</v>
      </c>
      <c r="E169" s="37">
        <v>0.35</v>
      </c>
      <c r="F169" s="31">
        <v>22.704999999999998</v>
      </c>
      <c r="G169" s="34">
        <f>IF(ISNUMBER(F169),E169*F169,"")</f>
        <v>7.9467499999999989</v>
      </c>
      <c r="H169" s="35"/>
      <c r="I169" s="31"/>
      <c r="J169" s="155">
        <v>0</v>
      </c>
    </row>
    <row r="170" spans="1:10" ht="15.75" hidden="1" thickBot="1" x14ac:dyDescent="0.3">
      <c r="A170" s="201"/>
      <c r="B170" s="188"/>
      <c r="C170" s="36"/>
      <c r="D170" s="36"/>
      <c r="E170" s="37"/>
      <c r="F170" s="31" t="s">
        <v>558</v>
      </c>
      <c r="G170" s="31" t="str">
        <f>IF(ISNUMBER(F170),E170*F170,"")</f>
        <v/>
      </c>
      <c r="H170" s="35"/>
      <c r="I170" s="31"/>
      <c r="J170" s="155">
        <v>0</v>
      </c>
    </row>
    <row r="171" spans="1:10" ht="15.75" hidden="1" thickBot="1" x14ac:dyDescent="0.3">
      <c r="A171" s="180" t="s">
        <v>67</v>
      </c>
      <c r="B171" s="186" t="str">
        <f>INDEX(Orçamentária!A:B,MATCH(Composições!A171,Orçamentária!A:A,0),2)</f>
        <v>Remoção de película</v>
      </c>
      <c r="C171" s="41"/>
      <c r="D171" s="26" t="str">
        <f>TRIM(INDEX(Orçamentária!C:C,MATCH(Composições!A171,Orçamentária!A:A,0),1))</f>
        <v>m2</v>
      </c>
      <c r="E171" s="27"/>
      <c r="F171" s="42" t="s">
        <v>558</v>
      </c>
      <c r="G171" s="28" t="str">
        <f>IF(ISNUMBER(F171),E171*F171,"")</f>
        <v/>
      </c>
      <c r="H171" s="29"/>
      <c r="I171" s="30"/>
      <c r="J171" s="155">
        <v>0</v>
      </c>
    </row>
    <row r="172" spans="1:10" ht="15.75" hidden="1" thickBot="1" x14ac:dyDescent="0.3">
      <c r="A172" s="200"/>
      <c r="B172" s="202"/>
      <c r="C172" s="32"/>
      <c r="D172" s="32"/>
      <c r="E172" s="33"/>
      <c r="F172" s="43" t="s">
        <v>558</v>
      </c>
      <c r="G172" s="31" t="str">
        <f>IF(ISNUMBER(F172),E172*F172,"")</f>
        <v/>
      </c>
      <c r="H172" s="35"/>
      <c r="I172" s="31"/>
      <c r="J172" s="155">
        <v>0</v>
      </c>
    </row>
    <row r="173" spans="1:10" ht="15.75" hidden="1" thickBot="1" x14ac:dyDescent="0.3">
      <c r="A173" s="200"/>
      <c r="B173" s="202"/>
      <c r="C173" s="36" t="s">
        <v>68</v>
      </c>
      <c r="D173" s="36" t="s">
        <v>12</v>
      </c>
      <c r="E173" s="37">
        <v>0.4</v>
      </c>
      <c r="F173" s="31">
        <v>21.080500000000001</v>
      </c>
      <c r="G173" s="34">
        <f>IF(ISNUMBER(F173),E173*F173,"")</f>
        <v>8.4321999999999999</v>
      </c>
      <c r="H173" s="39">
        <f>SUM(G173:G173)</f>
        <v>8.4321999999999999</v>
      </c>
      <c r="I173" s="40"/>
      <c r="J173" s="155">
        <v>0</v>
      </c>
    </row>
    <row r="174" spans="1:10" ht="15.75" hidden="1" thickBot="1" x14ac:dyDescent="0.3">
      <c r="A174" s="201"/>
      <c r="B174" s="188"/>
      <c r="C174" s="36"/>
      <c r="D174" s="36"/>
      <c r="E174" s="37"/>
      <c r="F174" s="31" t="s">
        <v>558</v>
      </c>
      <c r="G174" s="31" t="str">
        <f>IF(ISNUMBER(F174),E174*F174,"")</f>
        <v/>
      </c>
      <c r="H174" s="35"/>
      <c r="I174" s="31"/>
      <c r="J174" s="155">
        <v>0</v>
      </c>
    </row>
    <row r="175" spans="1:10" ht="15.75" hidden="1" thickBot="1" x14ac:dyDescent="0.3">
      <c r="A175" s="180" t="s">
        <v>69</v>
      </c>
      <c r="B175" s="186" t="str">
        <f>INDEX(Orçamentária!A:B,MATCH(Composições!A175,Orçamentária!A:A,0),2)</f>
        <v>Remoção de persianas</v>
      </c>
      <c r="C175" s="41"/>
      <c r="D175" s="26" t="str">
        <f>TRIM(INDEX(Orçamentária!C:C,MATCH(Composições!A175,Orçamentária!A:A,0),1))</f>
        <v>m</v>
      </c>
      <c r="E175" s="27"/>
      <c r="F175" s="42" t="s">
        <v>558</v>
      </c>
      <c r="G175" s="28" t="str">
        <f>IF(ISNUMBER(F175),E175*F175,"")</f>
        <v/>
      </c>
      <c r="H175" s="29"/>
      <c r="I175" s="30"/>
      <c r="J175" s="155">
        <v>0</v>
      </c>
    </row>
    <row r="176" spans="1:10" ht="15.75" hidden="1" thickBot="1" x14ac:dyDescent="0.3">
      <c r="A176" s="200"/>
      <c r="B176" s="202"/>
      <c r="C176" s="32"/>
      <c r="D176" s="32"/>
      <c r="E176" s="33"/>
      <c r="F176" s="43" t="s">
        <v>558</v>
      </c>
      <c r="G176" s="31" t="str">
        <f>IF(ISNUMBER(F176),E176*F176,"")</f>
        <v/>
      </c>
      <c r="H176" s="35"/>
      <c r="I176" s="31"/>
      <c r="J176" s="155">
        <v>0</v>
      </c>
    </row>
    <row r="177" spans="1:10" ht="15.75" hidden="1" thickBot="1" x14ac:dyDescent="0.3">
      <c r="A177" s="200"/>
      <c r="B177" s="202"/>
      <c r="C177" s="36" t="s">
        <v>50</v>
      </c>
      <c r="D177" s="36" t="s">
        <v>12</v>
      </c>
      <c r="E177" s="37">
        <f>ROUND(1/6,4)</f>
        <v>0.16669999999999999</v>
      </c>
      <c r="F177" s="31">
        <v>19.911999999999999</v>
      </c>
      <c r="G177" s="34">
        <f>IF(ISNUMBER(F177),E177*F177,"")</f>
        <v>3.3193303999999997</v>
      </c>
      <c r="H177" s="39">
        <f>SUM(G177:G177)</f>
        <v>3.3193303999999997</v>
      </c>
      <c r="I177" s="40"/>
      <c r="J177" s="155">
        <v>0</v>
      </c>
    </row>
    <row r="178" spans="1:10" ht="15.75" hidden="1" thickBot="1" x14ac:dyDescent="0.3">
      <c r="A178" s="201"/>
      <c r="B178" s="188"/>
      <c r="C178" s="36"/>
      <c r="D178" s="36"/>
      <c r="E178" s="37"/>
      <c r="F178" s="31" t="s">
        <v>558</v>
      </c>
      <c r="G178" s="31" t="str">
        <f>IF(ISNUMBER(F178),E178*F178,"")</f>
        <v/>
      </c>
      <c r="H178" s="35"/>
      <c r="I178" s="31"/>
      <c r="J178" s="155">
        <v>0</v>
      </c>
    </row>
    <row r="179" spans="1:10" ht="15.75" hidden="1" thickBot="1" x14ac:dyDescent="0.3">
      <c r="A179" s="180" t="s">
        <v>70</v>
      </c>
      <c r="B179" s="186" t="str">
        <f>INDEX(Orçamentária!A:B,MATCH(Composições!A179,Orçamentária!A:A,0),2)</f>
        <v>Remoção de pintura ou textura</v>
      </c>
      <c r="C179" s="41"/>
      <c r="D179" s="26" t="str">
        <f>TRIM(INDEX(Orçamentária!C:C,MATCH(Composições!A179,Orçamentária!A:A,0),1))</f>
        <v>m2</v>
      </c>
      <c r="E179" s="27"/>
      <c r="F179" s="42" t="s">
        <v>558</v>
      </c>
      <c r="G179" s="28" t="str">
        <f>IF(ISNUMBER(F179),E179*F179,"")</f>
        <v/>
      </c>
      <c r="H179" s="29"/>
      <c r="I179" s="30"/>
      <c r="J179" s="155">
        <v>0</v>
      </c>
    </row>
    <row r="180" spans="1:10" ht="15.75" hidden="1" thickBot="1" x14ac:dyDescent="0.3">
      <c r="A180" s="200"/>
      <c r="B180" s="202"/>
      <c r="C180" s="32"/>
      <c r="D180" s="32"/>
      <c r="E180" s="33"/>
      <c r="F180" s="43" t="s">
        <v>558</v>
      </c>
      <c r="G180" s="31" t="str">
        <f>IF(ISNUMBER(F180),E180*F180,"")</f>
        <v/>
      </c>
      <c r="H180" s="35"/>
      <c r="I180" s="31"/>
      <c r="J180" s="155">
        <v>0</v>
      </c>
    </row>
    <row r="181" spans="1:10" ht="15.75" hidden="1" thickBot="1" x14ac:dyDescent="0.3">
      <c r="A181" s="200"/>
      <c r="B181" s="202"/>
      <c r="C181" s="36" t="s">
        <v>23</v>
      </c>
      <c r="D181" s="36" t="s">
        <v>12</v>
      </c>
      <c r="E181" s="37">
        <v>0.4</v>
      </c>
      <c r="F181" s="31">
        <v>16.729499999999998</v>
      </c>
      <c r="G181" s="34">
        <f>IF(ISNUMBER(F181),E181*F181,"")</f>
        <v>6.6917999999999997</v>
      </c>
      <c r="H181" s="39">
        <f>SUM(G181:G181)</f>
        <v>6.6917999999999997</v>
      </c>
      <c r="I181" s="40"/>
      <c r="J181" s="155">
        <v>0</v>
      </c>
    </row>
    <row r="182" spans="1:10" ht="15.75" hidden="1" thickBot="1" x14ac:dyDescent="0.3">
      <c r="A182" s="201"/>
      <c r="B182" s="188"/>
      <c r="C182" s="36"/>
      <c r="D182" s="36"/>
      <c r="E182" s="37"/>
      <c r="F182" s="31" t="s">
        <v>558</v>
      </c>
      <c r="G182" s="31" t="str">
        <f>IF(ISNUMBER(F182),E182*F182,"")</f>
        <v/>
      </c>
      <c r="H182" s="35"/>
      <c r="I182" s="31"/>
      <c r="J182" s="155">
        <v>0</v>
      </c>
    </row>
    <row r="183" spans="1:10" ht="15.75" hidden="1" thickBot="1" x14ac:dyDescent="0.3">
      <c r="A183" s="180" t="s">
        <v>71</v>
      </c>
      <c r="B183" s="186" t="str">
        <f>INDEX(Orçamentária!A:B,MATCH(Composições!A183,Orçamentária!A:A,0),2)</f>
        <v>Remoção de placas de forro</v>
      </c>
      <c r="C183" s="41"/>
      <c r="D183" s="26" t="str">
        <f>TRIM(INDEX(Orçamentária!C:C,MATCH(Composições!A183,Orçamentária!A:A,0),1))</f>
        <v>m2</v>
      </c>
      <c r="E183" s="27"/>
      <c r="F183" s="42" t="s">
        <v>558</v>
      </c>
      <c r="G183" s="28" t="str">
        <f>IF(ISNUMBER(F183),E183*F183,"")</f>
        <v/>
      </c>
      <c r="H183" s="29"/>
      <c r="I183" s="30"/>
      <c r="J183" s="155">
        <v>0</v>
      </c>
    </row>
    <row r="184" spans="1:10" ht="15.75" hidden="1" thickBot="1" x14ac:dyDescent="0.3">
      <c r="A184" s="200"/>
      <c r="B184" s="202"/>
      <c r="C184" s="32"/>
      <c r="D184" s="32"/>
      <c r="E184" s="33"/>
      <c r="F184" s="43" t="s">
        <v>558</v>
      </c>
      <c r="G184" s="31" t="str">
        <f>IF(ISNUMBER(F184),E184*F184,"")</f>
        <v/>
      </c>
      <c r="H184" s="35"/>
      <c r="I184" s="31"/>
      <c r="J184" s="155">
        <v>0</v>
      </c>
    </row>
    <row r="185" spans="1:10" ht="15.75" hidden="1" thickBot="1" x14ac:dyDescent="0.3">
      <c r="A185" s="200"/>
      <c r="B185" s="202"/>
      <c r="C185" s="36" t="s">
        <v>27</v>
      </c>
      <c r="D185" s="36" t="s">
        <v>12</v>
      </c>
      <c r="E185" s="37">
        <f>0.0258*3</f>
        <v>7.7399999999999997E-2</v>
      </c>
      <c r="F185" s="31">
        <v>17.299499999999998</v>
      </c>
      <c r="G185" s="34">
        <f>IF(ISNUMBER(F185),E185*F185,"")</f>
        <v>1.3389812999999997</v>
      </c>
      <c r="H185" s="39">
        <f>SUM(G185:G186)</f>
        <v>3.88353825</v>
      </c>
      <c r="I185" s="40"/>
      <c r="J185" s="155">
        <v>0</v>
      </c>
    </row>
    <row r="186" spans="1:10" ht="15.75" hidden="1" thickBot="1" x14ac:dyDescent="0.3">
      <c r="A186" s="200"/>
      <c r="B186" s="202"/>
      <c r="C186" s="36" t="s">
        <v>23</v>
      </c>
      <c r="D186" s="36" t="s">
        <v>12</v>
      </c>
      <c r="E186" s="37">
        <f>0.0507*3</f>
        <v>0.15210000000000001</v>
      </c>
      <c r="F186" s="31">
        <v>16.729499999999998</v>
      </c>
      <c r="G186" s="34">
        <f>IF(ISNUMBER(F186),E186*F186,"")</f>
        <v>2.54455695</v>
      </c>
      <c r="H186" s="35"/>
      <c r="I186" s="31"/>
      <c r="J186" s="155">
        <v>0</v>
      </c>
    </row>
    <row r="187" spans="1:10" ht="15.75" hidden="1" thickBot="1" x14ac:dyDescent="0.3">
      <c r="A187" s="200"/>
      <c r="B187" s="202"/>
      <c r="C187" s="36"/>
      <c r="D187" s="36"/>
      <c r="E187" s="37"/>
      <c r="F187" s="31" t="s">
        <v>558</v>
      </c>
      <c r="G187" s="34" t="str">
        <f>IF(ISNUMBER(F187),E187*F187,"")</f>
        <v/>
      </c>
      <c r="H187" s="35"/>
      <c r="I187" s="31"/>
      <c r="J187" s="155">
        <v>0</v>
      </c>
    </row>
    <row r="188" spans="1:10" ht="15.75" hidden="1" thickBot="1" x14ac:dyDescent="0.3">
      <c r="A188" s="200"/>
      <c r="B188" s="202"/>
      <c r="C188" s="48" t="s">
        <v>72</v>
      </c>
      <c r="D188" s="36"/>
      <c r="E188" s="37"/>
      <c r="F188" s="31" t="s">
        <v>558</v>
      </c>
      <c r="G188" s="34" t="str">
        <f>IF(ISNUMBER(F188),E188*F188,"")</f>
        <v/>
      </c>
      <c r="H188" s="35"/>
      <c r="I188" s="31"/>
      <c r="J188" s="155">
        <v>0</v>
      </c>
    </row>
    <row r="189" spans="1:10" ht="15.75" hidden="1" thickBot="1" x14ac:dyDescent="0.3">
      <c r="A189" s="201"/>
      <c r="B189" s="188"/>
      <c r="C189" s="36"/>
      <c r="D189" s="36"/>
      <c r="E189" s="37"/>
      <c r="F189" s="31" t="s">
        <v>558</v>
      </c>
      <c r="G189" s="31" t="str">
        <f>IF(ISNUMBER(F189),E189*F189,"")</f>
        <v/>
      </c>
      <c r="H189" s="35"/>
      <c r="I189" s="31"/>
      <c r="J189" s="155">
        <v>0</v>
      </c>
    </row>
    <row r="190" spans="1:10" ht="15.75" hidden="1" thickBot="1" x14ac:dyDescent="0.3">
      <c r="A190" s="180" t="s">
        <v>73</v>
      </c>
      <c r="B190" s="186" t="str">
        <f>INDEX(Orçamentária!A:B,MATCH(Composições!A190,Orçamentária!A:A,0),2)</f>
        <v>Remoção de quadros de elétricos ou de telecomunicações</v>
      </c>
      <c r="C190" s="41"/>
      <c r="D190" s="26" t="str">
        <f>TRIM(INDEX(Orçamentária!C:C,MATCH(Composições!A190,Orçamentária!A:A,0),1))</f>
        <v>un</v>
      </c>
      <c r="E190" s="27"/>
      <c r="F190" s="42" t="s">
        <v>558</v>
      </c>
      <c r="G190" s="28" t="str">
        <f>IF(ISNUMBER(F190),E190*F190,"")</f>
        <v/>
      </c>
      <c r="H190" s="29"/>
      <c r="I190" s="30"/>
      <c r="J190" s="155">
        <v>0</v>
      </c>
    </row>
    <row r="191" spans="1:10" ht="15.75" hidden="1" thickBot="1" x14ac:dyDescent="0.3">
      <c r="A191" s="200"/>
      <c r="B191" s="202"/>
      <c r="C191" s="32"/>
      <c r="D191" s="32"/>
      <c r="E191" s="33"/>
      <c r="F191" s="43" t="s">
        <v>558</v>
      </c>
      <c r="G191" s="31" t="str">
        <f>IF(ISNUMBER(F191),E191*F191,"")</f>
        <v/>
      </c>
      <c r="H191" s="35"/>
      <c r="I191" s="31"/>
      <c r="J191" s="155">
        <v>0</v>
      </c>
    </row>
    <row r="192" spans="1:10" ht="15.75" hidden="1" thickBot="1" x14ac:dyDescent="0.3">
      <c r="A192" s="200"/>
      <c r="B192" s="202"/>
      <c r="C192" s="36" t="s">
        <v>74</v>
      </c>
      <c r="D192" s="36" t="s">
        <v>12</v>
      </c>
      <c r="E192" s="37">
        <v>0.5</v>
      </c>
      <c r="F192" s="31">
        <v>17.802999999999997</v>
      </c>
      <c r="G192" s="34">
        <f>IF(ISNUMBER(F192),E192*F192,"")</f>
        <v>8.9014999999999986</v>
      </c>
      <c r="H192" s="39">
        <f>SUM(G192:G195)</f>
        <v>59.783499999999989</v>
      </c>
      <c r="I192" s="40"/>
      <c r="J192" s="155">
        <v>0</v>
      </c>
    </row>
    <row r="193" spans="1:10" ht="15.75" hidden="1" thickBot="1" x14ac:dyDescent="0.3">
      <c r="A193" s="200"/>
      <c r="B193" s="202"/>
      <c r="C193" s="36" t="s">
        <v>30</v>
      </c>
      <c r="D193" s="36" t="s">
        <v>12</v>
      </c>
      <c r="E193" s="37">
        <v>0.5</v>
      </c>
      <c r="F193" s="31">
        <v>22.895</v>
      </c>
      <c r="G193" s="34">
        <f>IF(ISNUMBER(F193),E193*F193,"")</f>
        <v>11.4475</v>
      </c>
      <c r="H193" s="35"/>
      <c r="I193" s="31"/>
      <c r="J193" s="155">
        <v>0</v>
      </c>
    </row>
    <row r="194" spans="1:10" ht="15.75" hidden="1" thickBot="1" x14ac:dyDescent="0.3">
      <c r="A194" s="200"/>
      <c r="B194" s="202"/>
      <c r="C194" s="36" t="s">
        <v>22</v>
      </c>
      <c r="D194" s="36" t="s">
        <v>12</v>
      </c>
      <c r="E194" s="37">
        <v>1</v>
      </c>
      <c r="F194" s="31">
        <v>22.704999999999998</v>
      </c>
      <c r="G194" s="34">
        <f>IF(ISNUMBER(F194),E194*F194,"")</f>
        <v>22.704999999999998</v>
      </c>
      <c r="H194" s="35"/>
      <c r="I194" s="31"/>
      <c r="J194" s="155">
        <v>0</v>
      </c>
    </row>
    <row r="195" spans="1:10" ht="15.75" hidden="1" thickBot="1" x14ac:dyDescent="0.3">
      <c r="A195" s="200"/>
      <c r="B195" s="202"/>
      <c r="C195" s="36" t="s">
        <v>23</v>
      </c>
      <c r="D195" s="36" t="s">
        <v>12</v>
      </c>
      <c r="E195" s="37">
        <v>1</v>
      </c>
      <c r="F195" s="31">
        <v>16.729499999999998</v>
      </c>
      <c r="G195" s="34">
        <f>IF(ISNUMBER(F195),E195*F195,"")</f>
        <v>16.729499999999998</v>
      </c>
      <c r="H195" s="35"/>
      <c r="I195" s="31"/>
      <c r="J195" s="155">
        <v>0</v>
      </c>
    </row>
    <row r="196" spans="1:10" ht="15.75" hidden="1" thickBot="1" x14ac:dyDescent="0.3">
      <c r="A196" s="201"/>
      <c r="B196" s="188"/>
      <c r="C196" s="36"/>
      <c r="D196" s="36"/>
      <c r="E196" s="37"/>
      <c r="F196" s="31" t="s">
        <v>558</v>
      </c>
      <c r="G196" s="31" t="str">
        <f>IF(ISNUMBER(F196),E196*F196,"")</f>
        <v/>
      </c>
      <c r="H196" s="35"/>
      <c r="I196" s="31"/>
      <c r="J196" s="155">
        <v>0</v>
      </c>
    </row>
    <row r="197" spans="1:10" ht="15.75" hidden="1" thickBot="1" x14ac:dyDescent="0.3">
      <c r="A197" s="180" t="s">
        <v>75</v>
      </c>
      <c r="B197" s="186" t="str">
        <f>INDEX(Orçamentária!A:B,MATCH(Composições!A197,Orçamentária!A:A,0),2)</f>
        <v>Remoção de revestimento acústico</v>
      </c>
      <c r="C197" s="41"/>
      <c r="D197" s="26" t="str">
        <f>TRIM(INDEX(Orçamentária!C:C,MATCH(Composições!A197,Orçamentária!A:A,0),1))</f>
        <v>m2</v>
      </c>
      <c r="E197" s="27"/>
      <c r="F197" s="42" t="s">
        <v>558</v>
      </c>
      <c r="G197" s="28" t="str">
        <f>IF(ISNUMBER(F197),E197*F197,"")</f>
        <v/>
      </c>
      <c r="H197" s="29"/>
      <c r="I197" s="30"/>
      <c r="J197" s="155">
        <v>0</v>
      </c>
    </row>
    <row r="198" spans="1:10" ht="15.75" hidden="1" thickBot="1" x14ac:dyDescent="0.3">
      <c r="A198" s="200"/>
      <c r="B198" s="202"/>
      <c r="C198" s="32"/>
      <c r="D198" s="32"/>
      <c r="E198" s="33"/>
      <c r="F198" s="43" t="s">
        <v>558</v>
      </c>
      <c r="G198" s="31" t="str">
        <f>IF(ISNUMBER(F198),E198*F198,"")</f>
        <v/>
      </c>
      <c r="H198" s="35"/>
      <c r="I198" s="31"/>
      <c r="J198" s="155">
        <v>0</v>
      </c>
    </row>
    <row r="199" spans="1:10" ht="15.75" hidden="1" thickBot="1" x14ac:dyDescent="0.3">
      <c r="A199" s="200"/>
      <c r="B199" s="202"/>
      <c r="C199" s="36" t="s">
        <v>23</v>
      </c>
      <c r="D199" s="36" t="s">
        <v>12</v>
      </c>
      <c r="E199" s="37">
        <v>0.2</v>
      </c>
      <c r="F199" s="31">
        <v>16.729499999999998</v>
      </c>
      <c r="G199" s="34">
        <f>IF(ISNUMBER(F199),E199*F199,"")</f>
        <v>3.3458999999999999</v>
      </c>
      <c r="H199" s="39">
        <f>SUM(G199:G199)</f>
        <v>3.3458999999999999</v>
      </c>
      <c r="I199" s="40"/>
      <c r="J199" s="155">
        <v>0</v>
      </c>
    </row>
    <row r="200" spans="1:10" ht="15.75" hidden="1" thickBot="1" x14ac:dyDescent="0.3">
      <c r="A200" s="201"/>
      <c r="B200" s="188"/>
      <c r="C200" s="36"/>
      <c r="D200" s="36"/>
      <c r="E200" s="37"/>
      <c r="F200" s="31" t="s">
        <v>558</v>
      </c>
      <c r="G200" s="31" t="str">
        <f>IF(ISNUMBER(F200),E200*F200,"")</f>
        <v/>
      </c>
      <c r="H200" s="35"/>
      <c r="I200" s="31"/>
      <c r="J200" s="155">
        <v>0</v>
      </c>
    </row>
    <row r="201" spans="1:10" ht="15.75" hidden="1" thickBot="1" x14ac:dyDescent="0.3">
      <c r="A201" s="180" t="s">
        <v>76</v>
      </c>
      <c r="B201" s="186" t="str">
        <f>INDEX(Orçamentária!A:B,MATCH(Composições!A201,Orçamentária!A:A,0),2)</f>
        <v>Remoção de rodapé/rodabanca de mármore ou granito</v>
      </c>
      <c r="C201" s="41"/>
      <c r="D201" s="26" t="str">
        <f>TRIM(INDEX(Orçamentária!C:C,MATCH(Composições!A201,Orçamentária!A:A,0),1))</f>
        <v>m</v>
      </c>
      <c r="E201" s="27"/>
      <c r="F201" s="42" t="s">
        <v>558</v>
      </c>
      <c r="G201" s="28" t="str">
        <f>IF(ISNUMBER(F201),E201*F201,"")</f>
        <v/>
      </c>
      <c r="H201" s="29"/>
      <c r="I201" s="30"/>
      <c r="J201" s="155">
        <v>0</v>
      </c>
    </row>
    <row r="202" spans="1:10" ht="15.75" hidden="1" thickBot="1" x14ac:dyDescent="0.3">
      <c r="A202" s="200"/>
      <c r="B202" s="202"/>
      <c r="C202" s="32"/>
      <c r="D202" s="32"/>
      <c r="E202" s="33"/>
      <c r="F202" s="43" t="s">
        <v>558</v>
      </c>
      <c r="G202" s="31" t="str">
        <f>IF(ISNUMBER(F202),E202*F202,"")</f>
        <v/>
      </c>
      <c r="H202" s="35"/>
      <c r="I202" s="31"/>
      <c r="J202" s="155">
        <v>0</v>
      </c>
    </row>
    <row r="203" spans="1:10" ht="15.75" hidden="1" thickBot="1" x14ac:dyDescent="0.3">
      <c r="A203" s="200"/>
      <c r="B203" s="202"/>
      <c r="C203" s="36" t="s">
        <v>23</v>
      </c>
      <c r="D203" s="36" t="s">
        <v>12</v>
      </c>
      <c r="E203" s="37">
        <f>0.437*0.2</f>
        <v>8.7400000000000005E-2</v>
      </c>
      <c r="F203" s="31">
        <v>16.729499999999998</v>
      </c>
      <c r="G203" s="34">
        <f>IF(ISNUMBER(F203),E203*F203,"")</f>
        <v>1.4621583</v>
      </c>
      <c r="H203" s="39">
        <f>SUM(G203:G203)</f>
        <v>1.4621583</v>
      </c>
      <c r="I203" s="40"/>
      <c r="J203" s="155">
        <v>0</v>
      </c>
    </row>
    <row r="204" spans="1:10" ht="15.75" hidden="1" thickBot="1" x14ac:dyDescent="0.3">
      <c r="A204" s="200"/>
      <c r="B204" s="202"/>
      <c r="C204" s="36"/>
      <c r="D204" s="36"/>
      <c r="E204" s="37"/>
      <c r="F204" s="31" t="s">
        <v>558</v>
      </c>
      <c r="G204" s="34" t="str">
        <f>IF(ISNUMBER(F204),E204*F204,"")</f>
        <v/>
      </c>
      <c r="H204" s="35"/>
      <c r="I204" s="31"/>
      <c r="J204" s="155">
        <v>0</v>
      </c>
    </row>
    <row r="205" spans="1:10" ht="15.75" hidden="1" thickBot="1" x14ac:dyDescent="0.3">
      <c r="A205" s="180" t="s">
        <v>77</v>
      </c>
      <c r="B205" s="186" t="str">
        <f>INDEX(Orçamentária!A:B,MATCH(Composições!A205,Orçamentária!A:A,0),2)</f>
        <v>Remoção de rodapés de madeira</v>
      </c>
      <c r="C205" s="41"/>
      <c r="D205" s="26" t="str">
        <f>TRIM(INDEX(Orçamentária!C:C,MATCH(Composições!A205,Orçamentária!A:A,0),1))</f>
        <v>m2</v>
      </c>
      <c r="E205" s="27"/>
      <c r="F205" s="42" t="s">
        <v>558</v>
      </c>
      <c r="G205" s="28" t="str">
        <f>IF(ISNUMBER(F205),E205*F205,"")</f>
        <v/>
      </c>
      <c r="H205" s="29"/>
      <c r="I205" s="30"/>
      <c r="J205" s="155">
        <v>0</v>
      </c>
    </row>
    <row r="206" spans="1:10" ht="15.75" hidden="1" thickBot="1" x14ac:dyDescent="0.3">
      <c r="A206" s="200"/>
      <c r="B206" s="202"/>
      <c r="C206" s="32"/>
      <c r="D206" s="32"/>
      <c r="E206" s="33"/>
      <c r="F206" s="43" t="s">
        <v>558</v>
      </c>
      <c r="G206" s="31" t="str">
        <f>IF(ISNUMBER(F206),E206*F206,"")</f>
        <v/>
      </c>
      <c r="H206" s="35"/>
      <c r="I206" s="31"/>
      <c r="J206" s="155">
        <v>0</v>
      </c>
    </row>
    <row r="207" spans="1:10" ht="15.75" hidden="1" thickBot="1" x14ac:dyDescent="0.3">
      <c r="A207" s="200"/>
      <c r="B207" s="202"/>
      <c r="C207" s="36" t="s">
        <v>78</v>
      </c>
      <c r="D207" s="36" t="s">
        <v>12</v>
      </c>
      <c r="E207" s="37">
        <v>0.25</v>
      </c>
      <c r="F207" s="31">
        <v>22.495999999999999</v>
      </c>
      <c r="G207" s="31">
        <f>IF(ISNUMBER(F207),E207*F207,"")</f>
        <v>5.6239999999999997</v>
      </c>
      <c r="H207" s="39">
        <f>SUM(G207:G208)</f>
        <v>6.0422374999999997</v>
      </c>
      <c r="I207" s="40"/>
      <c r="J207" s="155">
        <v>0</v>
      </c>
    </row>
    <row r="208" spans="1:10" ht="15.75" hidden="1" thickBot="1" x14ac:dyDescent="0.3">
      <c r="A208" s="200"/>
      <c r="B208" s="202"/>
      <c r="C208" s="36" t="s">
        <v>23</v>
      </c>
      <c r="D208" s="47" t="s">
        <v>12</v>
      </c>
      <c r="E208" s="37">
        <v>2.5000000000000001E-2</v>
      </c>
      <c r="F208" s="31">
        <v>16.729499999999998</v>
      </c>
      <c r="G208" s="34">
        <f>IF(ISNUMBER(F208),E208*F208,"")</f>
        <v>0.41823749999999998</v>
      </c>
      <c r="H208" s="35"/>
      <c r="I208" s="31"/>
      <c r="J208" s="155">
        <v>0</v>
      </c>
    </row>
    <row r="209" spans="1:10" ht="15.75" hidden="1" thickBot="1" x14ac:dyDescent="0.3">
      <c r="A209" s="201"/>
      <c r="B209" s="188"/>
      <c r="C209" s="36"/>
      <c r="D209" s="36"/>
      <c r="E209" s="37"/>
      <c r="F209" s="31" t="s">
        <v>558</v>
      </c>
      <c r="G209" s="31" t="str">
        <f>IF(ISNUMBER(F209),E209*F209,"")</f>
        <v/>
      </c>
      <c r="H209" s="35"/>
      <c r="I209" s="31"/>
      <c r="J209" s="155">
        <v>0</v>
      </c>
    </row>
    <row r="210" spans="1:10" ht="15.75" hidden="1" thickBot="1" x14ac:dyDescent="0.3">
      <c r="A210" s="180" t="s">
        <v>79</v>
      </c>
      <c r="B210" s="186" t="str">
        <f>INDEX(Orçamentária!A:B,MATCH(Composições!A210,Orçamentária!A:A,0),2)</f>
        <v>Remoção de soleira de mármore ou granito</v>
      </c>
      <c r="C210" s="41"/>
      <c r="D210" s="26" t="str">
        <f>TRIM(INDEX(Orçamentária!C:C,MATCH(Composições!A210,Orçamentária!A:A,0),1))</f>
        <v>m</v>
      </c>
      <c r="E210" s="27"/>
      <c r="F210" s="42" t="s">
        <v>558</v>
      </c>
      <c r="G210" s="28" t="str">
        <f>IF(ISNUMBER(F210),E210*F210,"")</f>
        <v/>
      </c>
      <c r="H210" s="29"/>
      <c r="I210" s="30"/>
      <c r="J210" s="155">
        <v>0</v>
      </c>
    </row>
    <row r="211" spans="1:10" ht="15.75" hidden="1" thickBot="1" x14ac:dyDescent="0.3">
      <c r="A211" s="200"/>
      <c r="B211" s="202"/>
      <c r="C211" s="32"/>
      <c r="D211" s="32"/>
      <c r="E211" s="33"/>
      <c r="F211" s="43" t="s">
        <v>558</v>
      </c>
      <c r="G211" s="31" t="str">
        <f>IF(ISNUMBER(F211),E211*F211,"")</f>
        <v/>
      </c>
      <c r="H211" s="35"/>
      <c r="I211" s="31"/>
      <c r="J211" s="155">
        <v>0</v>
      </c>
    </row>
    <row r="212" spans="1:10" ht="15.75" hidden="1" thickBot="1" x14ac:dyDescent="0.3">
      <c r="A212" s="200"/>
      <c r="B212" s="202"/>
      <c r="C212" s="36" t="s">
        <v>23</v>
      </c>
      <c r="D212" s="36" t="s">
        <v>12</v>
      </c>
      <c r="E212" s="37">
        <v>0.55000000000000004</v>
      </c>
      <c r="F212" s="31">
        <v>16.729499999999998</v>
      </c>
      <c r="G212" s="34">
        <f>IF(ISNUMBER(F212),E212*F212,"")</f>
        <v>9.2012249999999991</v>
      </c>
      <c r="H212" s="39">
        <f>SUM(G212:G212)</f>
        <v>9.2012249999999991</v>
      </c>
      <c r="I212" s="40"/>
      <c r="J212" s="155">
        <v>0</v>
      </c>
    </row>
    <row r="213" spans="1:10" ht="15.75" hidden="1" thickBot="1" x14ac:dyDescent="0.3">
      <c r="A213" s="201"/>
      <c r="B213" s="188"/>
      <c r="C213" s="36"/>
      <c r="D213" s="36"/>
      <c r="E213" s="37"/>
      <c r="F213" s="31" t="s">
        <v>558</v>
      </c>
      <c r="G213" s="31" t="str">
        <f>IF(ISNUMBER(F213),E213*F213,"")</f>
        <v/>
      </c>
      <c r="H213" s="35"/>
      <c r="I213" s="31"/>
      <c r="J213" s="155">
        <v>0</v>
      </c>
    </row>
    <row r="214" spans="1:10" ht="15.75" hidden="1" thickBot="1" x14ac:dyDescent="0.3">
      <c r="A214" s="180" t="s">
        <v>80</v>
      </c>
      <c r="B214" s="186" t="str">
        <f>INDEX(Orçamentária!A:B,MATCH(Composições!A214,Orçamentária!A:A,0),2)</f>
        <v>Remoção de split/fancolete/ACJ (equipamento unitário)</v>
      </c>
      <c r="C214" s="41"/>
      <c r="D214" s="26" t="str">
        <f>TRIM(INDEX(Orçamentária!C:C,MATCH(Composições!A214,Orçamentária!A:A,0),1))</f>
        <v>un</v>
      </c>
      <c r="E214" s="27"/>
      <c r="F214" s="42" t="s">
        <v>558</v>
      </c>
      <c r="G214" s="28" t="str">
        <f>IF(ISNUMBER(F214),E214*F214,"")</f>
        <v/>
      </c>
      <c r="H214" s="29"/>
      <c r="I214" s="30"/>
      <c r="J214" s="155">
        <v>0</v>
      </c>
    </row>
    <row r="215" spans="1:10" ht="15.75" hidden="1" thickBot="1" x14ac:dyDescent="0.3">
      <c r="A215" s="200"/>
      <c r="B215" s="202"/>
      <c r="C215" s="32"/>
      <c r="D215" s="32"/>
      <c r="E215" s="33"/>
      <c r="F215" s="43" t="s">
        <v>558</v>
      </c>
      <c r="G215" s="31" t="str">
        <f>IF(ISNUMBER(F215),E215*F215,"")</f>
        <v/>
      </c>
      <c r="H215" s="35"/>
      <c r="I215" s="31"/>
      <c r="J215" s="155">
        <v>0</v>
      </c>
    </row>
    <row r="216" spans="1:10" ht="15.75" hidden="1" thickBot="1" x14ac:dyDescent="0.3">
      <c r="A216" s="200"/>
      <c r="B216" s="202"/>
      <c r="C216" s="36" t="s">
        <v>81</v>
      </c>
      <c r="D216" s="47" t="s">
        <v>12</v>
      </c>
      <c r="E216" s="37">
        <v>1</v>
      </c>
      <c r="F216" s="31">
        <v>23.730999999999998</v>
      </c>
      <c r="G216" s="31">
        <f>IF(ISNUMBER(F216),E216*F216,"")</f>
        <v>23.730999999999998</v>
      </c>
      <c r="H216" s="39">
        <f>SUM(G216:G217)</f>
        <v>41.628999999999998</v>
      </c>
      <c r="I216" s="40"/>
      <c r="J216" s="155">
        <v>0</v>
      </c>
    </row>
    <row r="217" spans="1:10" ht="15.75" hidden="1" thickBot="1" x14ac:dyDescent="0.3">
      <c r="A217" s="200"/>
      <c r="B217" s="202"/>
      <c r="C217" s="36" t="s">
        <v>52</v>
      </c>
      <c r="D217" s="47" t="s">
        <v>12</v>
      </c>
      <c r="E217" s="37">
        <v>1</v>
      </c>
      <c r="F217" s="31">
        <v>17.898</v>
      </c>
      <c r="G217" s="34">
        <f>IF(ISNUMBER(F217),E217*F217,"")</f>
        <v>17.898</v>
      </c>
      <c r="H217" s="35"/>
      <c r="I217" s="31"/>
      <c r="J217" s="155">
        <v>0</v>
      </c>
    </row>
    <row r="218" spans="1:10" ht="15.75" hidden="1" thickBot="1" x14ac:dyDescent="0.3">
      <c r="A218" s="201"/>
      <c r="B218" s="188"/>
      <c r="C218" s="36"/>
      <c r="D218" s="36"/>
      <c r="E218" s="37"/>
      <c r="F218" s="31" t="s">
        <v>558</v>
      </c>
      <c r="G218" s="31" t="str">
        <f>IF(ISNUMBER(F218),E218*F218,"")</f>
        <v/>
      </c>
      <c r="H218" s="35"/>
      <c r="I218" s="31"/>
      <c r="J218" s="155">
        <v>0</v>
      </c>
    </row>
    <row r="219" spans="1:10" ht="15.75" hidden="1" thickBot="1" x14ac:dyDescent="0.3">
      <c r="A219" s="180" t="s">
        <v>82</v>
      </c>
      <c r="B219" s="186" t="str">
        <f>INDEX(Orçamentária!A:B,MATCH(Composições!A219,Orçamentária!A:A,0),2)</f>
        <v>Remoção de vidro comum / espelho</v>
      </c>
      <c r="C219" s="41"/>
      <c r="D219" s="26" t="str">
        <f>TRIM(INDEX(Orçamentária!C:C,MATCH(Composições!A219,Orçamentária!A:A,0),1))</f>
        <v>m2</v>
      </c>
      <c r="E219" s="27"/>
      <c r="F219" s="42" t="s">
        <v>558</v>
      </c>
      <c r="G219" s="28" t="str">
        <f>IF(ISNUMBER(F219),E219*F219,"")</f>
        <v/>
      </c>
      <c r="H219" s="29"/>
      <c r="I219" s="30"/>
      <c r="J219" s="155">
        <v>0</v>
      </c>
    </row>
    <row r="220" spans="1:10" ht="15.75" hidden="1" thickBot="1" x14ac:dyDescent="0.3">
      <c r="A220" s="200"/>
      <c r="B220" s="202"/>
      <c r="C220" s="32"/>
      <c r="D220" s="32"/>
      <c r="E220" s="33"/>
      <c r="F220" s="43" t="s">
        <v>558</v>
      </c>
      <c r="G220" s="31" t="str">
        <f>IF(ISNUMBER(F220),E220*F220,"")</f>
        <v/>
      </c>
      <c r="H220" s="35"/>
      <c r="I220" s="31"/>
      <c r="J220" s="155">
        <v>0</v>
      </c>
    </row>
    <row r="221" spans="1:10" ht="15.75" hidden="1" thickBot="1" x14ac:dyDescent="0.3">
      <c r="A221" s="200"/>
      <c r="B221" s="202"/>
      <c r="C221" s="36" t="s">
        <v>23</v>
      </c>
      <c r="D221" s="36" t="s">
        <v>12</v>
      </c>
      <c r="E221" s="37">
        <v>0.39</v>
      </c>
      <c r="F221" s="31">
        <v>16.729499999999998</v>
      </c>
      <c r="G221" s="34">
        <f>IF(ISNUMBER(F221),E221*F221,"")</f>
        <v>6.5245049999999996</v>
      </c>
      <c r="H221" s="39">
        <f>SUM(G221:G222)</f>
        <v>14.9777855</v>
      </c>
      <c r="I221" s="40"/>
      <c r="J221" s="155">
        <v>0</v>
      </c>
    </row>
    <row r="222" spans="1:10" ht="15.75" hidden="1" thickBot="1" x14ac:dyDescent="0.3">
      <c r="A222" s="200"/>
      <c r="B222" s="202"/>
      <c r="C222" s="36" t="s">
        <v>68</v>
      </c>
      <c r="D222" s="36" t="s">
        <v>12</v>
      </c>
      <c r="E222" s="37">
        <v>0.40100000000000002</v>
      </c>
      <c r="F222" s="31">
        <v>21.080500000000001</v>
      </c>
      <c r="G222" s="34">
        <f>IF(ISNUMBER(F222),E222*F222,"")</f>
        <v>8.4532805</v>
      </c>
      <c r="H222" s="35"/>
      <c r="I222" s="31"/>
      <c r="J222" s="155">
        <v>0</v>
      </c>
    </row>
    <row r="223" spans="1:10" ht="15.75" hidden="1" thickBot="1" x14ac:dyDescent="0.3">
      <c r="A223" s="201"/>
      <c r="B223" s="188"/>
      <c r="C223" s="36"/>
      <c r="D223" s="36"/>
      <c r="E223" s="37"/>
      <c r="F223" s="31" t="s">
        <v>558</v>
      </c>
      <c r="G223" s="31" t="str">
        <f>IF(ISNUMBER(F223),E223*F223,"")</f>
        <v/>
      </c>
      <c r="H223" s="35"/>
      <c r="I223" s="31"/>
      <c r="J223" s="155">
        <v>0</v>
      </c>
    </row>
    <row r="224" spans="1:10" ht="15.75" thickBot="1" x14ac:dyDescent="0.3">
      <c r="A224" s="208" t="s">
        <v>83</v>
      </c>
      <c r="B224" s="186" t="str">
        <f>INDEX(Orçamentária!A:B,MATCH(Composições!A224,Orçamentária!A:A,0),2)</f>
        <v>Retirada de entulhos</v>
      </c>
      <c r="C224" s="41"/>
      <c r="D224" s="26" t="str">
        <f>TRIM(INDEX(Orçamentária!C:C,MATCH(Composições!A224,Orçamentária!A:A,0),1))</f>
        <v>m3</v>
      </c>
      <c r="E224" s="27"/>
      <c r="F224" s="42" t="s">
        <v>558</v>
      </c>
      <c r="G224" s="28" t="str">
        <f>IF(ISNUMBER(F224),E224*F224,"")</f>
        <v/>
      </c>
      <c r="H224" s="29"/>
      <c r="I224" s="30"/>
      <c r="J224" s="155">
        <v>30</v>
      </c>
    </row>
    <row r="225" spans="1:10" x14ac:dyDescent="0.25">
      <c r="A225" s="209"/>
      <c r="B225" s="202"/>
      <c r="C225" s="32"/>
      <c r="D225" s="32"/>
      <c r="E225" s="33"/>
      <c r="F225" s="43" t="s">
        <v>558</v>
      </c>
      <c r="G225" s="31" t="str">
        <f>IF(ISNUMBER(F225),E225*F225,"")</f>
        <v/>
      </c>
      <c r="H225" s="35"/>
      <c r="I225" s="31"/>
      <c r="J225" s="155">
        <v>30</v>
      </c>
    </row>
    <row r="226" spans="1:10" x14ac:dyDescent="0.25">
      <c r="A226" s="209"/>
      <c r="B226" s="202"/>
      <c r="C226" s="36" t="s">
        <v>23</v>
      </c>
      <c r="D226" s="36" t="s">
        <v>12</v>
      </c>
      <c r="E226" s="37">
        <v>1</v>
      </c>
      <c r="F226" s="31">
        <v>16.729499999999998</v>
      </c>
      <c r="G226" s="34">
        <f>IF(ISNUMBER(F226),E226*F226,"")</f>
        <v>16.729499999999998</v>
      </c>
      <c r="H226" s="39">
        <f>SUM(G226:G226)</f>
        <v>16.729499999999998</v>
      </c>
      <c r="I226" s="40"/>
      <c r="J226" s="155">
        <v>30</v>
      </c>
    </row>
    <row r="227" spans="1:10" ht="15.75" thickBot="1" x14ac:dyDescent="0.3">
      <c r="A227" s="209"/>
      <c r="B227" s="202"/>
      <c r="C227" s="36"/>
      <c r="D227" s="36"/>
      <c r="E227" s="37"/>
      <c r="F227" s="31" t="s">
        <v>558</v>
      </c>
      <c r="G227" s="31" t="str">
        <f>IF(ISNUMBER(F227),E227*F227,"")</f>
        <v/>
      </c>
      <c r="H227" s="35"/>
      <c r="I227" s="31"/>
      <c r="J227" s="155">
        <v>30</v>
      </c>
    </row>
    <row r="228" spans="1:10" ht="15.75" hidden="1" thickBot="1" x14ac:dyDescent="0.3">
      <c r="A228" s="208" t="s">
        <v>84</v>
      </c>
      <c r="B228" s="186" t="str">
        <f>INDEX(Orçamentária!A:B,MATCH(Composições!A228,Orçamentária!A:A,0),2)</f>
        <v>Andaime fachadeiro</v>
      </c>
      <c r="C228" s="41"/>
      <c r="D228" s="26" t="str">
        <f>TRIM(INDEX(Orçamentária!C:C,MATCH(Composições!A228,Orçamentária!A:A,0),1))</f>
        <v>m2 x mês</v>
      </c>
      <c r="E228" s="27"/>
      <c r="F228" s="42" t="s">
        <v>558</v>
      </c>
      <c r="G228" s="28" t="str">
        <f>IF(ISNUMBER(F228),E228*F228,"")</f>
        <v/>
      </c>
      <c r="H228" s="29"/>
      <c r="I228" s="30"/>
      <c r="J228" s="155">
        <v>0</v>
      </c>
    </row>
    <row r="229" spans="1:10" ht="15.75" hidden="1" thickBot="1" x14ac:dyDescent="0.3">
      <c r="A229" s="209"/>
      <c r="B229" s="202"/>
      <c r="C229" s="32"/>
      <c r="D229" s="32"/>
      <c r="E229" s="33"/>
      <c r="F229" s="43" t="s">
        <v>558</v>
      </c>
      <c r="G229" s="31" t="str">
        <f>IF(ISNUMBER(F229),E229*F229,"")</f>
        <v/>
      </c>
      <c r="H229" s="35"/>
      <c r="I229" s="31"/>
      <c r="J229" s="155">
        <v>0</v>
      </c>
    </row>
    <row r="230" spans="1:10" ht="39" hidden="1" thickBot="1" x14ac:dyDescent="0.3">
      <c r="A230" s="209"/>
      <c r="B230" s="202"/>
      <c r="C230" s="36" t="s">
        <v>85</v>
      </c>
      <c r="D230" s="36" t="s">
        <v>86</v>
      </c>
      <c r="E230" s="37">
        <v>1</v>
      </c>
      <c r="F230" s="31">
        <v>4.2655000000000003</v>
      </c>
      <c r="G230" s="34">
        <f>IF(ISNUMBER(F230),E230*F230,"")</f>
        <v>4.2655000000000003</v>
      </c>
      <c r="H230" s="39">
        <f>SUM(G230:G230)</f>
        <v>4.2655000000000003</v>
      </c>
      <c r="I230" s="40"/>
      <c r="J230" s="155">
        <v>0</v>
      </c>
    </row>
    <row r="231" spans="1:10" ht="15.75" hidden="1" thickBot="1" x14ac:dyDescent="0.3">
      <c r="A231" s="209"/>
      <c r="B231" s="202"/>
      <c r="C231" s="36"/>
      <c r="D231" s="36"/>
      <c r="E231" s="37"/>
      <c r="F231" s="31" t="s">
        <v>558</v>
      </c>
      <c r="G231" s="31" t="str">
        <f>IF(ISNUMBER(F231),E231*F231,"")</f>
        <v/>
      </c>
      <c r="H231" s="35"/>
      <c r="I231" s="31"/>
      <c r="J231" s="155">
        <v>0</v>
      </c>
    </row>
    <row r="232" spans="1:10" ht="15.75" hidden="1" thickBot="1" x14ac:dyDescent="0.3">
      <c r="A232" s="180" t="s">
        <v>87</v>
      </c>
      <c r="B232" s="186" t="str">
        <f>INDEX(Orçamentária!A:B,MATCH(Composições!A232,Orçamentária!A:A,0),2)</f>
        <v>Andaime tubular (aluguel/mês)</v>
      </c>
      <c r="C232" s="41"/>
      <c r="D232" s="26" t="str">
        <f>TRIM(INDEX(Orçamentária!C:C,MATCH(Composições!A232,Orçamentária!A:A,0),1))</f>
        <v>m x mês</v>
      </c>
      <c r="E232" s="27"/>
      <c r="F232" s="42" t="s">
        <v>558</v>
      </c>
      <c r="G232" s="28" t="str">
        <f>IF(ISNUMBER(F232),E232*F232,"")</f>
        <v/>
      </c>
      <c r="H232" s="29"/>
      <c r="I232" s="30"/>
      <c r="J232" s="155">
        <v>0</v>
      </c>
    </row>
    <row r="233" spans="1:10" ht="15.75" hidden="1" thickBot="1" x14ac:dyDescent="0.3">
      <c r="A233" s="200"/>
      <c r="B233" s="202"/>
      <c r="C233" s="32"/>
      <c r="D233" s="32"/>
      <c r="E233" s="33"/>
      <c r="F233" s="43" t="s">
        <v>558</v>
      </c>
      <c r="G233" s="31" t="str">
        <f>IF(ISNUMBER(F233),E233*F233,"")</f>
        <v/>
      </c>
      <c r="H233" s="35"/>
      <c r="I233" s="31"/>
      <c r="J233" s="155">
        <v>0</v>
      </c>
    </row>
    <row r="234" spans="1:10" ht="39" hidden="1" thickBot="1" x14ac:dyDescent="0.3">
      <c r="A234" s="200"/>
      <c r="B234" s="202"/>
      <c r="C234" s="36" t="s">
        <v>3818</v>
      </c>
      <c r="D234" s="47" t="s">
        <v>88</v>
      </c>
      <c r="E234" s="37">
        <v>1</v>
      </c>
      <c r="F234" s="31">
        <v>12.824999999999999</v>
      </c>
      <c r="G234" s="31">
        <f>IF(ISNUMBER(F234),E234*F234,"")</f>
        <v>12.824999999999999</v>
      </c>
      <c r="H234" s="39">
        <f>SUM(G234:G234)</f>
        <v>12.824999999999999</v>
      </c>
      <c r="I234" s="40"/>
      <c r="J234" s="155">
        <v>0</v>
      </c>
    </row>
    <row r="235" spans="1:10" ht="15.75" hidden="1" thickBot="1" x14ac:dyDescent="0.3">
      <c r="A235" s="201"/>
      <c r="B235" s="188"/>
      <c r="C235" s="36"/>
      <c r="D235" s="36"/>
      <c r="E235" s="37"/>
      <c r="F235" s="31" t="s">
        <v>558</v>
      </c>
      <c r="G235" s="31" t="str">
        <f>IF(ISNUMBER(F235),E235*F235,"")</f>
        <v/>
      </c>
      <c r="H235" s="35"/>
      <c r="I235" s="31"/>
      <c r="J235" s="155">
        <v>0</v>
      </c>
    </row>
    <row r="236" spans="1:10" ht="15.75" hidden="1" thickBot="1" x14ac:dyDescent="0.3">
      <c r="A236" s="208" t="s">
        <v>89</v>
      </c>
      <c r="B236" s="186" t="str">
        <f>INDEX(Orçamentária!A:B,MATCH(Composições!A236,Orçamentária!A:A,0),2)</f>
        <v>Corda de poliamida 12 mm tipo bombeiro, para trabalho em altura</v>
      </c>
      <c r="C236" s="41"/>
      <c r="D236" s="26" t="str">
        <f>TRIM(INDEX(Orçamentária!C:C,MATCH(Composições!A236,Orçamentária!A:A,0),1))</f>
        <v>m</v>
      </c>
      <c r="E236" s="27"/>
      <c r="F236" s="42" t="s">
        <v>558</v>
      </c>
      <c r="G236" s="28" t="str">
        <f>IF(ISNUMBER(F236),E236*F236,"")</f>
        <v/>
      </c>
      <c r="H236" s="29"/>
      <c r="I236" s="30"/>
      <c r="J236" s="155">
        <v>0</v>
      </c>
    </row>
    <row r="237" spans="1:10" ht="15.75" hidden="1" thickBot="1" x14ac:dyDescent="0.3">
      <c r="A237" s="209"/>
      <c r="B237" s="202"/>
      <c r="C237" s="32"/>
      <c r="D237" s="32"/>
      <c r="E237" s="33"/>
      <c r="F237" s="43" t="s">
        <v>558</v>
      </c>
      <c r="G237" s="31" t="str">
        <f>IF(ISNUMBER(F237),E237*F237,"")</f>
        <v/>
      </c>
      <c r="H237" s="35"/>
      <c r="I237" s="31"/>
      <c r="J237" s="155">
        <v>0</v>
      </c>
    </row>
    <row r="238" spans="1:10" ht="26.25" hidden="1" thickBot="1" x14ac:dyDescent="0.3">
      <c r="A238" s="209"/>
      <c r="B238" s="202"/>
      <c r="C238" s="36" t="s">
        <v>90</v>
      </c>
      <c r="D238" s="36" t="s">
        <v>91</v>
      </c>
      <c r="E238" s="37">
        <v>0.01</v>
      </c>
      <c r="F238" s="31">
        <v>561.19349999999997</v>
      </c>
      <c r="G238" s="34">
        <f>IF(ISNUMBER(F238),E238*F238,"")</f>
        <v>5.6119349999999999</v>
      </c>
      <c r="H238" s="39">
        <f>SUM(G238:G238)</f>
        <v>5.6119349999999999</v>
      </c>
      <c r="I238" s="40"/>
      <c r="J238" s="155">
        <v>0</v>
      </c>
    </row>
    <row r="239" spans="1:10" ht="15.75" hidden="1" thickBot="1" x14ac:dyDescent="0.3">
      <c r="A239" s="209"/>
      <c r="B239" s="202"/>
      <c r="C239" s="36"/>
      <c r="D239" s="36"/>
      <c r="E239" s="37"/>
      <c r="F239" s="31" t="s">
        <v>558</v>
      </c>
      <c r="G239" s="31" t="str">
        <f>IF(ISNUMBER(F239),E239*F239,"")</f>
        <v/>
      </c>
      <c r="H239" s="35"/>
      <c r="I239" s="31"/>
      <c r="J239" s="155">
        <v>0</v>
      </c>
    </row>
    <row r="240" spans="1:10" ht="15.75" hidden="1" thickBot="1" x14ac:dyDescent="0.3">
      <c r="A240" s="180" t="s">
        <v>92</v>
      </c>
      <c r="B240" s="186" t="str">
        <f>INDEX(Orçamentária!A:B,MATCH(Composições!A240,Orçamentária!A:A,0),2)</f>
        <v>Isolamento de obra com tela plástica com malha de 5mm e estrutura de madeira pontaleteada</v>
      </c>
      <c r="C240" s="41"/>
      <c r="D240" s="26" t="str">
        <f>TRIM(INDEX(Orçamentária!C:C,MATCH(Composições!A240,Orçamentária!A:A,0),1))</f>
        <v>m2</v>
      </c>
      <c r="E240" s="27"/>
      <c r="F240" s="49" t="s">
        <v>558</v>
      </c>
      <c r="G240" s="28" t="str">
        <f>IF(ISNUMBER(F240),E240*F240,"")</f>
        <v/>
      </c>
      <c r="H240" s="29"/>
      <c r="I240" s="30"/>
      <c r="J240" s="155">
        <v>0</v>
      </c>
    </row>
    <row r="241" spans="1:10" ht="15.75" hidden="1" thickBot="1" x14ac:dyDescent="0.3">
      <c r="A241" s="200"/>
      <c r="B241" s="202"/>
      <c r="C241" s="32"/>
      <c r="D241" s="32"/>
      <c r="E241" s="33"/>
      <c r="F241" s="31" t="s">
        <v>558</v>
      </c>
      <c r="G241" s="31" t="str">
        <f>IF(ISNUMBER(F241),E241*F241,"")</f>
        <v/>
      </c>
      <c r="H241" s="35"/>
      <c r="I241" s="31"/>
      <c r="J241" s="155">
        <v>0</v>
      </c>
    </row>
    <row r="242" spans="1:10" ht="15.75" hidden="1" thickBot="1" x14ac:dyDescent="0.3">
      <c r="A242" s="200"/>
      <c r="B242" s="202"/>
      <c r="C242" s="36" t="s">
        <v>23</v>
      </c>
      <c r="D242" s="36" t="s">
        <v>12</v>
      </c>
      <c r="E242" s="37">
        <v>0.15</v>
      </c>
      <c r="F242" s="31">
        <v>16.729499999999998</v>
      </c>
      <c r="G242" s="31">
        <f>IF(ISNUMBER(F242),E242*F242,"")</f>
        <v>2.5094249999999998</v>
      </c>
      <c r="H242" s="39">
        <f>SUM(G242:G246)</f>
        <v>23.664974999999998</v>
      </c>
      <c r="I242" s="40"/>
      <c r="J242" s="155">
        <v>0</v>
      </c>
    </row>
    <row r="243" spans="1:10" ht="15.75" hidden="1" thickBot="1" x14ac:dyDescent="0.3">
      <c r="A243" s="200"/>
      <c r="B243" s="202"/>
      <c r="C243" s="36" t="s">
        <v>78</v>
      </c>
      <c r="D243" s="36" t="s">
        <v>12</v>
      </c>
      <c r="E243" s="37">
        <v>0.3</v>
      </c>
      <c r="F243" s="31">
        <v>22.495999999999999</v>
      </c>
      <c r="G243" s="31">
        <f>IF(ISNUMBER(F243),E243*F243,"")</f>
        <v>6.7487999999999992</v>
      </c>
      <c r="H243" s="35"/>
      <c r="I243" s="31"/>
      <c r="J243" s="155">
        <v>0</v>
      </c>
    </row>
    <row r="244" spans="1:10" ht="26.25" hidden="1" thickBot="1" x14ac:dyDescent="0.3">
      <c r="A244" s="200"/>
      <c r="B244" s="202"/>
      <c r="C244" s="36" t="s">
        <v>3792</v>
      </c>
      <c r="D244" s="36" t="s">
        <v>93</v>
      </c>
      <c r="E244" s="37">
        <v>1.5</v>
      </c>
      <c r="F244" s="34">
        <v>6.8874999999999993</v>
      </c>
      <c r="G244" s="31">
        <f>IF(ISNUMBER(F244),E244*F244,"")</f>
        <v>10.331249999999999</v>
      </c>
      <c r="H244" s="35"/>
      <c r="I244" s="31"/>
      <c r="J244" s="155">
        <v>0</v>
      </c>
    </row>
    <row r="245" spans="1:10" ht="15.75" hidden="1" thickBot="1" x14ac:dyDescent="0.3">
      <c r="A245" s="200"/>
      <c r="B245" s="202"/>
      <c r="C245" s="36" t="s">
        <v>94</v>
      </c>
      <c r="D245" s="36" t="s">
        <v>42</v>
      </c>
      <c r="E245" s="37">
        <v>0.1</v>
      </c>
      <c r="F245" s="34">
        <v>18.904999999999998</v>
      </c>
      <c r="G245" s="31">
        <f>IF(ISNUMBER(F245),E245*F245,"")</f>
        <v>1.8904999999999998</v>
      </c>
      <c r="H245" s="35"/>
      <c r="I245" s="31"/>
      <c r="J245" s="155">
        <v>0</v>
      </c>
    </row>
    <row r="246" spans="1:10" ht="26.25" hidden="1" thickBot="1" x14ac:dyDescent="0.3">
      <c r="A246" s="200"/>
      <c r="B246" s="202"/>
      <c r="C246" s="36" t="s">
        <v>3460</v>
      </c>
      <c r="D246" s="36" t="s">
        <v>93</v>
      </c>
      <c r="E246" s="37">
        <v>1.1499999999999999</v>
      </c>
      <c r="F246" s="34">
        <v>1.9</v>
      </c>
      <c r="G246" s="31">
        <f>IF(ISNUMBER(F246),E246*F246,"")</f>
        <v>2.1849999999999996</v>
      </c>
      <c r="H246" s="35"/>
      <c r="I246" s="31"/>
      <c r="J246" s="155">
        <v>0</v>
      </c>
    </row>
    <row r="247" spans="1:10" ht="15.75" hidden="1" thickBot="1" x14ac:dyDescent="0.3">
      <c r="A247" s="201"/>
      <c r="B247" s="188"/>
      <c r="C247" s="36"/>
      <c r="D247" s="36"/>
      <c r="E247" s="37"/>
      <c r="F247" s="31" t="s">
        <v>558</v>
      </c>
      <c r="G247" s="31" t="str">
        <f>IF(ISNUMBER(F247),E247*F247,"")</f>
        <v/>
      </c>
      <c r="H247" s="35"/>
      <c r="I247" s="31"/>
      <c r="J247" s="155">
        <v>0</v>
      </c>
    </row>
    <row r="248" spans="1:10" ht="15.75" hidden="1" thickBot="1" x14ac:dyDescent="0.3">
      <c r="A248" s="180" t="s">
        <v>96</v>
      </c>
      <c r="B248" s="186" t="str">
        <f>INDEX(Orçamentária!A:B,MATCH(Composições!A248,Orçamentária!A:A,0),2)</f>
        <v>Tapume</v>
      </c>
      <c r="C248" s="41"/>
      <c r="D248" s="26" t="str">
        <f>TRIM(INDEX(Orçamentária!C:C,MATCH(Composições!A248,Orçamentária!A:A,0),1))</f>
        <v>m2</v>
      </c>
      <c r="E248" s="27"/>
      <c r="F248" s="42" t="s">
        <v>558</v>
      </c>
      <c r="G248" s="28" t="str">
        <f>IF(ISNUMBER(F248),E248*F248,"")</f>
        <v/>
      </c>
      <c r="H248" s="29"/>
      <c r="I248" s="30"/>
      <c r="J248" s="155">
        <v>0</v>
      </c>
    </row>
    <row r="249" spans="1:10" ht="15.75" hidden="1" thickBot="1" x14ac:dyDescent="0.3">
      <c r="A249" s="200"/>
      <c r="B249" s="202"/>
      <c r="C249" s="32"/>
      <c r="D249" s="32"/>
      <c r="E249" s="33"/>
      <c r="F249" s="43" t="s">
        <v>558</v>
      </c>
      <c r="G249" s="31" t="str">
        <f>IF(ISNUMBER(F249),E249*F249,"")</f>
        <v/>
      </c>
      <c r="H249" s="35"/>
      <c r="I249" s="31"/>
      <c r="J249" s="155">
        <v>0</v>
      </c>
    </row>
    <row r="250" spans="1:10" ht="15.75" hidden="1" thickBot="1" x14ac:dyDescent="0.3">
      <c r="A250" s="200"/>
      <c r="B250" s="202"/>
      <c r="C250" s="36" t="s">
        <v>78</v>
      </c>
      <c r="D250" s="36" t="s">
        <v>12</v>
      </c>
      <c r="E250" s="37">
        <v>0.4</v>
      </c>
      <c r="F250" s="31">
        <v>22.495999999999999</v>
      </c>
      <c r="G250" s="31">
        <f>IF(ISNUMBER(F250),E250*F250,"")</f>
        <v>8.9984000000000002</v>
      </c>
      <c r="H250" s="39">
        <f>SUM(G250:G261)</f>
        <v>64.970414500000004</v>
      </c>
      <c r="I250" s="40"/>
      <c r="J250" s="155">
        <v>0</v>
      </c>
    </row>
    <row r="251" spans="1:10" ht="15.75" hidden="1" thickBot="1" x14ac:dyDescent="0.3">
      <c r="A251" s="200"/>
      <c r="B251" s="202"/>
      <c r="C251" s="36" t="s">
        <v>23</v>
      </c>
      <c r="D251" s="36" t="s">
        <v>12</v>
      </c>
      <c r="E251" s="37">
        <v>0.4</v>
      </c>
      <c r="F251" s="31">
        <v>16.729499999999998</v>
      </c>
      <c r="G251" s="31">
        <f>IF(ISNUMBER(F251),E251*F251,"")</f>
        <v>6.6917999999999997</v>
      </c>
      <c r="H251" s="35"/>
      <c r="I251" s="31"/>
      <c r="J251" s="155">
        <v>0</v>
      </c>
    </row>
    <row r="252" spans="1:10" ht="15.75" hidden="1" thickBot="1" x14ac:dyDescent="0.3">
      <c r="A252" s="200"/>
      <c r="B252" s="202"/>
      <c r="C252" s="36" t="s">
        <v>97</v>
      </c>
      <c r="D252" s="36" t="s">
        <v>95</v>
      </c>
      <c r="E252" s="37">
        <v>1.1000000000000001</v>
      </c>
      <c r="F252" s="31">
        <v>0</v>
      </c>
      <c r="G252" s="31">
        <f>IF(ISNUMBER(F252),E252*F252,"")</f>
        <v>0</v>
      </c>
      <c r="H252" s="35"/>
      <c r="I252" s="31"/>
      <c r="J252" s="155">
        <v>0</v>
      </c>
    </row>
    <row r="253" spans="1:10" ht="26.25" hidden="1" thickBot="1" x14ac:dyDescent="0.3">
      <c r="A253" s="200"/>
      <c r="B253" s="202"/>
      <c r="C253" s="36" t="s">
        <v>3792</v>
      </c>
      <c r="D253" s="36" t="s">
        <v>93</v>
      </c>
      <c r="E253" s="37">
        <v>1.6</v>
      </c>
      <c r="F253" s="34">
        <v>6.8874999999999993</v>
      </c>
      <c r="G253" s="31">
        <f>IF(ISNUMBER(F253),E253*F253,"")</f>
        <v>11.02</v>
      </c>
      <c r="H253" s="35"/>
      <c r="I253" s="31"/>
      <c r="J253" s="155">
        <v>0</v>
      </c>
    </row>
    <row r="254" spans="1:10" ht="26.25" hidden="1" thickBot="1" x14ac:dyDescent="0.3">
      <c r="A254" s="200"/>
      <c r="B254" s="202"/>
      <c r="C254" s="36" t="s">
        <v>3842</v>
      </c>
      <c r="D254" s="36" t="s">
        <v>93</v>
      </c>
      <c r="E254" s="37">
        <v>1.65</v>
      </c>
      <c r="F254" s="34">
        <v>8.3409999999999993</v>
      </c>
      <c r="G254" s="31">
        <f>IF(ISNUMBER(F254),E254*F254,"")</f>
        <v>13.762649999999999</v>
      </c>
      <c r="H254" s="35"/>
      <c r="I254" s="31"/>
      <c r="J254" s="155">
        <v>0</v>
      </c>
    </row>
    <row r="255" spans="1:10" ht="26.25" hidden="1" thickBot="1" x14ac:dyDescent="0.3">
      <c r="A255" s="200"/>
      <c r="B255" s="202"/>
      <c r="C255" s="36" t="s">
        <v>3845</v>
      </c>
      <c r="D255" s="36" t="s">
        <v>93</v>
      </c>
      <c r="E255" s="37">
        <v>0.5</v>
      </c>
      <c r="F255" s="34">
        <v>24.386500000000002</v>
      </c>
      <c r="G255" s="31">
        <f>IF(ISNUMBER(F255),E255*F255,"")</f>
        <v>12.193250000000001</v>
      </c>
      <c r="H255" s="35"/>
      <c r="I255" s="31"/>
      <c r="J255" s="155">
        <v>0</v>
      </c>
    </row>
    <row r="256" spans="1:10" ht="15.75" hidden="1" thickBot="1" x14ac:dyDescent="0.3">
      <c r="A256" s="200"/>
      <c r="B256" s="202"/>
      <c r="C256" s="36" t="s">
        <v>99</v>
      </c>
      <c r="D256" s="36" t="s">
        <v>42</v>
      </c>
      <c r="E256" s="37">
        <v>0.1</v>
      </c>
      <c r="F256" s="34">
        <v>19.227999999999998</v>
      </c>
      <c r="G256" s="31">
        <f>IF(ISNUMBER(F256),E256*F256,"")</f>
        <v>1.9227999999999998</v>
      </c>
      <c r="H256" s="35"/>
      <c r="I256" s="31"/>
      <c r="J256" s="155">
        <v>0</v>
      </c>
    </row>
    <row r="257" spans="1:10" ht="15.75" hidden="1" thickBot="1" x14ac:dyDescent="0.3">
      <c r="A257" s="200"/>
      <c r="B257" s="202"/>
      <c r="C257" s="36" t="s">
        <v>100</v>
      </c>
      <c r="D257" s="36" t="s">
        <v>12</v>
      </c>
      <c r="E257" s="37">
        <v>1.5E-3</v>
      </c>
      <c r="F257" s="34">
        <v>18.943000000000001</v>
      </c>
      <c r="G257" s="31">
        <f>IF(ISNUMBER(F257),E257*F257,"")</f>
        <v>2.8414500000000002E-2</v>
      </c>
      <c r="H257" s="35"/>
      <c r="I257" s="31"/>
      <c r="J257" s="155">
        <v>0</v>
      </c>
    </row>
    <row r="258" spans="1:10" ht="15.75" hidden="1" thickBot="1" x14ac:dyDescent="0.3">
      <c r="A258" s="200"/>
      <c r="B258" s="202"/>
      <c r="C258" s="36" t="s">
        <v>101</v>
      </c>
      <c r="D258" s="36" t="s">
        <v>12</v>
      </c>
      <c r="E258" s="37">
        <v>0.4</v>
      </c>
      <c r="F258" s="34">
        <v>23.645499999999998</v>
      </c>
      <c r="G258" s="31">
        <f>IF(ISNUMBER(F258),E258*F258,"")</f>
        <v>9.4581999999999997</v>
      </c>
      <c r="H258" s="35"/>
      <c r="I258" s="31"/>
      <c r="J258" s="155">
        <v>0</v>
      </c>
    </row>
    <row r="259" spans="1:10" ht="15.75" hidden="1" thickBot="1" x14ac:dyDescent="0.3">
      <c r="A259" s="200"/>
      <c r="B259" s="202"/>
      <c r="C259" s="36" t="s">
        <v>102</v>
      </c>
      <c r="D259" s="36" t="s">
        <v>103</v>
      </c>
      <c r="E259" s="37">
        <v>2.2499999999999999E-2</v>
      </c>
      <c r="F259" s="34">
        <v>0</v>
      </c>
      <c r="G259" s="31">
        <f>IF(ISNUMBER(F259),E259*F259,"")</f>
        <v>0</v>
      </c>
      <c r="H259" s="35"/>
      <c r="I259" s="31"/>
      <c r="J259" s="155">
        <v>0</v>
      </c>
    </row>
    <row r="260" spans="1:10" ht="15.75" hidden="1" thickBot="1" x14ac:dyDescent="0.3">
      <c r="A260" s="200"/>
      <c r="B260" s="202"/>
      <c r="C260" s="36" t="s">
        <v>104</v>
      </c>
      <c r="D260" s="36" t="s">
        <v>42</v>
      </c>
      <c r="E260" s="37">
        <v>0.6</v>
      </c>
      <c r="F260" s="34">
        <v>1.4915</v>
      </c>
      <c r="G260" s="31">
        <f>IF(ISNUMBER(F260),E260*F260,"")</f>
        <v>0.89490000000000003</v>
      </c>
      <c r="H260" s="35"/>
      <c r="I260" s="31"/>
      <c r="J260" s="155">
        <v>0</v>
      </c>
    </row>
    <row r="261" spans="1:10" ht="15.75" hidden="1" thickBot="1" x14ac:dyDescent="0.3">
      <c r="A261" s="200"/>
      <c r="B261" s="202"/>
      <c r="C261" s="36" t="s">
        <v>105</v>
      </c>
      <c r="D261" s="36" t="s">
        <v>42</v>
      </c>
      <c r="E261" s="37">
        <v>1.4999999999999999E-2</v>
      </c>
      <c r="F261" s="34">
        <v>0</v>
      </c>
      <c r="G261" s="31">
        <f>IF(ISNUMBER(F261),E261*F261,"")</f>
        <v>0</v>
      </c>
      <c r="H261" s="35"/>
      <c r="I261" s="31"/>
      <c r="J261" s="155">
        <v>0</v>
      </c>
    </row>
    <row r="262" spans="1:10" ht="15.75" hidden="1" thickBot="1" x14ac:dyDescent="0.3">
      <c r="A262" s="201"/>
      <c r="B262" s="188"/>
      <c r="C262" s="36"/>
      <c r="D262" s="36"/>
      <c r="E262" s="37"/>
      <c r="F262" s="31" t="s">
        <v>558</v>
      </c>
      <c r="G262" s="31" t="str">
        <f>IF(ISNUMBER(F262),E262*F262,"")</f>
        <v/>
      </c>
      <c r="H262" s="35"/>
      <c r="I262" s="31"/>
      <c r="J262" s="155">
        <v>0</v>
      </c>
    </row>
    <row r="263" spans="1:10" ht="15.75" thickBot="1" x14ac:dyDescent="0.3">
      <c r="A263" s="180" t="s">
        <v>106</v>
      </c>
      <c r="B263" s="186" t="str">
        <f>INDEX(Orçamentária!A:B,MATCH(Composições!A263,Orçamentária!A:A,0),2)</f>
        <v>Limpeza final</v>
      </c>
      <c r="C263" s="41"/>
      <c r="D263" s="26" t="str">
        <f>TRIM(INDEX(Orçamentária!C:C,MATCH(Composições!A263,Orçamentária!A:A,0),1))</f>
        <v>m2</v>
      </c>
      <c r="E263" s="27"/>
      <c r="F263" s="42" t="s">
        <v>558</v>
      </c>
      <c r="G263" s="28" t="str">
        <f>IF(ISNUMBER(F263),E263*F263,"")</f>
        <v/>
      </c>
      <c r="H263" s="29"/>
      <c r="I263" s="30"/>
      <c r="J263" s="155">
        <v>1600</v>
      </c>
    </row>
    <row r="264" spans="1:10" x14ac:dyDescent="0.25">
      <c r="A264" s="200"/>
      <c r="B264" s="202"/>
      <c r="C264" s="32"/>
      <c r="D264" s="32"/>
      <c r="E264" s="33"/>
      <c r="F264" s="43" t="s">
        <v>558</v>
      </c>
      <c r="G264" s="31" t="str">
        <f>IF(ISNUMBER(F264),E264*F264,"")</f>
        <v/>
      </c>
      <c r="H264" s="35"/>
      <c r="I264" s="31"/>
      <c r="J264" s="155">
        <v>1600</v>
      </c>
    </row>
    <row r="265" spans="1:10" x14ac:dyDescent="0.25">
      <c r="A265" s="200"/>
      <c r="B265" s="202"/>
      <c r="C265" s="36" t="s">
        <v>23</v>
      </c>
      <c r="D265" s="50" t="s">
        <v>12</v>
      </c>
      <c r="E265" s="37">
        <v>2.5000000000000001E-2</v>
      </c>
      <c r="F265" s="31">
        <v>16.729499999999998</v>
      </c>
      <c r="G265" s="31">
        <f>IF(ISNUMBER(F265),E265*F265,"")</f>
        <v>0.41823749999999998</v>
      </c>
      <c r="H265" s="39">
        <f>SUM(G265:G266)</f>
        <v>2.0409989999999998</v>
      </c>
      <c r="I265" s="40"/>
      <c r="J265" s="155">
        <v>1600</v>
      </c>
    </row>
    <row r="266" spans="1:10" x14ac:dyDescent="0.25">
      <c r="A266" s="200"/>
      <c r="B266" s="202"/>
      <c r="C266" s="36" t="s">
        <v>23</v>
      </c>
      <c r="D266" s="50" t="s">
        <v>12</v>
      </c>
      <c r="E266" s="37">
        <v>9.7000000000000003E-2</v>
      </c>
      <c r="F266" s="31">
        <v>16.729499999999998</v>
      </c>
      <c r="G266" s="31">
        <f>IF(ISNUMBER(F266),E266*F266,"")</f>
        <v>1.6227615</v>
      </c>
      <c r="H266" s="35"/>
      <c r="I266" s="40"/>
      <c r="J266" s="155">
        <v>1600</v>
      </c>
    </row>
    <row r="267" spans="1:10" ht="15.75" thickBot="1" x14ac:dyDescent="0.3">
      <c r="A267" s="201"/>
      <c r="B267" s="188"/>
      <c r="C267" s="36"/>
      <c r="D267" s="36"/>
      <c r="E267" s="37"/>
      <c r="F267" s="31" t="s">
        <v>558</v>
      </c>
      <c r="G267" s="31" t="str">
        <f>IF(ISNUMBER(F267),E267*F267,"")</f>
        <v/>
      </c>
      <c r="H267" s="35"/>
      <c r="I267" s="31"/>
      <c r="J267" s="155">
        <v>1600</v>
      </c>
    </row>
    <row r="268" spans="1:10" ht="15.75" hidden="1" thickBot="1" x14ac:dyDescent="0.3">
      <c r="A268" s="180" t="s">
        <v>107</v>
      </c>
      <c r="B268" s="186" t="str">
        <f>INDEX(Orçamentária!A:B,MATCH(Composições!A268,Orçamentária!A:A,0),2)</f>
        <v>Abertura/fechamento rasgo em alvenaria</v>
      </c>
      <c r="C268" s="41"/>
      <c r="D268" s="26" t="str">
        <f>TRIM(INDEX(Orçamentária!C:C,MATCH(Composições!A268,Orçamentária!A:A,0),1))</f>
        <v>m</v>
      </c>
      <c r="E268" s="27"/>
      <c r="F268" s="42" t="s">
        <v>558</v>
      </c>
      <c r="G268" s="28" t="str">
        <f>IF(ISNUMBER(F268),E268*F268,"")</f>
        <v/>
      </c>
      <c r="H268" s="29"/>
      <c r="I268" s="30"/>
      <c r="J268" s="155">
        <v>0</v>
      </c>
    </row>
    <row r="269" spans="1:10" ht="15.75" hidden="1" thickBot="1" x14ac:dyDescent="0.3">
      <c r="A269" s="200"/>
      <c r="B269" s="202"/>
      <c r="C269" s="32"/>
      <c r="D269" s="32"/>
      <c r="E269" s="33"/>
      <c r="F269" s="43" t="s">
        <v>558</v>
      </c>
      <c r="G269" s="31" t="str">
        <f>IF(ISNUMBER(F269),E269*F269,"")</f>
        <v/>
      </c>
      <c r="H269" s="35"/>
      <c r="I269" s="31"/>
      <c r="J269" s="155">
        <v>0</v>
      </c>
    </row>
    <row r="270" spans="1:10" ht="15.75" hidden="1" thickBot="1" x14ac:dyDescent="0.3">
      <c r="A270" s="200"/>
      <c r="B270" s="202"/>
      <c r="C270" s="36" t="s">
        <v>74</v>
      </c>
      <c r="D270" s="36" t="s">
        <v>12</v>
      </c>
      <c r="E270" s="37">
        <v>3.4000000000000002E-2</v>
      </c>
      <c r="F270" s="31">
        <v>17.802999999999997</v>
      </c>
      <c r="G270" s="31">
        <f>IF(ISNUMBER(F270),E270*F270,"")</f>
        <v>0.6053019999999999</v>
      </c>
      <c r="H270" s="39">
        <f>SUM(G270:G274)</f>
        <v>16.808341649300498</v>
      </c>
      <c r="I270" s="40"/>
      <c r="J270" s="155">
        <v>0</v>
      </c>
    </row>
    <row r="271" spans="1:10" ht="15.75" hidden="1" thickBot="1" x14ac:dyDescent="0.3">
      <c r="A271" s="200"/>
      <c r="B271" s="202"/>
      <c r="C271" s="36" t="s">
        <v>30</v>
      </c>
      <c r="D271" s="36" t="s">
        <v>12</v>
      </c>
      <c r="E271" s="37">
        <v>0.216</v>
      </c>
      <c r="F271" s="31">
        <v>22.895</v>
      </c>
      <c r="G271" s="31">
        <f>IF(ISNUMBER(F271),E271*F271,"")</f>
        <v>4.9453199999999997</v>
      </c>
      <c r="H271" s="35"/>
      <c r="I271" s="31"/>
      <c r="J271" s="155">
        <v>0</v>
      </c>
    </row>
    <row r="272" spans="1:10" ht="26.25" hidden="1" thickBot="1" x14ac:dyDescent="0.3">
      <c r="A272" s="200"/>
      <c r="B272" s="202"/>
      <c r="C272" s="36" t="s">
        <v>108</v>
      </c>
      <c r="D272" s="36" t="s">
        <v>12</v>
      </c>
      <c r="E272" s="37">
        <v>5.5E-2</v>
      </c>
      <c r="F272" s="31">
        <v>17.3185</v>
      </c>
      <c r="G272" s="31">
        <f>IF(ISNUMBER(F272),E272*F272,"")</f>
        <v>0.95251750000000002</v>
      </c>
      <c r="H272" s="35"/>
      <c r="I272" s="31"/>
      <c r="J272" s="155">
        <v>0</v>
      </c>
    </row>
    <row r="273" spans="1:10" ht="15.75" hidden="1" thickBot="1" x14ac:dyDescent="0.3">
      <c r="A273" s="200"/>
      <c r="B273" s="202"/>
      <c r="C273" s="36" t="s">
        <v>39</v>
      </c>
      <c r="D273" s="47" t="s">
        <v>12</v>
      </c>
      <c r="E273" s="37">
        <v>0.39100000000000001</v>
      </c>
      <c r="F273" s="31">
        <v>22.2395</v>
      </c>
      <c r="G273" s="31">
        <f>IF(ISNUMBER(F273),E273*F273,"")</f>
        <v>8.6956445000000002</v>
      </c>
      <c r="H273" s="35"/>
      <c r="I273" s="31"/>
      <c r="J273" s="155">
        <v>0</v>
      </c>
    </row>
    <row r="274" spans="1:10" ht="26.25" hidden="1" thickBot="1" x14ac:dyDescent="0.3">
      <c r="A274" s="200"/>
      <c r="B274" s="202"/>
      <c r="C274" s="36" t="s">
        <v>109</v>
      </c>
      <c r="D274" s="36" t="s">
        <v>110</v>
      </c>
      <c r="E274" s="37">
        <v>3.0000000000000001E-3</v>
      </c>
      <c r="F274" s="34">
        <v>536.51921643349988</v>
      </c>
      <c r="G274" s="34">
        <f>IF(ISNUMBER(F274),E274*F274,"")</f>
        <v>1.6095576493004997</v>
      </c>
      <c r="H274" s="35"/>
      <c r="I274" s="31"/>
      <c r="J274" s="155">
        <v>0</v>
      </c>
    </row>
    <row r="275" spans="1:10" ht="15.75" hidden="1" thickBot="1" x14ac:dyDescent="0.3">
      <c r="A275" s="201"/>
      <c r="B275" s="188"/>
      <c r="C275" s="36"/>
      <c r="D275" s="36"/>
      <c r="E275" s="37"/>
      <c r="F275" s="31" t="s">
        <v>558</v>
      </c>
      <c r="G275" s="31" t="str">
        <f>IF(ISNUMBER(F275),E275*F275,"")</f>
        <v/>
      </c>
      <c r="H275" s="35"/>
      <c r="I275" s="31"/>
      <c r="J275" s="155">
        <v>0</v>
      </c>
    </row>
    <row r="276" spans="1:10" ht="15.75" hidden="1" thickBot="1" x14ac:dyDescent="0.3">
      <c r="A276" s="180" t="s">
        <v>111</v>
      </c>
      <c r="B276" s="186" t="str">
        <f>INDEX(Orçamentária!A:B,MATCH(Composições!A276,Orçamentária!A:A,0),2)</f>
        <v>Furo em concreto de 40mm até 75mm de diâmetro</v>
      </c>
      <c r="C276" s="41"/>
      <c r="D276" s="26" t="str">
        <f>TRIM(INDEX(Orçamentária!C:C,MATCH(Composições!A276,Orçamentária!A:A,0),1))</f>
        <v>un</v>
      </c>
      <c r="E276" s="27"/>
      <c r="F276" s="42" t="s">
        <v>558</v>
      </c>
      <c r="G276" s="28" t="str">
        <f>IF(ISNUMBER(F276),E276*F276,"")</f>
        <v/>
      </c>
      <c r="H276" s="29"/>
      <c r="I276" s="30"/>
      <c r="J276" s="155">
        <v>0</v>
      </c>
    </row>
    <row r="277" spans="1:10" ht="15.75" hidden="1" thickBot="1" x14ac:dyDescent="0.3">
      <c r="A277" s="200"/>
      <c r="B277" s="202"/>
      <c r="C277" s="32"/>
      <c r="D277" s="32"/>
      <c r="E277" s="33"/>
      <c r="F277" s="43" t="s">
        <v>558</v>
      </c>
      <c r="G277" s="31" t="str">
        <f>IF(ISNUMBER(F277),E277*F277,"")</f>
        <v/>
      </c>
      <c r="H277" s="35"/>
      <c r="I277" s="31"/>
      <c r="J277" s="155">
        <v>0</v>
      </c>
    </row>
    <row r="278" spans="1:10" ht="26.25" hidden="1" thickBot="1" x14ac:dyDescent="0.3">
      <c r="A278" s="200"/>
      <c r="B278" s="202"/>
      <c r="C278" s="36" t="s">
        <v>32</v>
      </c>
      <c r="D278" s="36" t="s">
        <v>33</v>
      </c>
      <c r="E278" s="37">
        <v>0.58699999999999997</v>
      </c>
      <c r="F278" s="34">
        <v>21.127999999999997</v>
      </c>
      <c r="G278" s="34">
        <f>IF(ISNUMBER(F278),E278*F278,"")</f>
        <v>12.402135999999997</v>
      </c>
      <c r="H278" s="39">
        <f>SUM(G278:G281)</f>
        <v>84.367257999999993</v>
      </c>
      <c r="I278" s="40"/>
      <c r="J278" s="155">
        <v>0</v>
      </c>
    </row>
    <row r="279" spans="1:10" ht="26.25" hidden="1" thickBot="1" x14ac:dyDescent="0.3">
      <c r="A279" s="200"/>
      <c r="B279" s="202"/>
      <c r="C279" s="36" t="s">
        <v>34</v>
      </c>
      <c r="D279" s="36" t="s">
        <v>35</v>
      </c>
      <c r="E279" s="37">
        <v>1.29</v>
      </c>
      <c r="F279" s="34">
        <v>19.494</v>
      </c>
      <c r="G279" s="34">
        <f>IF(ISNUMBER(F279),E279*F279,"")</f>
        <v>25.147259999999999</v>
      </c>
      <c r="H279" s="35"/>
      <c r="I279" s="31"/>
      <c r="J279" s="155">
        <v>0</v>
      </c>
    </row>
    <row r="280" spans="1:10" ht="26.25" hidden="1" thickBot="1" x14ac:dyDescent="0.3">
      <c r="A280" s="200"/>
      <c r="B280" s="202"/>
      <c r="C280" s="36" t="s">
        <v>108</v>
      </c>
      <c r="D280" s="36" t="s">
        <v>12</v>
      </c>
      <c r="E280" s="37">
        <v>0.29299999999999998</v>
      </c>
      <c r="F280" s="31">
        <v>17.3185</v>
      </c>
      <c r="G280" s="34">
        <f>IF(ISNUMBER(F280),E280*F280,"")</f>
        <v>5.0743204999999998</v>
      </c>
      <c r="H280" s="35"/>
      <c r="I280" s="31"/>
      <c r="J280" s="155">
        <v>0</v>
      </c>
    </row>
    <row r="281" spans="1:10" ht="15.75" hidden="1" thickBot="1" x14ac:dyDescent="0.3">
      <c r="A281" s="200"/>
      <c r="B281" s="202"/>
      <c r="C281" s="36" t="s">
        <v>39</v>
      </c>
      <c r="D281" s="47" t="s">
        <v>12</v>
      </c>
      <c r="E281" s="37">
        <v>1.877</v>
      </c>
      <c r="F281" s="31">
        <v>22.2395</v>
      </c>
      <c r="G281" s="34">
        <f>IF(ISNUMBER(F281),E281*F281,"")</f>
        <v>41.743541499999999</v>
      </c>
      <c r="H281" s="35"/>
      <c r="I281" s="31"/>
      <c r="J281" s="155">
        <v>0</v>
      </c>
    </row>
    <row r="282" spans="1:10" ht="15.75" hidden="1" thickBot="1" x14ac:dyDescent="0.3">
      <c r="A282" s="201"/>
      <c r="B282" s="188"/>
      <c r="C282" s="36"/>
      <c r="D282" s="36"/>
      <c r="E282" s="37"/>
      <c r="F282" s="31" t="s">
        <v>558</v>
      </c>
      <c r="G282" s="31" t="str">
        <f>IF(ISNUMBER(F282),E282*F282,"")</f>
        <v/>
      </c>
      <c r="H282" s="35"/>
      <c r="I282" s="31"/>
      <c r="J282" s="155">
        <v>0</v>
      </c>
    </row>
    <row r="283" spans="1:10" ht="15.75" hidden="1" thickBot="1" x14ac:dyDescent="0.3">
      <c r="A283" s="180" t="s">
        <v>112</v>
      </c>
      <c r="B283" s="186" t="str">
        <f>INDEX(Orçamentária!A:B,MATCH(Composições!A283,Orçamentária!A:A,0),2)</f>
        <v>Furo em concreto para diâmetros maiores que 75mm</v>
      </c>
      <c r="C283" s="41"/>
      <c r="D283" s="26" t="str">
        <f>TRIM(INDEX(Orçamentária!C:C,MATCH(Composições!A283,Orçamentária!A:A,0),1))</f>
        <v>un</v>
      </c>
      <c r="E283" s="27"/>
      <c r="F283" s="42" t="s">
        <v>558</v>
      </c>
      <c r="G283" s="28" t="str">
        <f>IF(ISNUMBER(F283),E283*F283,"")</f>
        <v/>
      </c>
      <c r="H283" s="29"/>
      <c r="I283" s="30"/>
      <c r="J283" s="155">
        <v>0</v>
      </c>
    </row>
    <row r="284" spans="1:10" ht="15.75" hidden="1" thickBot="1" x14ac:dyDescent="0.3">
      <c r="A284" s="200"/>
      <c r="B284" s="202"/>
      <c r="C284" s="32"/>
      <c r="D284" s="32"/>
      <c r="E284" s="33"/>
      <c r="F284" s="43" t="s">
        <v>558</v>
      </c>
      <c r="G284" s="31" t="str">
        <f>IF(ISNUMBER(F284),E284*F284,"")</f>
        <v/>
      </c>
      <c r="H284" s="35"/>
      <c r="I284" s="31"/>
      <c r="J284" s="155">
        <v>0</v>
      </c>
    </row>
    <row r="285" spans="1:10" ht="26.25" hidden="1" thickBot="1" x14ac:dyDescent="0.3">
      <c r="A285" s="200"/>
      <c r="B285" s="202"/>
      <c r="C285" s="36" t="s">
        <v>32</v>
      </c>
      <c r="D285" s="36" t="s">
        <v>33</v>
      </c>
      <c r="E285" s="37">
        <v>0.75</v>
      </c>
      <c r="F285" s="34">
        <v>21.127999999999997</v>
      </c>
      <c r="G285" s="34">
        <f>IF(ISNUMBER(F285),E285*F285,"")</f>
        <v>15.845999999999997</v>
      </c>
      <c r="H285" s="39">
        <f>SUM(G285:G288)</f>
        <v>107.75513699999999</v>
      </c>
      <c r="I285" s="40"/>
      <c r="J285" s="155">
        <v>0</v>
      </c>
    </row>
    <row r="286" spans="1:10" ht="26.25" hidden="1" thickBot="1" x14ac:dyDescent="0.3">
      <c r="A286" s="200"/>
      <c r="B286" s="202"/>
      <c r="C286" s="36" t="s">
        <v>34</v>
      </c>
      <c r="D286" s="36" t="s">
        <v>35</v>
      </c>
      <c r="E286" s="37">
        <v>1.647</v>
      </c>
      <c r="F286" s="34">
        <v>19.494</v>
      </c>
      <c r="G286" s="34">
        <f>IF(ISNUMBER(F286),E286*F286,"")</f>
        <v>32.106617999999997</v>
      </c>
      <c r="H286" s="35"/>
      <c r="I286" s="31"/>
      <c r="J286" s="155">
        <v>0</v>
      </c>
    </row>
    <row r="287" spans="1:10" ht="26.25" hidden="1" thickBot="1" x14ac:dyDescent="0.3">
      <c r="A287" s="200"/>
      <c r="B287" s="202"/>
      <c r="C287" s="36" t="s">
        <v>108</v>
      </c>
      <c r="D287" s="36" t="s">
        <v>12</v>
      </c>
      <c r="E287" s="37">
        <v>0.375</v>
      </c>
      <c r="F287" s="31">
        <v>17.3185</v>
      </c>
      <c r="G287" s="34">
        <f>IF(ISNUMBER(F287),E287*F287,"")</f>
        <v>6.4944375000000001</v>
      </c>
      <c r="H287" s="35"/>
      <c r="I287" s="31"/>
      <c r="J287" s="155">
        <v>0</v>
      </c>
    </row>
    <row r="288" spans="1:10" ht="15.75" hidden="1" thickBot="1" x14ac:dyDescent="0.3">
      <c r="A288" s="200"/>
      <c r="B288" s="202"/>
      <c r="C288" s="36" t="s">
        <v>39</v>
      </c>
      <c r="D288" s="47" t="s">
        <v>12</v>
      </c>
      <c r="E288" s="37">
        <v>2.3969999999999998</v>
      </c>
      <c r="F288" s="31">
        <v>22.2395</v>
      </c>
      <c r="G288" s="34">
        <f>IF(ISNUMBER(F288),E288*F288,"")</f>
        <v>53.308081499999993</v>
      </c>
      <c r="H288" s="35"/>
      <c r="I288" s="31"/>
      <c r="J288" s="155">
        <v>0</v>
      </c>
    </row>
    <row r="289" spans="1:10" ht="15.75" hidden="1" thickBot="1" x14ac:dyDescent="0.3">
      <c r="A289" s="201"/>
      <c r="B289" s="188"/>
      <c r="C289" s="36"/>
      <c r="D289" s="36"/>
      <c r="E289" s="37"/>
      <c r="F289" s="31" t="s">
        <v>558</v>
      </c>
      <c r="G289" s="31" t="str">
        <f>IF(ISNUMBER(F289),E289*F289,"")</f>
        <v/>
      </c>
      <c r="H289" s="35"/>
      <c r="I289" s="31"/>
      <c r="J289" s="155">
        <v>0</v>
      </c>
    </row>
    <row r="290" spans="1:10" ht="15.75" hidden="1" thickBot="1" x14ac:dyDescent="0.3">
      <c r="A290" s="180" t="s">
        <v>113</v>
      </c>
      <c r="B290" s="186" t="str">
        <f>INDEX(Orçamentária!A:B,MATCH(Composições!A290,Orçamentária!A:A,0),2)</f>
        <v>Concreto virado em betoneira, fck = 15 MPa</v>
      </c>
      <c r="C290" s="41"/>
      <c r="D290" s="26" t="str">
        <f>TRIM(INDEX(Orçamentária!C:C,MATCH(Composições!A290,Orçamentária!A:A,0),1))</f>
        <v>m3</v>
      </c>
      <c r="E290" s="27"/>
      <c r="F290" s="42" t="s">
        <v>558</v>
      </c>
      <c r="G290" s="28" t="str">
        <f>IF(ISNUMBER(F290),E290*F290,"")</f>
        <v/>
      </c>
      <c r="H290" s="29"/>
      <c r="I290" s="30"/>
      <c r="J290" s="155">
        <v>0</v>
      </c>
    </row>
    <row r="291" spans="1:10" ht="15.75" hidden="1" thickBot="1" x14ac:dyDescent="0.3">
      <c r="A291" s="200"/>
      <c r="B291" s="202"/>
      <c r="C291" s="32"/>
      <c r="D291" s="32"/>
      <c r="E291" s="33"/>
      <c r="F291" s="43" t="s">
        <v>558</v>
      </c>
      <c r="G291" s="31" t="str">
        <f>IF(ISNUMBER(F291),E291*F291,"")</f>
        <v/>
      </c>
      <c r="H291" s="35"/>
      <c r="I291" s="31"/>
      <c r="J291" s="155">
        <v>0</v>
      </c>
    </row>
    <row r="292" spans="1:10" ht="26.25" hidden="1" thickBot="1" x14ac:dyDescent="0.3">
      <c r="A292" s="200"/>
      <c r="B292" s="202"/>
      <c r="C292" s="36" t="s">
        <v>114</v>
      </c>
      <c r="D292" s="47" t="s">
        <v>110</v>
      </c>
      <c r="E292" s="37">
        <v>1</v>
      </c>
      <c r="F292" s="31">
        <v>177.566115</v>
      </c>
      <c r="G292" s="34">
        <f>IF(ISNUMBER(F292),E292*F292,"")</f>
        <v>177.566115</v>
      </c>
      <c r="H292" s="39">
        <f>SUM(G292:G301)</f>
        <v>590.27876659119988</v>
      </c>
      <c r="I292" s="40"/>
      <c r="J292" s="155">
        <v>0</v>
      </c>
    </row>
    <row r="293" spans="1:10" ht="15.75" hidden="1" thickBot="1" x14ac:dyDescent="0.3">
      <c r="A293" s="200"/>
      <c r="B293" s="202"/>
      <c r="C293" s="36" t="s">
        <v>115</v>
      </c>
      <c r="D293" s="47" t="s">
        <v>110</v>
      </c>
      <c r="E293" s="37">
        <v>0.80500000000000005</v>
      </c>
      <c r="F293" s="34">
        <v>85.5</v>
      </c>
      <c r="G293" s="34">
        <f>IF(ISNUMBER(F293),E293*F293,"")</f>
        <v>68.827500000000001</v>
      </c>
      <c r="H293" s="35"/>
      <c r="I293" s="31"/>
      <c r="J293" s="155">
        <v>0</v>
      </c>
    </row>
    <row r="294" spans="1:10" ht="15.75" hidden="1" thickBot="1" x14ac:dyDescent="0.3">
      <c r="A294" s="200"/>
      <c r="B294" s="202"/>
      <c r="C294" s="36" t="s">
        <v>116</v>
      </c>
      <c r="D294" s="47" t="s">
        <v>42</v>
      </c>
      <c r="E294" s="37">
        <v>273.06</v>
      </c>
      <c r="F294" s="34">
        <v>0.52249999999999996</v>
      </c>
      <c r="G294" s="34">
        <f>IF(ISNUMBER(F294),E294*F294,"")</f>
        <v>142.67384999999999</v>
      </c>
      <c r="H294" s="35"/>
      <c r="I294" s="31"/>
      <c r="J294" s="155">
        <v>0</v>
      </c>
    </row>
    <row r="295" spans="1:10" ht="15.75" hidden="1" thickBot="1" x14ac:dyDescent="0.3">
      <c r="A295" s="200"/>
      <c r="B295" s="202"/>
      <c r="C295" s="36" t="s">
        <v>117</v>
      </c>
      <c r="D295" s="47" t="s">
        <v>110</v>
      </c>
      <c r="E295" s="37">
        <v>0.57899999999999996</v>
      </c>
      <c r="F295" s="34">
        <v>124.982</v>
      </c>
      <c r="G295" s="34">
        <f>IF(ISNUMBER(F295),E295*F295,"")</f>
        <v>72.364577999999995</v>
      </c>
      <c r="H295" s="35"/>
      <c r="I295" s="31"/>
      <c r="J295" s="155">
        <v>0</v>
      </c>
    </row>
    <row r="296" spans="1:10" ht="26.25" hidden="1" thickBot="1" x14ac:dyDescent="0.3">
      <c r="A296" s="200"/>
      <c r="B296" s="202"/>
      <c r="C296" s="36" t="s">
        <v>118</v>
      </c>
      <c r="D296" s="47" t="s">
        <v>12</v>
      </c>
      <c r="E296" s="37">
        <v>1.47</v>
      </c>
      <c r="F296" s="31">
        <v>16.928999999999998</v>
      </c>
      <c r="G296" s="34">
        <f>IF(ISNUMBER(F296),E296*F296,"")</f>
        <v>24.885629999999999</v>
      </c>
      <c r="H296" s="35"/>
      <c r="I296" s="31"/>
      <c r="J296" s="155">
        <v>0</v>
      </c>
    </row>
    <row r="297" spans="1:10" ht="15.75" hidden="1" thickBot="1" x14ac:dyDescent="0.3">
      <c r="A297" s="200"/>
      <c r="B297" s="202"/>
      <c r="C297" s="36" t="s">
        <v>23</v>
      </c>
      <c r="D297" s="36" t="s">
        <v>12</v>
      </c>
      <c r="E297" s="37">
        <v>2.33</v>
      </c>
      <c r="F297" s="31">
        <v>16.729499999999998</v>
      </c>
      <c r="G297" s="34">
        <f>IF(ISNUMBER(F297),E297*F297,"")</f>
        <v>38.979734999999998</v>
      </c>
      <c r="H297" s="35"/>
      <c r="I297" s="31"/>
      <c r="J297" s="155">
        <v>0</v>
      </c>
    </row>
    <row r="298" spans="1:10" ht="39" hidden="1" thickBot="1" x14ac:dyDescent="0.3">
      <c r="A298" s="200"/>
      <c r="B298" s="202"/>
      <c r="C298" s="36" t="s">
        <v>119</v>
      </c>
      <c r="D298" s="47" t="s">
        <v>33</v>
      </c>
      <c r="E298" s="37">
        <v>0.76</v>
      </c>
      <c r="F298" s="34">
        <v>1.3774999999999999</v>
      </c>
      <c r="G298" s="34">
        <f>IF(ISNUMBER(F298),E298*F298,"")</f>
        <v>1.0468999999999999</v>
      </c>
      <c r="H298" s="35"/>
      <c r="I298" s="31"/>
      <c r="J298" s="155">
        <v>0</v>
      </c>
    </row>
    <row r="299" spans="1:10" ht="39" hidden="1" thickBot="1" x14ac:dyDescent="0.3">
      <c r="A299" s="200"/>
      <c r="B299" s="202"/>
      <c r="C299" s="36" t="s">
        <v>120</v>
      </c>
      <c r="D299" s="47" t="s">
        <v>35</v>
      </c>
      <c r="E299" s="37">
        <v>0.71</v>
      </c>
      <c r="F299" s="34">
        <v>0.30399999999999999</v>
      </c>
      <c r="G299" s="34">
        <f>IF(ISNUMBER(F299),E299*F299,"")</f>
        <v>0.21583999999999998</v>
      </c>
      <c r="H299" s="35"/>
      <c r="I299" s="31"/>
      <c r="J299" s="155">
        <v>0</v>
      </c>
    </row>
    <row r="300" spans="1:10" ht="51.75" hidden="1" thickBot="1" x14ac:dyDescent="0.3">
      <c r="A300" s="200"/>
      <c r="B300" s="202"/>
      <c r="C300" s="36" t="s">
        <v>3617</v>
      </c>
      <c r="D300" s="36" t="s">
        <v>122</v>
      </c>
      <c r="E300" s="37">
        <f>1*(E293+E295)</f>
        <v>1.3839999999999999</v>
      </c>
      <c r="F300" s="34">
        <v>6.0418992999999999</v>
      </c>
      <c r="G300" s="34">
        <f>IF(ISNUMBER(F300),E300*F300,"")</f>
        <v>8.3619886311999991</v>
      </c>
      <c r="H300" s="35"/>
      <c r="I300" s="31"/>
      <c r="J300" s="155">
        <v>0</v>
      </c>
    </row>
    <row r="301" spans="1:10" ht="39" hidden="1" thickBot="1" x14ac:dyDescent="0.3">
      <c r="A301" s="200"/>
      <c r="B301" s="202"/>
      <c r="C301" s="36" t="s">
        <v>123</v>
      </c>
      <c r="D301" s="47" t="s">
        <v>124</v>
      </c>
      <c r="E301" s="37">
        <f>(E293+E295)*20</f>
        <v>27.68</v>
      </c>
      <c r="F301" s="34">
        <v>1.9998782499999996</v>
      </c>
      <c r="G301" s="34">
        <f>IF(ISNUMBER(F301),E301*F301,"")</f>
        <v>55.356629959999992</v>
      </c>
      <c r="H301" s="35"/>
      <c r="I301" s="31"/>
      <c r="J301" s="155">
        <v>0</v>
      </c>
    </row>
    <row r="302" spans="1:10" ht="15.75" hidden="1" thickBot="1" x14ac:dyDescent="0.3">
      <c r="A302" s="200"/>
      <c r="B302" s="202"/>
      <c r="C302" s="51"/>
      <c r="D302" s="47"/>
      <c r="E302" s="37"/>
      <c r="F302" s="34" t="s">
        <v>558</v>
      </c>
      <c r="G302" s="34" t="str">
        <f>IF(ISNUMBER(F302),E302*F302,"")</f>
        <v/>
      </c>
      <c r="H302" s="35"/>
      <c r="I302" s="31"/>
      <c r="J302" s="155">
        <v>0</v>
      </c>
    </row>
    <row r="303" spans="1:10" ht="26.25" hidden="1" thickBot="1" x14ac:dyDescent="0.3">
      <c r="A303" s="200"/>
      <c r="B303" s="202"/>
      <c r="C303" s="48" t="s">
        <v>125</v>
      </c>
      <c r="D303" s="47"/>
      <c r="E303" s="37"/>
      <c r="F303" s="34" t="s">
        <v>558</v>
      </c>
      <c r="G303" s="34" t="str">
        <f>IF(ISNUMBER(F303),E303*F303,"")</f>
        <v/>
      </c>
      <c r="H303" s="35"/>
      <c r="I303" s="31"/>
      <c r="J303" s="155">
        <v>0</v>
      </c>
    </row>
    <row r="304" spans="1:10" ht="15.75" hidden="1" thickBot="1" x14ac:dyDescent="0.3">
      <c r="A304" s="201"/>
      <c r="B304" s="188"/>
      <c r="C304" s="36"/>
      <c r="D304" s="36"/>
      <c r="E304" s="37"/>
      <c r="F304" s="31" t="s">
        <v>558</v>
      </c>
      <c r="G304" s="31" t="str">
        <f>IF(ISNUMBER(F304),E304*F304,"")</f>
        <v/>
      </c>
      <c r="H304" s="35"/>
      <c r="I304" s="31"/>
      <c r="J304" s="155">
        <v>0</v>
      </c>
    </row>
    <row r="305" spans="1:10" ht="15.75" hidden="1" thickBot="1" x14ac:dyDescent="0.3">
      <c r="A305" s="180" t="s">
        <v>126</v>
      </c>
      <c r="B305" s="186" t="str">
        <f>INDEX(Orçamentária!A:B,MATCH(Composições!A305,Orçamentária!A:A,0),2)</f>
        <v>Concreto virado em betoneira, fck = 25MPa</v>
      </c>
      <c r="C305" s="41"/>
      <c r="D305" s="26" t="str">
        <f>TRIM(INDEX(Orçamentária!C:C,MATCH(Composições!A305,Orçamentária!A:A,0),1))</f>
        <v>m3</v>
      </c>
      <c r="E305" s="27"/>
      <c r="F305" s="42" t="s">
        <v>558</v>
      </c>
      <c r="G305" s="28" t="str">
        <f>IF(ISNUMBER(F305),E305*F305,"")</f>
        <v/>
      </c>
      <c r="H305" s="29"/>
      <c r="I305" s="30"/>
      <c r="J305" s="155">
        <v>0</v>
      </c>
    </row>
    <row r="306" spans="1:10" ht="15.75" hidden="1" thickBot="1" x14ac:dyDescent="0.3">
      <c r="A306" s="200"/>
      <c r="B306" s="202"/>
      <c r="C306" s="32"/>
      <c r="D306" s="32"/>
      <c r="E306" s="33"/>
      <c r="F306" s="43" t="s">
        <v>558</v>
      </c>
      <c r="G306" s="31" t="str">
        <f>IF(ISNUMBER(F306),E306*F306,"")</f>
        <v/>
      </c>
      <c r="H306" s="35"/>
      <c r="I306" s="31"/>
      <c r="J306" s="155">
        <v>0</v>
      </c>
    </row>
    <row r="307" spans="1:10" ht="26.25" hidden="1" thickBot="1" x14ac:dyDescent="0.3">
      <c r="A307" s="200"/>
      <c r="B307" s="202"/>
      <c r="C307" s="36" t="s">
        <v>114</v>
      </c>
      <c r="D307" s="47" t="s">
        <v>110</v>
      </c>
      <c r="E307" s="37">
        <v>1</v>
      </c>
      <c r="F307" s="31">
        <v>177.566115</v>
      </c>
      <c r="G307" s="31">
        <f>IF(ISNUMBER(F307),E307*F307,"")</f>
        <v>177.566115</v>
      </c>
      <c r="H307" s="39">
        <f>SUM(G307:G316)</f>
        <v>628.18517601879989</v>
      </c>
      <c r="I307" s="40"/>
      <c r="J307" s="155">
        <v>0</v>
      </c>
    </row>
    <row r="308" spans="1:10" ht="15.75" hidden="1" thickBot="1" x14ac:dyDescent="0.3">
      <c r="A308" s="200"/>
      <c r="B308" s="202"/>
      <c r="C308" s="36" t="s">
        <v>115</v>
      </c>
      <c r="D308" s="47" t="s">
        <v>110</v>
      </c>
      <c r="E308" s="37">
        <v>0.72299999999999998</v>
      </c>
      <c r="F308" s="34">
        <v>85.5</v>
      </c>
      <c r="G308" s="31">
        <f>IF(ISNUMBER(F308),E308*F308,"")</f>
        <v>61.816499999999998</v>
      </c>
      <c r="H308" s="35"/>
      <c r="I308" s="31"/>
      <c r="J308" s="155">
        <v>0</v>
      </c>
    </row>
    <row r="309" spans="1:10" ht="15.75" hidden="1" thickBot="1" x14ac:dyDescent="0.3">
      <c r="A309" s="200"/>
      <c r="B309" s="202"/>
      <c r="C309" s="36" t="s">
        <v>116</v>
      </c>
      <c r="D309" s="47" t="s">
        <v>42</v>
      </c>
      <c r="E309" s="37">
        <v>362.66</v>
      </c>
      <c r="F309" s="34">
        <v>0.52249999999999996</v>
      </c>
      <c r="G309" s="31">
        <f>IF(ISNUMBER(F309),E309*F309,"")</f>
        <v>189.48984999999999</v>
      </c>
      <c r="H309" s="35"/>
      <c r="I309" s="31"/>
      <c r="J309" s="155">
        <v>0</v>
      </c>
    </row>
    <row r="310" spans="1:10" ht="15.75" hidden="1" thickBot="1" x14ac:dyDescent="0.3">
      <c r="A310" s="200"/>
      <c r="B310" s="202"/>
      <c r="C310" s="36" t="s">
        <v>117</v>
      </c>
      <c r="D310" s="47" t="s">
        <v>110</v>
      </c>
      <c r="E310" s="37">
        <v>0.59299999999999997</v>
      </c>
      <c r="F310" s="34">
        <v>124.982</v>
      </c>
      <c r="G310" s="31">
        <f>IF(ISNUMBER(F310),E310*F310,"")</f>
        <v>74.114325999999991</v>
      </c>
      <c r="H310" s="35"/>
      <c r="I310" s="31"/>
      <c r="J310" s="155">
        <v>0</v>
      </c>
    </row>
    <row r="311" spans="1:10" ht="15.75" hidden="1" thickBot="1" x14ac:dyDescent="0.3">
      <c r="A311" s="200"/>
      <c r="B311" s="202"/>
      <c r="C311" s="36" t="s">
        <v>23</v>
      </c>
      <c r="D311" s="47" t="s">
        <v>12</v>
      </c>
      <c r="E311" s="37">
        <f>2.31</f>
        <v>2.31</v>
      </c>
      <c r="F311" s="31">
        <v>16.729499999999998</v>
      </c>
      <c r="G311" s="31">
        <f>IF(ISNUMBER(F311),E311*F311,"")</f>
        <v>38.645144999999999</v>
      </c>
      <c r="H311" s="35"/>
      <c r="I311" s="31"/>
      <c r="J311" s="155">
        <v>0</v>
      </c>
    </row>
    <row r="312" spans="1:10" ht="26.25" hidden="1" thickBot="1" x14ac:dyDescent="0.3">
      <c r="A312" s="200"/>
      <c r="B312" s="202"/>
      <c r="C312" s="36" t="s">
        <v>118</v>
      </c>
      <c r="D312" s="47" t="s">
        <v>12</v>
      </c>
      <c r="E312" s="37">
        <v>1.46</v>
      </c>
      <c r="F312" s="31">
        <v>16.928999999999998</v>
      </c>
      <c r="G312" s="31">
        <f>IF(ISNUMBER(F312),E312*F312,"")</f>
        <v>24.716339999999999</v>
      </c>
      <c r="H312" s="35"/>
      <c r="I312" s="31"/>
      <c r="J312" s="155">
        <v>0</v>
      </c>
    </row>
    <row r="313" spans="1:10" ht="39" hidden="1" thickBot="1" x14ac:dyDescent="0.3">
      <c r="A313" s="200"/>
      <c r="B313" s="202"/>
      <c r="C313" s="36" t="s">
        <v>119</v>
      </c>
      <c r="D313" s="47" t="s">
        <v>33</v>
      </c>
      <c r="E313" s="37">
        <v>0.75</v>
      </c>
      <c r="F313" s="34">
        <v>1.3774999999999999</v>
      </c>
      <c r="G313" s="31">
        <f>IF(ISNUMBER(F313),E313*F313,"")</f>
        <v>1.0331250000000001</v>
      </c>
      <c r="H313" s="35"/>
      <c r="I313" s="31"/>
      <c r="J313" s="155">
        <v>0</v>
      </c>
    </row>
    <row r="314" spans="1:10" ht="39" hidden="1" thickBot="1" x14ac:dyDescent="0.3">
      <c r="A314" s="200"/>
      <c r="B314" s="202"/>
      <c r="C314" s="36" t="s">
        <v>120</v>
      </c>
      <c r="D314" s="36" t="s">
        <v>35</v>
      </c>
      <c r="E314" s="37">
        <v>0.71</v>
      </c>
      <c r="F314" s="34">
        <v>0.30399999999999999</v>
      </c>
      <c r="G314" s="31">
        <f>IF(ISNUMBER(F314),E314*F314,"")</f>
        <v>0.21583999999999998</v>
      </c>
      <c r="H314" s="35"/>
      <c r="I314" s="31"/>
      <c r="J314" s="155">
        <v>0</v>
      </c>
    </row>
    <row r="315" spans="1:10" ht="51.75" hidden="1" thickBot="1" x14ac:dyDescent="0.3">
      <c r="A315" s="200"/>
      <c r="B315" s="202"/>
      <c r="C315" s="36" t="s">
        <v>3617</v>
      </c>
      <c r="D315" s="36" t="s">
        <v>122</v>
      </c>
      <c r="E315" s="37">
        <f>1*(E308+E310)</f>
        <v>1.3159999999999998</v>
      </c>
      <c r="F315" s="34">
        <v>6.0418992999999999</v>
      </c>
      <c r="G315" s="34">
        <f>IF(ISNUMBER(F315),E315*F315,"")</f>
        <v>7.9511394787999992</v>
      </c>
      <c r="H315" s="35"/>
      <c r="I315" s="31"/>
      <c r="J315" s="155">
        <v>0</v>
      </c>
    </row>
    <row r="316" spans="1:10" ht="39" hidden="1" thickBot="1" x14ac:dyDescent="0.3">
      <c r="A316" s="200"/>
      <c r="B316" s="202"/>
      <c r="C316" s="36" t="s">
        <v>123</v>
      </c>
      <c r="D316" s="47" t="s">
        <v>124</v>
      </c>
      <c r="E316" s="37">
        <f>(E308+E310)*20</f>
        <v>26.319999999999997</v>
      </c>
      <c r="F316" s="34">
        <v>1.9998782499999996</v>
      </c>
      <c r="G316" s="34">
        <f>IF(ISNUMBER(F316),E316*F316,"")</f>
        <v>52.636795539999987</v>
      </c>
      <c r="H316" s="35"/>
      <c r="I316" s="31"/>
      <c r="J316" s="155">
        <v>0</v>
      </c>
    </row>
    <row r="317" spans="1:10" ht="15.75" hidden="1" thickBot="1" x14ac:dyDescent="0.3">
      <c r="A317" s="200"/>
      <c r="B317" s="202"/>
      <c r="C317" s="51"/>
      <c r="D317" s="47"/>
      <c r="E317" s="37"/>
      <c r="F317" s="34" t="s">
        <v>558</v>
      </c>
      <c r="G317" s="34" t="str">
        <f>IF(ISNUMBER(F317),E317*F317,"")</f>
        <v/>
      </c>
      <c r="H317" s="35"/>
      <c r="I317" s="31"/>
      <c r="J317" s="155">
        <v>0</v>
      </c>
    </row>
    <row r="318" spans="1:10" ht="26.25" hidden="1" thickBot="1" x14ac:dyDescent="0.3">
      <c r="A318" s="200"/>
      <c r="B318" s="202"/>
      <c r="C318" s="48" t="s">
        <v>125</v>
      </c>
      <c r="D318" s="47"/>
      <c r="E318" s="37"/>
      <c r="F318" s="34" t="s">
        <v>558</v>
      </c>
      <c r="G318" s="34" t="str">
        <f>IF(ISNUMBER(F318),E318*F318,"")</f>
        <v/>
      </c>
      <c r="H318" s="35"/>
      <c r="I318" s="31"/>
      <c r="J318" s="155">
        <v>0</v>
      </c>
    </row>
    <row r="319" spans="1:10" ht="15.75" hidden="1" thickBot="1" x14ac:dyDescent="0.3">
      <c r="A319" s="201"/>
      <c r="B319" s="188"/>
      <c r="C319" s="36"/>
      <c r="D319" s="36"/>
      <c r="E319" s="37"/>
      <c r="F319" s="31" t="s">
        <v>558</v>
      </c>
      <c r="G319" s="31" t="str">
        <f>IF(ISNUMBER(F319),E319*F319,"")</f>
        <v/>
      </c>
      <c r="H319" s="35"/>
      <c r="I319" s="31"/>
      <c r="J319" s="155">
        <v>0</v>
      </c>
    </row>
    <row r="320" spans="1:10" ht="15.75" hidden="1" thickBot="1" x14ac:dyDescent="0.3">
      <c r="A320" s="180" t="s">
        <v>127</v>
      </c>
      <c r="B320" s="186" t="str">
        <f>INDEX(Orçamentária!A:B,MATCH(Composições!A320,Orçamentária!A:A,0),2)</f>
        <v>Escoramento metálico</v>
      </c>
      <c r="C320" s="41"/>
      <c r="D320" s="26" t="str">
        <f>TRIM(INDEX(Orçamentária!C:C,MATCH(Composições!A320,Orçamentária!A:A,0),1))</f>
        <v>m2 x mês</v>
      </c>
      <c r="E320" s="27"/>
      <c r="F320" s="42" t="s">
        <v>558</v>
      </c>
      <c r="G320" s="28" t="str">
        <f>IF(ISNUMBER(F320),E320*F320,"")</f>
        <v/>
      </c>
      <c r="H320" s="29"/>
      <c r="I320" s="30"/>
      <c r="J320" s="155">
        <v>0</v>
      </c>
    </row>
    <row r="321" spans="1:10" ht="15.75" hidden="1" thickBot="1" x14ac:dyDescent="0.3">
      <c r="A321" s="200"/>
      <c r="B321" s="202"/>
      <c r="C321" s="32"/>
      <c r="D321" s="32"/>
      <c r="E321" s="33"/>
      <c r="F321" s="31" t="s">
        <v>558</v>
      </c>
      <c r="G321" s="31" t="str">
        <f>IF(ISNUMBER(F321),E321*F321,"")</f>
        <v/>
      </c>
      <c r="H321" s="35"/>
      <c r="I321" s="31"/>
      <c r="J321" s="155">
        <v>0</v>
      </c>
    </row>
    <row r="322" spans="1:10" ht="39" hidden="1" thickBot="1" x14ac:dyDescent="0.3">
      <c r="A322" s="200"/>
      <c r="B322" s="202"/>
      <c r="C322" s="36" t="s">
        <v>128</v>
      </c>
      <c r="D322" s="47" t="s">
        <v>129</v>
      </c>
      <c r="E322" s="37">
        <v>0.85</v>
      </c>
      <c r="F322" s="31">
        <v>5.8709999999999996</v>
      </c>
      <c r="G322" s="31">
        <f>IF(ISNUMBER(F322),E322*F322,"")</f>
        <v>4.9903499999999994</v>
      </c>
      <c r="H322" s="39">
        <f>SUM(G322:G324)</f>
        <v>16.359000000000002</v>
      </c>
      <c r="I322" s="40"/>
      <c r="J322" s="155">
        <v>0</v>
      </c>
    </row>
    <row r="323" spans="1:10" ht="15.75" hidden="1" thickBot="1" x14ac:dyDescent="0.3">
      <c r="A323" s="200"/>
      <c r="B323" s="202"/>
      <c r="C323" s="36" t="s">
        <v>130</v>
      </c>
      <c r="D323" s="47" t="s">
        <v>12</v>
      </c>
      <c r="E323" s="37">
        <v>0.2</v>
      </c>
      <c r="F323" s="31">
        <v>18.962</v>
      </c>
      <c r="G323" s="31">
        <f>IF(ISNUMBER(F323),E323*F323,"")</f>
        <v>3.7924000000000002</v>
      </c>
      <c r="H323" s="35"/>
      <c r="I323" s="31"/>
      <c r="J323" s="155">
        <v>0</v>
      </c>
    </row>
    <row r="324" spans="1:10" ht="26.25" hidden="1" thickBot="1" x14ac:dyDescent="0.3">
      <c r="A324" s="200"/>
      <c r="B324" s="202"/>
      <c r="C324" s="36" t="s">
        <v>3792</v>
      </c>
      <c r="D324" s="47" t="s">
        <v>93</v>
      </c>
      <c r="E324" s="37">
        <v>1.1000000000000001</v>
      </c>
      <c r="F324" s="31">
        <v>6.8874999999999993</v>
      </c>
      <c r="G324" s="31">
        <f>IF(ISNUMBER(F324),E324*F324,"")</f>
        <v>7.5762499999999999</v>
      </c>
      <c r="H324" s="35"/>
      <c r="I324" s="31"/>
      <c r="J324" s="155">
        <v>0</v>
      </c>
    </row>
    <row r="325" spans="1:10" ht="15.75" hidden="1" thickBot="1" x14ac:dyDescent="0.3">
      <c r="A325" s="200"/>
      <c r="B325" s="202"/>
      <c r="C325" s="36"/>
      <c r="D325" s="36"/>
      <c r="E325" s="37"/>
      <c r="F325" s="31" t="s">
        <v>558</v>
      </c>
      <c r="G325" s="31" t="str">
        <f>IF(ISNUMBER(F325),E325*F325,"")</f>
        <v/>
      </c>
      <c r="H325" s="35"/>
      <c r="I325" s="31"/>
      <c r="J325" s="155">
        <v>0</v>
      </c>
    </row>
    <row r="326" spans="1:10" ht="15.75" hidden="1" thickBot="1" x14ac:dyDescent="0.3">
      <c r="A326" s="180" t="s">
        <v>131</v>
      </c>
      <c r="B326" s="186" t="str">
        <f>INDEX(Orçamentária!A:B,MATCH(Composições!A326,Orçamentária!A:A,0),2)</f>
        <v>Estrutura metálica em aço</v>
      </c>
      <c r="C326" s="41"/>
      <c r="D326" s="26" t="str">
        <f>TRIM(INDEX(Orçamentária!C:C,MATCH(Composições!A326,Orçamentária!A:A,0),1))</f>
        <v>kg</v>
      </c>
      <c r="E326" s="27"/>
      <c r="F326" s="42" t="s">
        <v>558</v>
      </c>
      <c r="G326" s="28" t="str">
        <f>IF(ISNUMBER(F326),E326*F326,"")</f>
        <v/>
      </c>
      <c r="H326" s="29"/>
      <c r="I326" s="30"/>
      <c r="J326" s="155">
        <v>0</v>
      </c>
    </row>
    <row r="327" spans="1:10" ht="15.75" hidden="1" thickBot="1" x14ac:dyDescent="0.3">
      <c r="A327" s="200"/>
      <c r="B327" s="202"/>
      <c r="C327" s="32"/>
      <c r="D327" s="32"/>
      <c r="E327" s="33"/>
      <c r="F327" s="43" t="s">
        <v>558</v>
      </c>
      <c r="G327" s="31" t="str">
        <f>IF(ISNUMBER(F327),E327*F327,"")</f>
        <v/>
      </c>
      <c r="H327" s="35"/>
      <c r="I327" s="31"/>
      <c r="J327" s="155">
        <v>0</v>
      </c>
    </row>
    <row r="328" spans="1:10" ht="26.25" hidden="1" thickBot="1" x14ac:dyDescent="0.3">
      <c r="A328" s="200"/>
      <c r="B328" s="202"/>
      <c r="C328" s="36" t="s">
        <v>132</v>
      </c>
      <c r="D328" s="47" t="s">
        <v>42</v>
      </c>
      <c r="E328" s="37">
        <v>0.01</v>
      </c>
      <c r="F328" s="34">
        <v>44.336500000000001</v>
      </c>
      <c r="G328" s="34">
        <f>IF(ISNUMBER(F328),E328*F328,"")</f>
        <v>0.44336500000000001</v>
      </c>
      <c r="H328" s="39">
        <f>SUM(G328:G339)</f>
        <v>12.458679999999999</v>
      </c>
      <c r="I328" s="40"/>
      <c r="J328" s="155">
        <v>0</v>
      </c>
    </row>
    <row r="329" spans="1:10" ht="26.25" hidden="1" thickBot="1" x14ac:dyDescent="0.3">
      <c r="A329" s="200"/>
      <c r="B329" s="202"/>
      <c r="C329" s="36" t="s">
        <v>133</v>
      </c>
      <c r="D329" s="47" t="s">
        <v>42</v>
      </c>
      <c r="E329" s="37">
        <v>0.27</v>
      </c>
      <c r="F329" s="34">
        <v>9.1294999999999984</v>
      </c>
      <c r="G329" s="34">
        <f>IF(ISNUMBER(F329),E329*F329,"")</f>
        <v>2.4649649999999999</v>
      </c>
      <c r="H329" s="35"/>
      <c r="I329" s="31"/>
      <c r="J329" s="155">
        <v>0</v>
      </c>
    </row>
    <row r="330" spans="1:10" ht="15.75" hidden="1" thickBot="1" x14ac:dyDescent="0.3">
      <c r="A330" s="200"/>
      <c r="B330" s="202"/>
      <c r="C330" s="36" t="s">
        <v>134</v>
      </c>
      <c r="D330" s="47" t="s">
        <v>42</v>
      </c>
      <c r="E330" s="37">
        <v>0.33</v>
      </c>
      <c r="F330" s="34">
        <v>0</v>
      </c>
      <c r="G330" s="34">
        <f>IF(ISNUMBER(F330),E330*F330,"")</f>
        <v>0</v>
      </c>
      <c r="H330" s="35"/>
      <c r="I330" s="31"/>
      <c r="J330" s="155">
        <v>0</v>
      </c>
    </row>
    <row r="331" spans="1:10" ht="15.75" hidden="1" thickBot="1" x14ac:dyDescent="0.3">
      <c r="A331" s="200"/>
      <c r="B331" s="202"/>
      <c r="C331" s="36" t="s">
        <v>135</v>
      </c>
      <c r="D331" s="47" t="s">
        <v>42</v>
      </c>
      <c r="E331" s="37">
        <v>2.5000000000000001E-2</v>
      </c>
      <c r="F331" s="34">
        <v>18.885999999999999</v>
      </c>
      <c r="G331" s="34">
        <f>IF(ISNUMBER(F331),E331*F331,"")</f>
        <v>0.47215000000000001</v>
      </c>
      <c r="H331" s="35"/>
      <c r="I331" s="31"/>
      <c r="J331" s="155">
        <v>0</v>
      </c>
    </row>
    <row r="332" spans="1:10" ht="26.25" hidden="1" thickBot="1" x14ac:dyDescent="0.3">
      <c r="A332" s="200"/>
      <c r="B332" s="202"/>
      <c r="C332" s="36" t="s">
        <v>136</v>
      </c>
      <c r="D332" s="47" t="s">
        <v>110</v>
      </c>
      <c r="E332" s="37">
        <v>0.05</v>
      </c>
      <c r="F332" s="34">
        <v>9.7089999999999996</v>
      </c>
      <c r="G332" s="34">
        <f>IF(ISNUMBER(F332),E332*F332,"")</f>
        <v>0.48544999999999999</v>
      </c>
      <c r="H332" s="35"/>
      <c r="I332" s="31"/>
      <c r="J332" s="155">
        <v>0</v>
      </c>
    </row>
    <row r="333" spans="1:10" ht="15.75" hidden="1" thickBot="1" x14ac:dyDescent="0.3">
      <c r="A333" s="200"/>
      <c r="B333" s="202"/>
      <c r="C333" s="36" t="s">
        <v>137</v>
      </c>
      <c r="D333" s="47" t="s">
        <v>42</v>
      </c>
      <c r="E333" s="37">
        <v>0.4</v>
      </c>
      <c r="F333" s="34">
        <v>0</v>
      </c>
      <c r="G333" s="34">
        <f>IF(ISNUMBER(F333),E333*F333,"")</f>
        <v>0</v>
      </c>
      <c r="H333" s="35"/>
      <c r="I333" s="31"/>
      <c r="J333" s="155">
        <v>0</v>
      </c>
    </row>
    <row r="334" spans="1:10" ht="15.75" hidden="1" thickBot="1" x14ac:dyDescent="0.3">
      <c r="A334" s="200"/>
      <c r="B334" s="202"/>
      <c r="C334" s="36" t="s">
        <v>27</v>
      </c>
      <c r="D334" s="47" t="s">
        <v>12</v>
      </c>
      <c r="E334" s="37">
        <f>0.2+0.2</f>
        <v>0.4</v>
      </c>
      <c r="F334" s="31">
        <v>17.299499999999998</v>
      </c>
      <c r="G334" s="34">
        <f>IF(ISNUMBER(F334),E334*F334,"")</f>
        <v>6.9197999999999995</v>
      </c>
      <c r="H334" s="35"/>
      <c r="I334" s="31"/>
      <c r="J334" s="155">
        <v>0</v>
      </c>
    </row>
    <row r="335" spans="1:10" ht="15.75" hidden="1" thickBot="1" x14ac:dyDescent="0.3">
      <c r="A335" s="200"/>
      <c r="B335" s="202"/>
      <c r="C335" s="36" t="s">
        <v>23</v>
      </c>
      <c r="D335" s="47" t="s">
        <v>12</v>
      </c>
      <c r="E335" s="37">
        <v>0.1</v>
      </c>
      <c r="F335" s="31">
        <v>16.729499999999998</v>
      </c>
      <c r="G335" s="34">
        <f>IF(ISNUMBER(F335),E335*F335,"")</f>
        <v>1.6729499999999999</v>
      </c>
      <c r="H335" s="35"/>
      <c r="I335" s="31"/>
      <c r="J335" s="155">
        <v>0</v>
      </c>
    </row>
    <row r="336" spans="1:10" ht="26.25" hidden="1" thickBot="1" x14ac:dyDescent="0.3">
      <c r="A336" s="200"/>
      <c r="B336" s="202"/>
      <c r="C336" s="36" t="s">
        <v>138</v>
      </c>
      <c r="D336" s="47" t="s">
        <v>42</v>
      </c>
      <c r="E336" s="37">
        <v>0.05</v>
      </c>
      <c r="F336" s="34">
        <v>0</v>
      </c>
      <c r="G336" s="34">
        <f>IF(ISNUMBER(F336),E336*F336,"")</f>
        <v>0</v>
      </c>
      <c r="H336" s="35"/>
      <c r="I336" s="31"/>
      <c r="J336" s="155">
        <v>0</v>
      </c>
    </row>
    <row r="337" spans="1:10" ht="39" hidden="1" thickBot="1" x14ac:dyDescent="0.3">
      <c r="A337" s="200"/>
      <c r="B337" s="202"/>
      <c r="C337" s="36" t="s">
        <v>139</v>
      </c>
      <c r="D337" s="47" t="s">
        <v>95</v>
      </c>
      <c r="E337" s="37">
        <v>0.05</v>
      </c>
      <c r="F337" s="34">
        <v>0</v>
      </c>
      <c r="G337" s="34">
        <f>IF(ISNUMBER(F337),E337*F337,"")</f>
        <v>0</v>
      </c>
      <c r="H337" s="35"/>
      <c r="I337" s="31"/>
      <c r="J337" s="155">
        <v>0</v>
      </c>
    </row>
    <row r="338" spans="1:10" ht="15.75" hidden="1" thickBot="1" x14ac:dyDescent="0.3">
      <c r="A338" s="200"/>
      <c r="B338" s="202"/>
      <c r="C338" s="36" t="s">
        <v>140</v>
      </c>
      <c r="D338" s="47" t="s">
        <v>12</v>
      </c>
      <c r="E338" s="37">
        <v>2.5000000000000001E-2</v>
      </c>
      <c r="F338" s="34">
        <v>0</v>
      </c>
      <c r="G338" s="34">
        <f>IF(ISNUMBER(F338),E338*F338,"")</f>
        <v>0</v>
      </c>
      <c r="H338" s="35"/>
      <c r="I338" s="31"/>
      <c r="J338" s="155">
        <v>0</v>
      </c>
    </row>
    <row r="339" spans="1:10" ht="51.75" hidden="1" thickBot="1" x14ac:dyDescent="0.3">
      <c r="A339" s="200"/>
      <c r="B339" s="202"/>
      <c r="C339" s="36" t="s">
        <v>141</v>
      </c>
      <c r="D339" s="47" t="s">
        <v>12</v>
      </c>
      <c r="E339" s="37">
        <v>0.5</v>
      </c>
      <c r="F339" s="34">
        <v>0</v>
      </c>
      <c r="G339" s="34">
        <f>IF(ISNUMBER(F339),E339*F339,"")</f>
        <v>0</v>
      </c>
      <c r="H339" s="35"/>
      <c r="I339" s="31"/>
      <c r="J339" s="155">
        <v>0</v>
      </c>
    </row>
    <row r="340" spans="1:10" ht="15.75" hidden="1" thickBot="1" x14ac:dyDescent="0.3">
      <c r="A340" s="201"/>
      <c r="B340" s="188"/>
      <c r="C340" s="36"/>
      <c r="D340" s="36"/>
      <c r="E340" s="37"/>
      <c r="F340" s="31" t="s">
        <v>558</v>
      </c>
      <c r="G340" s="31" t="str">
        <f>IF(ISNUMBER(F340),E340*F340,"")</f>
        <v/>
      </c>
      <c r="H340" s="35"/>
      <c r="I340" s="31"/>
      <c r="J340" s="155">
        <v>0</v>
      </c>
    </row>
    <row r="341" spans="1:10" ht="15.75" hidden="1" thickBot="1" x14ac:dyDescent="0.3">
      <c r="A341" s="180" t="s">
        <v>142</v>
      </c>
      <c r="B341" s="186" t="str">
        <f>INDEX(Orçamentária!A:B,MATCH(Composições!A341,Orçamentária!A:A,0),2)</f>
        <v>Forma para estruturas de concreto</v>
      </c>
      <c r="C341" s="41"/>
      <c r="D341" s="26" t="str">
        <f>TRIM(INDEX(Orçamentária!C:C,MATCH(Composições!A341,Orçamentária!A:A,0),1))</f>
        <v>m2</v>
      </c>
      <c r="E341" s="27"/>
      <c r="F341" s="42" t="s">
        <v>558</v>
      </c>
      <c r="G341" s="28" t="str">
        <f>IF(ISNUMBER(F341),E341*F341,"")</f>
        <v/>
      </c>
      <c r="H341" s="29"/>
      <c r="I341" s="30"/>
      <c r="J341" s="155">
        <v>0</v>
      </c>
    </row>
    <row r="342" spans="1:10" ht="15.75" hidden="1" thickBot="1" x14ac:dyDescent="0.3">
      <c r="A342" s="200"/>
      <c r="B342" s="202"/>
      <c r="C342" s="32"/>
      <c r="D342" s="32"/>
      <c r="E342" s="33"/>
      <c r="F342" s="43" t="s">
        <v>558</v>
      </c>
      <c r="G342" s="31" t="str">
        <f>IF(ISNUMBER(F342),E342*F342,"")</f>
        <v/>
      </c>
      <c r="H342" s="35"/>
      <c r="I342" s="31"/>
      <c r="J342" s="155">
        <v>0</v>
      </c>
    </row>
    <row r="343" spans="1:10" ht="26.25" hidden="1" thickBot="1" x14ac:dyDescent="0.3">
      <c r="A343" s="200"/>
      <c r="B343" s="202"/>
      <c r="C343" s="36" t="s">
        <v>1203</v>
      </c>
      <c r="D343" s="50" t="s">
        <v>103</v>
      </c>
      <c r="E343" s="37">
        <v>0.01</v>
      </c>
      <c r="F343" s="34">
        <v>6.1274999999999995</v>
      </c>
      <c r="G343" s="34">
        <f>IF(ISNUMBER(F343),E343*F343,"")</f>
        <v>6.1274999999999996E-2</v>
      </c>
      <c r="H343" s="39">
        <f>SUM(G343:G349)</f>
        <v>159.34203470099999</v>
      </c>
      <c r="I343" s="40"/>
      <c r="J343" s="155">
        <v>0</v>
      </c>
    </row>
    <row r="344" spans="1:10" ht="26.25" hidden="1" thickBot="1" x14ac:dyDescent="0.3">
      <c r="A344" s="200"/>
      <c r="B344" s="202"/>
      <c r="C344" s="36" t="s">
        <v>3844</v>
      </c>
      <c r="D344" s="36" t="s">
        <v>513</v>
      </c>
      <c r="E344" s="37">
        <v>0.47399999999999998</v>
      </c>
      <c r="F344" s="34">
        <v>16.7105</v>
      </c>
      <c r="G344" s="34">
        <f>IF(ISNUMBER(F344),E344*F344,"")</f>
        <v>7.9207769999999993</v>
      </c>
      <c r="H344" s="35"/>
      <c r="I344" s="31"/>
      <c r="J344" s="155">
        <v>0</v>
      </c>
    </row>
    <row r="345" spans="1:10" ht="15.75" hidden="1" thickBot="1" x14ac:dyDescent="0.3">
      <c r="A345" s="200"/>
      <c r="B345" s="202"/>
      <c r="C345" s="36" t="s">
        <v>3437</v>
      </c>
      <c r="D345" s="36" t="s">
        <v>938</v>
      </c>
      <c r="E345" s="37">
        <v>4.9000000000000002E-2</v>
      </c>
      <c r="F345" s="34">
        <v>23.730999999999998</v>
      </c>
      <c r="G345" s="34">
        <f>IF(ISNUMBER(F345),E345*F345,"")</f>
        <v>1.162819</v>
      </c>
      <c r="H345" s="35"/>
      <c r="I345" s="31"/>
      <c r="J345" s="155">
        <v>0</v>
      </c>
    </row>
    <row r="346" spans="1:10" ht="15.75" hidden="1" thickBot="1" x14ac:dyDescent="0.3">
      <c r="A346" s="200"/>
      <c r="B346" s="202"/>
      <c r="C346" s="36" t="s">
        <v>825</v>
      </c>
      <c r="D346" s="36" t="s">
        <v>742</v>
      </c>
      <c r="E346" s="37">
        <v>0.20499999999999999</v>
      </c>
      <c r="F346" s="31">
        <v>18.962</v>
      </c>
      <c r="G346" s="34">
        <f>IF(ISNUMBER(F346),E346*F346,"")</f>
        <v>3.8872099999999996</v>
      </c>
      <c r="H346" s="35"/>
      <c r="I346" s="31"/>
      <c r="J346" s="155">
        <v>0</v>
      </c>
    </row>
    <row r="347" spans="1:10" ht="15.75" hidden="1" thickBot="1" x14ac:dyDescent="0.3">
      <c r="A347" s="200"/>
      <c r="B347" s="202"/>
      <c r="C347" s="36" t="s">
        <v>1035</v>
      </c>
      <c r="D347" s="36" t="s">
        <v>742</v>
      </c>
      <c r="E347" s="37">
        <v>1.1200000000000001</v>
      </c>
      <c r="F347" s="31">
        <v>22.495999999999999</v>
      </c>
      <c r="G347" s="34">
        <f>IF(ISNUMBER(F347),E347*F347,"")</f>
        <v>25.195520000000002</v>
      </c>
      <c r="H347" s="35"/>
      <c r="I347" s="31"/>
      <c r="J347" s="155">
        <v>0</v>
      </c>
    </row>
    <row r="348" spans="1:10" ht="26.25" hidden="1" thickBot="1" x14ac:dyDescent="0.3">
      <c r="A348" s="200"/>
      <c r="B348" s="202"/>
      <c r="C348" s="36" t="s">
        <v>3774</v>
      </c>
      <c r="D348" s="36" t="s">
        <v>1034</v>
      </c>
      <c r="E348" s="37">
        <v>0.621</v>
      </c>
      <c r="F348" s="34">
        <v>103.19042499999998</v>
      </c>
      <c r="G348" s="34">
        <f>IF(ISNUMBER(F348),E348*F348,"")</f>
        <v>64.081253924999984</v>
      </c>
      <c r="H348" s="35"/>
      <c r="I348" s="31"/>
      <c r="J348" s="155">
        <v>0</v>
      </c>
    </row>
    <row r="349" spans="1:10" ht="26.25" hidden="1" thickBot="1" x14ac:dyDescent="0.3">
      <c r="A349" s="200"/>
      <c r="B349" s="202"/>
      <c r="C349" s="36" t="s">
        <v>3776</v>
      </c>
      <c r="D349" s="36" t="s">
        <v>513</v>
      </c>
      <c r="E349" s="37">
        <v>1.8160000000000001</v>
      </c>
      <c r="F349" s="34">
        <v>31.405936000000001</v>
      </c>
      <c r="G349" s="34">
        <f>IF(ISNUMBER(F349),E349*F349,"")</f>
        <v>57.033179776000004</v>
      </c>
      <c r="H349" s="35"/>
      <c r="I349" s="31"/>
      <c r="J349" s="155">
        <v>0</v>
      </c>
    </row>
    <row r="350" spans="1:10" ht="15.75" hidden="1" thickBot="1" x14ac:dyDescent="0.3">
      <c r="A350" s="201"/>
      <c r="B350" s="188"/>
      <c r="C350" s="36"/>
      <c r="D350" s="36"/>
      <c r="E350" s="37"/>
      <c r="F350" s="31" t="s">
        <v>558</v>
      </c>
      <c r="G350" s="31" t="str">
        <f>IF(ISNUMBER(F350),E350*F350,"")</f>
        <v/>
      </c>
      <c r="H350" s="35"/>
      <c r="I350" s="31"/>
      <c r="J350" s="155">
        <v>0</v>
      </c>
    </row>
    <row r="351" spans="1:10" ht="15.75" hidden="1" thickBot="1" x14ac:dyDescent="0.3">
      <c r="A351" s="180" t="s">
        <v>143</v>
      </c>
      <c r="B351" s="186" t="str">
        <f>INDEX(Orçamentária!A:B,MATCH(Composições!A351,Orçamentária!A:A,0),2)</f>
        <v>Verga/contraverga/cinta em bloco de concreto canaleta 11,5 x 19 x 39 cm</v>
      </c>
      <c r="C351" s="41"/>
      <c r="D351" s="26" t="str">
        <f>TRIM(INDEX(Orçamentária!C:C,MATCH(Composições!A351,Orçamentária!A:A,0),1))</f>
        <v>m</v>
      </c>
      <c r="E351" s="27"/>
      <c r="F351" s="42" t="s">
        <v>558</v>
      </c>
      <c r="G351" s="28" t="str">
        <f>IF(ISNUMBER(F351),E351*F351,"")</f>
        <v/>
      </c>
      <c r="H351" s="29"/>
      <c r="I351" s="30"/>
      <c r="J351" s="155">
        <v>0</v>
      </c>
    </row>
    <row r="352" spans="1:10" ht="15.75" hidden="1" thickBot="1" x14ac:dyDescent="0.3">
      <c r="A352" s="181"/>
      <c r="B352" s="202"/>
      <c r="C352" s="32"/>
      <c r="D352" s="32"/>
      <c r="E352" s="33"/>
      <c r="F352" s="43" t="s">
        <v>558</v>
      </c>
      <c r="G352" s="31" t="str">
        <f>IF(ISNUMBER(F352),E352*F352,"")</f>
        <v/>
      </c>
      <c r="H352" s="35"/>
      <c r="I352" s="31"/>
      <c r="J352" s="155">
        <v>0</v>
      </c>
    </row>
    <row r="353" spans="1:10" ht="15.75" hidden="1" thickBot="1" x14ac:dyDescent="0.3">
      <c r="A353" s="181"/>
      <c r="B353" s="202"/>
      <c r="C353" s="36" t="s">
        <v>23</v>
      </c>
      <c r="D353" s="47" t="s">
        <v>12</v>
      </c>
      <c r="E353" s="37">
        <v>0.4</v>
      </c>
      <c r="F353" s="31">
        <v>16.729499999999998</v>
      </c>
      <c r="G353" s="34">
        <f>IF(ISNUMBER(F353),E353*F353,"")</f>
        <v>6.6917999999999997</v>
      </c>
      <c r="H353" s="39">
        <f>SUM(G353:G361)</f>
        <v>23.366534286000004</v>
      </c>
      <c r="I353" s="40"/>
      <c r="J353" s="155">
        <v>0</v>
      </c>
    </row>
    <row r="354" spans="1:10" ht="15.75" hidden="1" thickBot="1" x14ac:dyDescent="0.3">
      <c r="A354" s="181"/>
      <c r="B354" s="202"/>
      <c r="C354" s="36" t="s">
        <v>144</v>
      </c>
      <c r="D354" s="47" t="s">
        <v>12</v>
      </c>
      <c r="E354" s="37">
        <v>0.3</v>
      </c>
      <c r="F354" s="31">
        <v>22.704999999999998</v>
      </c>
      <c r="G354" s="34">
        <f>IF(ISNUMBER(F354),E354*F354,"")</f>
        <v>6.8114999999999997</v>
      </c>
      <c r="H354" s="35"/>
      <c r="I354" s="31"/>
      <c r="J354" s="155">
        <v>0</v>
      </c>
    </row>
    <row r="355" spans="1:10" ht="15.75" hidden="1" thickBot="1" x14ac:dyDescent="0.3">
      <c r="A355" s="181"/>
      <c r="B355" s="202"/>
      <c r="C355" s="36" t="s">
        <v>115</v>
      </c>
      <c r="D355" s="36" t="s">
        <v>110</v>
      </c>
      <c r="E355" s="37">
        <v>0.01</v>
      </c>
      <c r="F355" s="34">
        <v>85.5</v>
      </c>
      <c r="G355" s="34">
        <f>IF(ISNUMBER(F355),E355*F355,"")</f>
        <v>0.85499999999999998</v>
      </c>
      <c r="H355" s="35"/>
      <c r="I355" s="31"/>
      <c r="J355" s="155">
        <v>0</v>
      </c>
    </row>
    <row r="356" spans="1:10" ht="15.75" hidden="1" thickBot="1" x14ac:dyDescent="0.3">
      <c r="A356" s="181"/>
      <c r="B356" s="202"/>
      <c r="C356" s="36" t="s">
        <v>145</v>
      </c>
      <c r="D356" s="36" t="s">
        <v>110</v>
      </c>
      <c r="E356" s="37">
        <v>0.01</v>
      </c>
      <c r="F356" s="34">
        <v>125.64699999999999</v>
      </c>
      <c r="G356" s="34">
        <f>IF(ISNUMBER(F356),E356*F356,"")</f>
        <v>1.25647</v>
      </c>
      <c r="H356" s="35"/>
      <c r="I356" s="31"/>
      <c r="J356" s="155">
        <v>0</v>
      </c>
    </row>
    <row r="357" spans="1:10" ht="15.75" hidden="1" thickBot="1" x14ac:dyDescent="0.3">
      <c r="A357" s="181"/>
      <c r="B357" s="202"/>
      <c r="C357" s="36" t="s">
        <v>116</v>
      </c>
      <c r="D357" s="47" t="s">
        <v>42</v>
      </c>
      <c r="E357" s="37">
        <v>2.0099999999999998</v>
      </c>
      <c r="F357" s="34">
        <v>0.52249999999999996</v>
      </c>
      <c r="G357" s="34">
        <f>IF(ISNUMBER(F357),E357*F357,"")</f>
        <v>1.0502249999999997</v>
      </c>
      <c r="H357" s="35"/>
      <c r="I357" s="31"/>
      <c r="J357" s="155">
        <v>0</v>
      </c>
    </row>
    <row r="358" spans="1:10" ht="15.75" hidden="1" thickBot="1" x14ac:dyDescent="0.3">
      <c r="A358" s="181"/>
      <c r="B358" s="202"/>
      <c r="C358" s="36" t="s">
        <v>146</v>
      </c>
      <c r="D358" s="47" t="s">
        <v>147</v>
      </c>
      <c r="E358" s="37">
        <v>2.5</v>
      </c>
      <c r="F358" s="31">
        <v>0</v>
      </c>
      <c r="G358" s="34">
        <f>IF(ISNUMBER(F358),E358*F358,"")</f>
        <v>0</v>
      </c>
      <c r="H358" s="35"/>
      <c r="I358" s="31"/>
      <c r="J358" s="155">
        <v>0</v>
      </c>
    </row>
    <row r="359" spans="1:10" ht="15.75" hidden="1" thickBot="1" x14ac:dyDescent="0.3">
      <c r="A359" s="181"/>
      <c r="B359" s="202"/>
      <c r="C359" s="36" t="s">
        <v>148</v>
      </c>
      <c r="D359" s="47" t="s">
        <v>42</v>
      </c>
      <c r="E359" s="37">
        <v>0.5</v>
      </c>
      <c r="F359" s="34">
        <v>11.561499999999999</v>
      </c>
      <c r="G359" s="34">
        <f>IF(ISNUMBER(F359),E359*F359,"")</f>
        <v>5.7807499999999994</v>
      </c>
      <c r="H359" s="35"/>
      <c r="I359" s="31"/>
      <c r="J359" s="155">
        <v>0</v>
      </c>
    </row>
    <row r="360" spans="1:10" ht="51.75" hidden="1" thickBot="1" x14ac:dyDescent="0.3">
      <c r="A360" s="181"/>
      <c r="B360" s="202"/>
      <c r="C360" s="36" t="s">
        <v>3617</v>
      </c>
      <c r="D360" s="36" t="s">
        <v>122</v>
      </c>
      <c r="E360" s="37">
        <f>1*(E355+E356)</f>
        <v>0.02</v>
      </c>
      <c r="F360" s="34">
        <v>6.0418992999999999</v>
      </c>
      <c r="G360" s="34">
        <f>IF(ISNUMBER(F360),E360*F360,"")</f>
        <v>0.12083798599999999</v>
      </c>
      <c r="H360" s="35"/>
      <c r="I360" s="31"/>
      <c r="J360" s="155">
        <v>0</v>
      </c>
    </row>
    <row r="361" spans="1:10" ht="39" hidden="1" thickBot="1" x14ac:dyDescent="0.3">
      <c r="A361" s="181"/>
      <c r="B361" s="202"/>
      <c r="C361" s="36" t="s">
        <v>123</v>
      </c>
      <c r="D361" s="47" t="s">
        <v>124</v>
      </c>
      <c r="E361" s="37">
        <f>(E355+E356)*20</f>
        <v>0.4</v>
      </c>
      <c r="F361" s="34">
        <v>1.9998782499999996</v>
      </c>
      <c r="G361" s="34">
        <f>IF(ISNUMBER(F361),E361*F361,"")</f>
        <v>0.79995129999999992</v>
      </c>
      <c r="H361" s="35"/>
      <c r="I361" s="31"/>
      <c r="J361" s="155">
        <v>0</v>
      </c>
    </row>
    <row r="362" spans="1:10" ht="15.75" hidden="1" thickBot="1" x14ac:dyDescent="0.3">
      <c r="A362" s="181"/>
      <c r="B362" s="202"/>
      <c r="C362" s="51"/>
      <c r="D362" s="47"/>
      <c r="E362" s="37"/>
      <c r="F362" s="34" t="s">
        <v>558</v>
      </c>
      <c r="G362" s="34" t="str">
        <f>IF(ISNUMBER(F362),E362*F362,"")</f>
        <v/>
      </c>
      <c r="H362" s="35"/>
      <c r="I362" s="31"/>
      <c r="J362" s="155">
        <v>0</v>
      </c>
    </row>
    <row r="363" spans="1:10" ht="26.25" hidden="1" thickBot="1" x14ac:dyDescent="0.3">
      <c r="A363" s="181"/>
      <c r="B363" s="202"/>
      <c r="C363" s="48" t="s">
        <v>125</v>
      </c>
      <c r="D363" s="47"/>
      <c r="E363" s="37"/>
      <c r="F363" s="34" t="s">
        <v>558</v>
      </c>
      <c r="G363" s="34" t="str">
        <f>IF(ISNUMBER(F363),E363*F363,"")</f>
        <v/>
      </c>
      <c r="H363" s="35"/>
      <c r="I363" s="31"/>
      <c r="J363" s="155">
        <v>0</v>
      </c>
    </row>
    <row r="364" spans="1:10" ht="15.75" hidden="1" thickBot="1" x14ac:dyDescent="0.3">
      <c r="A364" s="182"/>
      <c r="B364" s="188"/>
      <c r="C364" s="36"/>
      <c r="D364" s="36"/>
      <c r="E364" s="37"/>
      <c r="F364" s="31" t="s">
        <v>558</v>
      </c>
      <c r="G364" s="31" t="str">
        <f>IF(ISNUMBER(F364),E364*F364,"")</f>
        <v/>
      </c>
      <c r="H364" s="35"/>
      <c r="I364" s="31"/>
      <c r="J364" s="155">
        <v>0</v>
      </c>
    </row>
    <row r="365" spans="1:10" ht="15.75" hidden="1" thickBot="1" x14ac:dyDescent="0.3">
      <c r="A365" s="180" t="s">
        <v>149</v>
      </c>
      <c r="B365" s="186" t="str">
        <f>INDEX(Orçamentária!A:B,MATCH(Composições!A365,Orçamentária!A:A,0),2)</f>
        <v>Impermeabilização de superfície com revestimento bicomponente semi flexível</v>
      </c>
      <c r="C365" s="41"/>
      <c r="D365" s="26" t="str">
        <f>TRIM(INDEX(Orçamentária!C:C,MATCH(Composições!A365,Orçamentária!A:A,0),1))</f>
        <v>m2</v>
      </c>
      <c r="E365" s="27"/>
      <c r="F365" s="42" t="s">
        <v>558</v>
      </c>
      <c r="G365" s="28" t="str">
        <f>IF(ISNUMBER(F365),E365*F365,"")</f>
        <v/>
      </c>
      <c r="H365" s="29"/>
      <c r="I365" s="30"/>
      <c r="J365" s="155">
        <v>0</v>
      </c>
    </row>
    <row r="366" spans="1:10" ht="15.75" hidden="1" thickBot="1" x14ac:dyDescent="0.3">
      <c r="A366" s="200"/>
      <c r="B366" s="202"/>
      <c r="C366" s="32"/>
      <c r="D366" s="32"/>
      <c r="E366" s="33"/>
      <c r="F366" s="43" t="s">
        <v>558</v>
      </c>
      <c r="G366" s="31" t="str">
        <f>IF(ISNUMBER(F366),E366*F366,"")</f>
        <v/>
      </c>
      <c r="H366" s="35"/>
      <c r="I366" s="31"/>
      <c r="J366" s="155">
        <v>0</v>
      </c>
    </row>
    <row r="367" spans="1:10" ht="26.25" hidden="1" thickBot="1" x14ac:dyDescent="0.3">
      <c r="A367" s="200"/>
      <c r="B367" s="202"/>
      <c r="C367" s="36" t="s">
        <v>150</v>
      </c>
      <c r="D367" s="36" t="s">
        <v>42</v>
      </c>
      <c r="E367" s="37">
        <v>3.2</v>
      </c>
      <c r="F367" s="34">
        <v>2.9164999999999996</v>
      </c>
      <c r="G367" s="31">
        <f>IF(ISNUMBER(F367),E367*F367,"")</f>
        <v>9.3327999999999989</v>
      </c>
      <c r="H367" s="39">
        <f>SUM(G367:G369)</f>
        <v>23.562356000000001</v>
      </c>
      <c r="I367" s="40"/>
      <c r="J367" s="155">
        <v>0</v>
      </c>
    </row>
    <row r="368" spans="1:10" ht="15.75" hidden="1" thickBot="1" x14ac:dyDescent="0.3">
      <c r="A368" s="200"/>
      <c r="B368" s="202"/>
      <c r="C368" s="36" t="s">
        <v>50</v>
      </c>
      <c r="D368" s="50" t="s">
        <v>12</v>
      </c>
      <c r="E368" s="37">
        <v>0.108</v>
      </c>
      <c r="F368" s="31">
        <v>19.911999999999999</v>
      </c>
      <c r="G368" s="31">
        <f>IF(ISNUMBER(F368),E368*F368,"")</f>
        <v>2.150496</v>
      </c>
      <c r="H368" s="35"/>
      <c r="I368" s="31"/>
      <c r="J368" s="155">
        <v>0</v>
      </c>
    </row>
    <row r="369" spans="1:10" ht="15.75" hidden="1" thickBot="1" x14ac:dyDescent="0.3">
      <c r="A369" s="200"/>
      <c r="B369" s="202"/>
      <c r="C369" s="36" t="s">
        <v>151</v>
      </c>
      <c r="D369" s="50" t="s">
        <v>12</v>
      </c>
      <c r="E369" s="37">
        <v>0.53200000000000003</v>
      </c>
      <c r="F369" s="31">
        <v>22.704999999999998</v>
      </c>
      <c r="G369" s="31">
        <f>IF(ISNUMBER(F369),E369*F369,"")</f>
        <v>12.07906</v>
      </c>
      <c r="H369" s="35"/>
      <c r="I369" s="31"/>
      <c r="J369" s="155">
        <v>0</v>
      </c>
    </row>
    <row r="370" spans="1:10" ht="15.75" hidden="1" thickBot="1" x14ac:dyDescent="0.3">
      <c r="A370" s="201"/>
      <c r="B370" s="188"/>
      <c r="C370" s="36"/>
      <c r="D370" s="36"/>
      <c r="E370" s="37"/>
      <c r="F370" s="31" t="s">
        <v>558</v>
      </c>
      <c r="G370" s="31" t="str">
        <f>IF(ISNUMBER(F370),E370*F370,"")</f>
        <v/>
      </c>
      <c r="H370" s="35"/>
      <c r="I370" s="31"/>
      <c r="J370" s="155">
        <v>0</v>
      </c>
    </row>
    <row r="371" spans="1:10" ht="15.75" hidden="1" thickBot="1" x14ac:dyDescent="0.3">
      <c r="A371" s="180" t="s">
        <v>152</v>
      </c>
      <c r="B371" s="186" t="str">
        <f>INDEX(Orçamentária!A:B,MATCH(Composições!A371,Orçamentária!A:A,0),2)</f>
        <v>Alvenaria de vedação</v>
      </c>
      <c r="C371" s="41"/>
      <c r="D371" s="26" t="str">
        <f>TRIM(INDEX(Orçamentária!C:C,MATCH(Composições!A371,Orçamentária!A:A,0),1))</f>
        <v>m2</v>
      </c>
      <c r="E371" s="27"/>
      <c r="F371" s="42" t="s">
        <v>558</v>
      </c>
      <c r="G371" s="28" t="str">
        <f>IF(ISNUMBER(F371),E371*F371,"")</f>
        <v/>
      </c>
      <c r="H371" s="29"/>
      <c r="I371" s="30"/>
      <c r="J371" s="155">
        <v>0</v>
      </c>
    </row>
    <row r="372" spans="1:10" ht="15.75" hidden="1" thickBot="1" x14ac:dyDescent="0.3">
      <c r="A372" s="200"/>
      <c r="B372" s="202"/>
      <c r="C372" s="32"/>
      <c r="D372" s="32"/>
      <c r="E372" s="33"/>
      <c r="F372" s="43" t="s">
        <v>558</v>
      </c>
      <c r="G372" s="31" t="str">
        <f>IF(ISNUMBER(F372),E372*F372,"")</f>
        <v/>
      </c>
      <c r="H372" s="35"/>
      <c r="I372" s="31"/>
      <c r="J372" s="155">
        <v>0</v>
      </c>
    </row>
    <row r="373" spans="1:10" ht="26.25" hidden="1" thickBot="1" x14ac:dyDescent="0.3">
      <c r="A373" s="200"/>
      <c r="B373" s="202"/>
      <c r="C373" s="36" t="s">
        <v>3600</v>
      </c>
      <c r="D373" s="47" t="s">
        <v>153</v>
      </c>
      <c r="E373" s="37">
        <v>2.7900000000000001E-2</v>
      </c>
      <c r="F373" s="34">
        <v>779</v>
      </c>
      <c r="G373" s="34">
        <f>IF(ISNUMBER(F373),E373*F373,"")</f>
        <v>21.734100000000002</v>
      </c>
      <c r="H373" s="39">
        <f>SUM(G373:G378)</f>
        <v>71.083738808080398</v>
      </c>
      <c r="I373" s="40"/>
      <c r="J373" s="155">
        <v>0</v>
      </c>
    </row>
    <row r="374" spans="1:10" ht="26.25" hidden="1" thickBot="1" x14ac:dyDescent="0.3">
      <c r="A374" s="200"/>
      <c r="B374" s="202"/>
      <c r="C374" s="36" t="s">
        <v>154</v>
      </c>
      <c r="D374" s="47" t="s">
        <v>93</v>
      </c>
      <c r="E374" s="37">
        <v>0.42</v>
      </c>
      <c r="F374" s="34">
        <v>4.3034999999999997</v>
      </c>
      <c r="G374" s="34">
        <f>IF(ISNUMBER(F374),E374*F374,"")</f>
        <v>1.8074699999999997</v>
      </c>
      <c r="H374" s="35"/>
      <c r="I374" s="31"/>
      <c r="J374" s="155">
        <v>0</v>
      </c>
    </row>
    <row r="375" spans="1:10" ht="15.75" hidden="1" thickBot="1" x14ac:dyDescent="0.3">
      <c r="A375" s="200"/>
      <c r="B375" s="202"/>
      <c r="C375" s="36" t="s">
        <v>155</v>
      </c>
      <c r="D375" s="47" t="s">
        <v>156</v>
      </c>
      <c r="E375" s="37">
        <v>5.0000000000000001E-3</v>
      </c>
      <c r="F375" s="34">
        <v>36.631999999999998</v>
      </c>
      <c r="G375" s="34">
        <f>IF(ISNUMBER(F375),E375*F375,"")</f>
        <v>0.18315999999999999</v>
      </c>
      <c r="H375" s="35"/>
      <c r="I375" s="31"/>
      <c r="J375" s="155">
        <v>0</v>
      </c>
    </row>
    <row r="376" spans="1:10" ht="51.75" hidden="1" thickBot="1" x14ac:dyDescent="0.3">
      <c r="A376" s="200"/>
      <c r="B376" s="202"/>
      <c r="C376" s="36" t="s">
        <v>157</v>
      </c>
      <c r="D376" s="47" t="s">
        <v>110</v>
      </c>
      <c r="E376" s="37">
        <v>9.7999999999999997E-3</v>
      </c>
      <c r="F376" s="34">
        <v>489.12768449799989</v>
      </c>
      <c r="G376" s="34">
        <f>IF(ISNUMBER(F376),E376*F376,"")</f>
        <v>4.7934513080803987</v>
      </c>
      <c r="H376" s="35"/>
      <c r="I376" s="31"/>
      <c r="J376" s="155">
        <v>0</v>
      </c>
    </row>
    <row r="377" spans="1:10" ht="15.75" hidden="1" thickBot="1" x14ac:dyDescent="0.3">
      <c r="A377" s="200"/>
      <c r="B377" s="202"/>
      <c r="C377" s="36" t="s">
        <v>22</v>
      </c>
      <c r="D377" s="47" t="s">
        <v>12</v>
      </c>
      <c r="E377" s="37">
        <v>1.37</v>
      </c>
      <c r="F377" s="31">
        <v>22.704999999999998</v>
      </c>
      <c r="G377" s="31">
        <f>IF(ISNUMBER(F377),E377*F377,"")</f>
        <v>31.10585</v>
      </c>
      <c r="H377" s="35"/>
      <c r="I377" s="31"/>
      <c r="J377" s="155">
        <v>0</v>
      </c>
    </row>
    <row r="378" spans="1:10" ht="15.75" hidden="1" thickBot="1" x14ac:dyDescent="0.3">
      <c r="A378" s="200"/>
      <c r="B378" s="202"/>
      <c r="C378" s="36" t="s">
        <v>23</v>
      </c>
      <c r="D378" s="47" t="s">
        <v>12</v>
      </c>
      <c r="E378" s="37">
        <v>0.68500000000000005</v>
      </c>
      <c r="F378" s="31">
        <v>16.729499999999998</v>
      </c>
      <c r="G378" s="31">
        <f>IF(ISNUMBER(F378),E378*F378,"")</f>
        <v>11.4597075</v>
      </c>
      <c r="H378" s="35"/>
      <c r="I378" s="31"/>
      <c r="J378" s="155">
        <v>0</v>
      </c>
    </row>
    <row r="379" spans="1:10" ht="15.75" hidden="1" thickBot="1" x14ac:dyDescent="0.3">
      <c r="A379" s="201"/>
      <c r="B379" s="188"/>
      <c r="C379" s="36"/>
      <c r="D379" s="36"/>
      <c r="E379" s="37"/>
      <c r="F379" s="31" t="s">
        <v>558</v>
      </c>
      <c r="G379" s="31" t="str">
        <f>IF(ISNUMBER(F379),E379*F379,"")</f>
        <v/>
      </c>
      <c r="H379" s="35"/>
      <c r="I379" s="31"/>
      <c r="J379" s="155">
        <v>0</v>
      </c>
    </row>
    <row r="380" spans="1:10" ht="15.75" hidden="1" thickBot="1" x14ac:dyDescent="0.3">
      <c r="A380" s="180" t="s">
        <v>158</v>
      </c>
      <c r="B380" s="186" t="str">
        <f>INDEX(Orçamentária!A:B,MATCH(Composições!A380,Orçamentária!A:A,0),2)</f>
        <v>Fechamento ou shaft em gesso acartonado tipo drywall</v>
      </c>
      <c r="C380" s="41"/>
      <c r="D380" s="26" t="str">
        <f>TRIM(INDEX(Orçamentária!C:C,MATCH(Composições!A380,Orçamentária!A:A,0),1))</f>
        <v>m2</v>
      </c>
      <c r="E380" s="27"/>
      <c r="F380" s="42" t="s">
        <v>558</v>
      </c>
      <c r="G380" s="28" t="str">
        <f>IF(ISNUMBER(F380),E380*F380,"")</f>
        <v/>
      </c>
      <c r="H380" s="29"/>
      <c r="I380" s="30"/>
      <c r="J380" s="155">
        <v>0</v>
      </c>
    </row>
    <row r="381" spans="1:10" ht="15.75" hidden="1" thickBot="1" x14ac:dyDescent="0.3">
      <c r="A381" s="200"/>
      <c r="B381" s="202"/>
      <c r="C381" s="32"/>
      <c r="D381" s="32"/>
      <c r="E381" s="33"/>
      <c r="F381" s="43" t="s">
        <v>558</v>
      </c>
      <c r="G381" s="31" t="str">
        <f>IF(ISNUMBER(F381),E381*F381,"")</f>
        <v/>
      </c>
      <c r="H381" s="35"/>
      <c r="I381" s="31"/>
      <c r="J381" s="155">
        <v>0</v>
      </c>
    </row>
    <row r="382" spans="1:10" ht="26.25" hidden="1" thickBot="1" x14ac:dyDescent="0.3">
      <c r="A382" s="200"/>
      <c r="B382" s="202"/>
      <c r="C382" s="36" t="s">
        <v>159</v>
      </c>
      <c r="D382" s="36" t="s">
        <v>156</v>
      </c>
      <c r="E382" s="37">
        <v>2.4299999999999999E-2</v>
      </c>
      <c r="F382" s="34">
        <v>42.607500000000002</v>
      </c>
      <c r="G382" s="34">
        <f>IF(ISNUMBER(F382),E382*F382,"")</f>
        <v>1.0353622499999999</v>
      </c>
      <c r="H382" s="39">
        <f>SUM(G382:G392)</f>
        <v>50.404949899999991</v>
      </c>
      <c r="I382" s="40"/>
      <c r="J382" s="155">
        <v>0</v>
      </c>
    </row>
    <row r="383" spans="1:10" ht="26.25" hidden="1" thickBot="1" x14ac:dyDescent="0.3">
      <c r="A383" s="200"/>
      <c r="B383" s="202"/>
      <c r="C383" s="36" t="s">
        <v>3790</v>
      </c>
      <c r="D383" s="36" t="s">
        <v>95</v>
      </c>
      <c r="E383" s="37">
        <v>1.0529999999999999</v>
      </c>
      <c r="F383" s="34">
        <v>12.891499999999999</v>
      </c>
      <c r="G383" s="34">
        <f>IF(ISNUMBER(F383),E383*F383,"")</f>
        <v>13.574749499999998</v>
      </c>
      <c r="H383" s="45"/>
      <c r="I383" s="46"/>
      <c r="J383" s="155">
        <v>0</v>
      </c>
    </row>
    <row r="384" spans="1:10" ht="26.25" hidden="1" thickBot="1" x14ac:dyDescent="0.3">
      <c r="A384" s="200"/>
      <c r="B384" s="202"/>
      <c r="C384" s="36" t="s">
        <v>160</v>
      </c>
      <c r="D384" s="36" t="s">
        <v>93</v>
      </c>
      <c r="E384" s="37">
        <v>0.76039999999999996</v>
      </c>
      <c r="F384" s="34">
        <v>8.0749999999999993</v>
      </c>
      <c r="G384" s="34">
        <f>IF(ISNUMBER(F384),E384*F384,"")</f>
        <v>6.140229999999999</v>
      </c>
      <c r="H384" s="45"/>
      <c r="I384" s="46"/>
      <c r="J384" s="155">
        <v>0</v>
      </c>
    </row>
    <row r="385" spans="1:10" ht="26.25" hidden="1" thickBot="1" x14ac:dyDescent="0.3">
      <c r="A385" s="200"/>
      <c r="B385" s="202"/>
      <c r="C385" s="36" t="s">
        <v>161</v>
      </c>
      <c r="D385" s="36" t="s">
        <v>93</v>
      </c>
      <c r="E385" s="37">
        <v>1.9910000000000001</v>
      </c>
      <c r="F385" s="34">
        <v>9.1579999999999995</v>
      </c>
      <c r="G385" s="34">
        <f>IF(ISNUMBER(F385),E385*F385,"")</f>
        <v>18.233578000000001</v>
      </c>
      <c r="H385" s="45"/>
      <c r="I385" s="46"/>
      <c r="J385" s="155">
        <v>0</v>
      </c>
    </row>
    <row r="386" spans="1:10" ht="26.25" hidden="1" thickBot="1" x14ac:dyDescent="0.3">
      <c r="A386" s="200"/>
      <c r="B386" s="202"/>
      <c r="C386" s="36" t="s">
        <v>162</v>
      </c>
      <c r="D386" s="36" t="s">
        <v>93</v>
      </c>
      <c r="E386" s="37">
        <v>1.2513000000000001</v>
      </c>
      <c r="F386" s="34">
        <v>0.14249999999999999</v>
      </c>
      <c r="G386" s="34">
        <f>IF(ISNUMBER(F386),E386*F386,"")</f>
        <v>0.17831025</v>
      </c>
      <c r="H386" s="45"/>
      <c r="I386" s="46"/>
      <c r="J386" s="155">
        <v>0</v>
      </c>
    </row>
    <row r="387" spans="1:10" ht="26.25" hidden="1" thickBot="1" x14ac:dyDescent="0.3">
      <c r="A387" s="200"/>
      <c r="B387" s="202"/>
      <c r="C387" s="36" t="s">
        <v>163</v>
      </c>
      <c r="D387" s="36" t="s">
        <v>93</v>
      </c>
      <c r="E387" s="37">
        <v>0.74070000000000003</v>
      </c>
      <c r="F387" s="34">
        <v>1.9094999999999998</v>
      </c>
      <c r="G387" s="34">
        <f>IF(ISNUMBER(F387),E387*F387,"")</f>
        <v>1.4143666499999998</v>
      </c>
      <c r="H387" s="45"/>
      <c r="I387" s="46"/>
      <c r="J387" s="155">
        <v>0</v>
      </c>
    </row>
    <row r="388" spans="1:10" ht="39" hidden="1" thickBot="1" x14ac:dyDescent="0.3">
      <c r="A388" s="200"/>
      <c r="B388" s="202"/>
      <c r="C388" s="36" t="s">
        <v>3787</v>
      </c>
      <c r="D388" s="36" t="s">
        <v>42</v>
      </c>
      <c r="E388" s="37">
        <v>0.51639999999999997</v>
      </c>
      <c r="F388" s="34">
        <v>2.5649999999999999</v>
      </c>
      <c r="G388" s="34">
        <f>IF(ISNUMBER(F388),E388*F388,"")</f>
        <v>1.3245659999999999</v>
      </c>
      <c r="H388" s="45"/>
      <c r="I388" s="46"/>
      <c r="J388" s="155">
        <v>0</v>
      </c>
    </row>
    <row r="389" spans="1:10" ht="26.25" hidden="1" thickBot="1" x14ac:dyDescent="0.3">
      <c r="A389" s="200"/>
      <c r="B389" s="202"/>
      <c r="C389" s="36" t="s">
        <v>164</v>
      </c>
      <c r="D389" s="36" t="s">
        <v>20</v>
      </c>
      <c r="E389" s="37">
        <v>10.0039</v>
      </c>
      <c r="F389" s="34">
        <v>5.6999999999999995E-2</v>
      </c>
      <c r="G389" s="34">
        <f>IF(ISNUMBER(F389),E389*F389,"")</f>
        <v>0.57022229999999996</v>
      </c>
      <c r="H389" s="45"/>
      <c r="I389" s="46"/>
      <c r="J389" s="155">
        <v>0</v>
      </c>
    </row>
    <row r="390" spans="1:10" ht="26.25" hidden="1" thickBot="1" x14ac:dyDescent="0.3">
      <c r="A390" s="200"/>
      <c r="B390" s="202"/>
      <c r="C390" s="36" t="s">
        <v>165</v>
      </c>
      <c r="D390" s="36" t="s">
        <v>20</v>
      </c>
      <c r="E390" s="37">
        <v>0.80759999999999998</v>
      </c>
      <c r="F390" s="34">
        <v>0.152</v>
      </c>
      <c r="G390" s="34">
        <f>IF(ISNUMBER(F390),E390*F390,"")</f>
        <v>0.12275519999999999</v>
      </c>
      <c r="H390" s="45"/>
      <c r="I390" s="46"/>
      <c r="J390" s="155">
        <v>0</v>
      </c>
    </row>
    <row r="391" spans="1:10" ht="15.75" hidden="1" thickBot="1" x14ac:dyDescent="0.3">
      <c r="A391" s="200"/>
      <c r="B391" s="202"/>
      <c r="C391" s="36" t="s">
        <v>27</v>
      </c>
      <c r="D391" s="36" t="s">
        <v>12</v>
      </c>
      <c r="E391" s="37">
        <v>0.36359999999999998</v>
      </c>
      <c r="F391" s="31">
        <v>17.299499999999998</v>
      </c>
      <c r="G391" s="34">
        <f>IF(ISNUMBER(F391),E391*F391,"")</f>
        <v>6.2900981999999992</v>
      </c>
      <c r="H391" s="45"/>
      <c r="I391" s="46"/>
      <c r="J391" s="155">
        <v>0</v>
      </c>
    </row>
    <row r="392" spans="1:10" ht="15.75" hidden="1" thickBot="1" x14ac:dyDescent="0.3">
      <c r="A392" s="200"/>
      <c r="B392" s="202"/>
      <c r="C392" s="36" t="s">
        <v>23</v>
      </c>
      <c r="D392" s="36" t="s">
        <v>12</v>
      </c>
      <c r="E392" s="37">
        <v>9.0899999999999995E-2</v>
      </c>
      <c r="F392" s="31">
        <v>16.729499999999998</v>
      </c>
      <c r="G392" s="34">
        <f>IF(ISNUMBER(F392),E392*F392,"")</f>
        <v>1.5207115499999997</v>
      </c>
      <c r="H392" s="45"/>
      <c r="I392" s="46"/>
      <c r="J392" s="155">
        <v>0</v>
      </c>
    </row>
    <row r="393" spans="1:10" ht="15.75" hidden="1" thickBot="1" x14ac:dyDescent="0.3">
      <c r="A393" s="201"/>
      <c r="B393" s="188"/>
      <c r="C393" s="36"/>
      <c r="D393" s="36"/>
      <c r="E393" s="37"/>
      <c r="F393" s="31" t="s">
        <v>558</v>
      </c>
      <c r="G393" s="31" t="str">
        <f>IF(ISNUMBER(F393),E393*F393,"")</f>
        <v/>
      </c>
      <c r="H393" s="35"/>
      <c r="I393" s="31"/>
      <c r="J393" s="155">
        <v>0</v>
      </c>
    </row>
    <row r="394" spans="1:10" ht="15.75" hidden="1" thickBot="1" x14ac:dyDescent="0.3">
      <c r="A394" s="180" t="s">
        <v>166</v>
      </c>
      <c r="B394" s="186" t="str">
        <f>INDEX(Orçamentária!A:B,MATCH(Composições!A394,Orçamentária!A:A,0),2)</f>
        <v>Fixação (encunhamento) de Alvenaria de Vedação</v>
      </c>
      <c r="C394" s="41"/>
      <c r="D394" s="26" t="str">
        <f>TRIM(INDEX(Orçamentária!C:C,MATCH(Composições!A394,Orçamentária!A:A,0),1))</f>
        <v>m</v>
      </c>
      <c r="E394" s="27"/>
      <c r="F394" s="42" t="s">
        <v>558</v>
      </c>
      <c r="G394" s="28" t="str">
        <f>IF(ISNUMBER(F394),E394*F394,"")</f>
        <v/>
      </c>
      <c r="H394" s="29"/>
      <c r="I394" s="30"/>
      <c r="J394" s="155">
        <v>0</v>
      </c>
    </row>
    <row r="395" spans="1:10" ht="15.75" hidden="1" thickBot="1" x14ac:dyDescent="0.3">
      <c r="A395" s="200"/>
      <c r="B395" s="202"/>
      <c r="C395" s="32"/>
      <c r="D395" s="32"/>
      <c r="E395" s="33"/>
      <c r="F395" s="43" t="s">
        <v>558</v>
      </c>
      <c r="G395" s="31" t="str">
        <f>IF(ISNUMBER(F395),E395*F395,"")</f>
        <v/>
      </c>
      <c r="H395" s="35"/>
      <c r="I395" s="31"/>
      <c r="J395" s="155">
        <v>0</v>
      </c>
    </row>
    <row r="396" spans="1:10" ht="15.75" hidden="1" thickBot="1" x14ac:dyDescent="0.3">
      <c r="A396" s="200"/>
      <c r="B396" s="202"/>
      <c r="C396" s="36" t="s">
        <v>3610</v>
      </c>
      <c r="D396" s="47" t="s">
        <v>20</v>
      </c>
      <c r="E396" s="37">
        <v>11.2</v>
      </c>
      <c r="F396" s="34">
        <v>0.66499999999999992</v>
      </c>
      <c r="G396" s="31">
        <f>IF(ISNUMBER(F396),E396*F396,"")</f>
        <v>7.4479999999999986</v>
      </c>
      <c r="H396" s="39">
        <f>SUM(G396:G399)</f>
        <v>23.677750100930798</v>
      </c>
      <c r="I396" s="40"/>
      <c r="J396" s="155">
        <v>0</v>
      </c>
    </row>
    <row r="397" spans="1:10" ht="51.75" hidden="1" thickBot="1" x14ac:dyDescent="0.3">
      <c r="A397" s="200"/>
      <c r="B397" s="202"/>
      <c r="C397" s="36" t="s">
        <v>167</v>
      </c>
      <c r="D397" s="47" t="s">
        <v>110</v>
      </c>
      <c r="E397" s="37">
        <v>5.1999999999999998E-3</v>
      </c>
      <c r="F397" s="34">
        <v>470.28425017899997</v>
      </c>
      <c r="G397" s="31">
        <f>IF(ISNUMBER(F397),E397*F397,"")</f>
        <v>2.4454781009307998</v>
      </c>
      <c r="H397" s="45"/>
      <c r="I397" s="46"/>
      <c r="J397" s="155">
        <v>0</v>
      </c>
    </row>
    <row r="398" spans="1:10" ht="15.75" hidden="1" thickBot="1" x14ac:dyDescent="0.3">
      <c r="A398" s="200"/>
      <c r="B398" s="202"/>
      <c r="C398" s="36" t="s">
        <v>22</v>
      </c>
      <c r="D398" s="47" t="s">
        <v>12</v>
      </c>
      <c r="E398" s="37">
        <v>0.52900000000000003</v>
      </c>
      <c r="F398" s="31">
        <v>22.704999999999998</v>
      </c>
      <c r="G398" s="31">
        <f>IF(ISNUMBER(F398),E398*F398,"")</f>
        <v>12.010945</v>
      </c>
      <c r="H398" s="45"/>
      <c r="I398" s="46"/>
      <c r="J398" s="155">
        <v>0</v>
      </c>
    </row>
    <row r="399" spans="1:10" ht="15.75" hidden="1" thickBot="1" x14ac:dyDescent="0.3">
      <c r="A399" s="200"/>
      <c r="B399" s="202"/>
      <c r="C399" s="36" t="s">
        <v>23</v>
      </c>
      <c r="D399" s="47" t="s">
        <v>12</v>
      </c>
      <c r="E399" s="37">
        <v>0.106</v>
      </c>
      <c r="F399" s="31">
        <v>16.729499999999998</v>
      </c>
      <c r="G399" s="31">
        <f>IF(ISNUMBER(F399),E399*F399,"")</f>
        <v>1.7733269999999997</v>
      </c>
      <c r="H399" s="45"/>
      <c r="I399" s="46"/>
      <c r="J399" s="155">
        <v>0</v>
      </c>
    </row>
    <row r="400" spans="1:10" ht="15.75" hidden="1" thickBot="1" x14ac:dyDescent="0.3">
      <c r="A400" s="200"/>
      <c r="B400" s="202"/>
      <c r="C400" s="36"/>
      <c r="D400" s="47"/>
      <c r="E400" s="37"/>
      <c r="F400" s="34" t="s">
        <v>558</v>
      </c>
      <c r="G400" s="34" t="str">
        <f>IF(ISNUMBER(F400),E400*F400,"")</f>
        <v/>
      </c>
      <c r="H400" s="45"/>
      <c r="I400" s="46"/>
      <c r="J400" s="155">
        <v>0</v>
      </c>
    </row>
    <row r="401" spans="1:10" ht="15.75" hidden="1" thickBot="1" x14ac:dyDescent="0.3">
      <c r="A401" s="180" t="s">
        <v>168</v>
      </c>
      <c r="B401" s="186" t="str">
        <f>INDEX(Orçamentária!A:B,MATCH(Composições!A401,Orçamentária!A:A,0),2)</f>
        <v>Parede em gesso acartonado (drywall)</v>
      </c>
      <c r="C401" s="41"/>
      <c r="D401" s="26" t="str">
        <f>TRIM(INDEX(Orçamentária!C:C,MATCH(Composições!A401,Orçamentária!A:A,0),1))</f>
        <v>m2</v>
      </c>
      <c r="E401" s="27"/>
      <c r="F401" s="42" t="s">
        <v>558</v>
      </c>
      <c r="G401" s="28" t="str">
        <f>IF(ISNUMBER(F401),E401*F401,"")</f>
        <v/>
      </c>
      <c r="H401" s="29"/>
      <c r="I401" s="30"/>
      <c r="J401" s="155">
        <v>0</v>
      </c>
    </row>
    <row r="402" spans="1:10" ht="15.75" hidden="1" thickBot="1" x14ac:dyDescent="0.3">
      <c r="A402" s="200"/>
      <c r="B402" s="202"/>
      <c r="C402" s="32"/>
      <c r="D402" s="32"/>
      <c r="E402" s="33"/>
      <c r="F402" s="43" t="s">
        <v>558</v>
      </c>
      <c r="G402" s="31" t="str">
        <f>IF(ISNUMBER(F402),E402*F402,"")</f>
        <v/>
      </c>
      <c r="H402" s="35"/>
      <c r="I402" s="31"/>
      <c r="J402" s="155">
        <v>0</v>
      </c>
    </row>
    <row r="403" spans="1:10" ht="26.25" hidden="1" thickBot="1" x14ac:dyDescent="0.3">
      <c r="A403" s="200"/>
      <c r="B403" s="202"/>
      <c r="C403" s="36" t="s">
        <v>169</v>
      </c>
      <c r="D403" s="47" t="s">
        <v>156</v>
      </c>
      <c r="E403" s="37">
        <v>2.4299999999999999E-2</v>
      </c>
      <c r="F403" s="34">
        <v>42.607500000000002</v>
      </c>
      <c r="G403" s="31">
        <f>IF(ISNUMBER(F403),E403*F403,"")</f>
        <v>1.0353622499999999</v>
      </c>
      <c r="H403" s="39">
        <f>SUM(G403:G413)</f>
        <v>69.946795699999981</v>
      </c>
      <c r="I403" s="40"/>
      <c r="J403" s="155">
        <v>0</v>
      </c>
    </row>
    <row r="404" spans="1:10" ht="26.25" hidden="1" thickBot="1" x14ac:dyDescent="0.3">
      <c r="A404" s="200"/>
      <c r="B404" s="202"/>
      <c r="C404" s="36" t="s">
        <v>3790</v>
      </c>
      <c r="D404" s="47" t="s">
        <v>95</v>
      </c>
      <c r="E404" s="37">
        <v>2.1059999999999999</v>
      </c>
      <c r="F404" s="34">
        <v>12.891499999999999</v>
      </c>
      <c r="G404" s="31">
        <f>IF(ISNUMBER(F404),E404*F404,"")</f>
        <v>27.149498999999995</v>
      </c>
      <c r="H404" s="35"/>
      <c r="I404" s="31"/>
      <c r="J404" s="155">
        <v>0</v>
      </c>
    </row>
    <row r="405" spans="1:10" ht="26.25" hidden="1" thickBot="1" x14ac:dyDescent="0.3">
      <c r="A405" s="200"/>
      <c r="B405" s="202"/>
      <c r="C405" s="36" t="s">
        <v>170</v>
      </c>
      <c r="D405" s="47" t="s">
        <v>93</v>
      </c>
      <c r="E405" s="37">
        <v>0.76039999999999996</v>
      </c>
      <c r="F405" s="34">
        <v>8.0749999999999993</v>
      </c>
      <c r="G405" s="31">
        <f>IF(ISNUMBER(F405),E405*F405,"")</f>
        <v>6.140229999999999</v>
      </c>
      <c r="H405" s="35"/>
      <c r="I405" s="31"/>
      <c r="J405" s="155">
        <v>0</v>
      </c>
    </row>
    <row r="406" spans="1:10" ht="26.25" hidden="1" thickBot="1" x14ac:dyDescent="0.3">
      <c r="A406" s="200"/>
      <c r="B406" s="202"/>
      <c r="C406" s="36" t="s">
        <v>171</v>
      </c>
      <c r="D406" s="47" t="s">
        <v>93</v>
      </c>
      <c r="E406" s="37">
        <v>1.9910000000000001</v>
      </c>
      <c r="F406" s="34">
        <v>9.1579999999999995</v>
      </c>
      <c r="G406" s="31">
        <f>IF(ISNUMBER(F406),E406*F406,"")</f>
        <v>18.233578000000001</v>
      </c>
      <c r="H406" s="35"/>
      <c r="I406" s="31"/>
      <c r="J406" s="155">
        <v>0</v>
      </c>
    </row>
    <row r="407" spans="1:10" ht="26.25" hidden="1" thickBot="1" x14ac:dyDescent="0.3">
      <c r="A407" s="200"/>
      <c r="B407" s="202"/>
      <c r="C407" s="36" t="s">
        <v>172</v>
      </c>
      <c r="D407" s="47" t="s">
        <v>93</v>
      </c>
      <c r="E407" s="37">
        <v>2.5026999999999999</v>
      </c>
      <c r="F407" s="34">
        <v>0.14249999999999999</v>
      </c>
      <c r="G407" s="31">
        <f>IF(ISNUMBER(F407),E407*F407,"")</f>
        <v>0.35663474999999994</v>
      </c>
      <c r="H407" s="35"/>
      <c r="I407" s="31"/>
      <c r="J407" s="155">
        <v>0</v>
      </c>
    </row>
    <row r="408" spans="1:10" ht="26.25" hidden="1" thickBot="1" x14ac:dyDescent="0.3">
      <c r="A408" s="200"/>
      <c r="B408" s="202"/>
      <c r="C408" s="36" t="s">
        <v>173</v>
      </c>
      <c r="D408" s="47" t="s">
        <v>93</v>
      </c>
      <c r="E408" s="37">
        <v>0.74070000000000003</v>
      </c>
      <c r="F408" s="34">
        <v>1.9094999999999998</v>
      </c>
      <c r="G408" s="31">
        <f>IF(ISNUMBER(F408),E408*F408,"")</f>
        <v>1.4143666499999998</v>
      </c>
      <c r="H408" s="35"/>
      <c r="I408" s="31"/>
      <c r="J408" s="155">
        <v>0</v>
      </c>
    </row>
    <row r="409" spans="1:10" ht="39" hidden="1" thickBot="1" x14ac:dyDescent="0.3">
      <c r="A409" s="200"/>
      <c r="B409" s="202"/>
      <c r="C409" s="36" t="s">
        <v>3787</v>
      </c>
      <c r="D409" s="47" t="s">
        <v>42</v>
      </c>
      <c r="E409" s="37">
        <v>1.0327</v>
      </c>
      <c r="F409" s="34">
        <v>2.5649999999999999</v>
      </c>
      <c r="G409" s="31">
        <f>IF(ISNUMBER(F409),E409*F409,"")</f>
        <v>2.6488754999999999</v>
      </c>
      <c r="H409" s="35"/>
      <c r="I409" s="31"/>
      <c r="J409" s="155">
        <v>0</v>
      </c>
    </row>
    <row r="410" spans="1:10" ht="26.25" hidden="1" thickBot="1" x14ac:dyDescent="0.3">
      <c r="A410" s="200"/>
      <c r="B410" s="202"/>
      <c r="C410" s="36" t="s">
        <v>174</v>
      </c>
      <c r="D410" s="47" t="s">
        <v>20</v>
      </c>
      <c r="E410" s="37">
        <v>20.0077</v>
      </c>
      <c r="F410" s="34">
        <v>5.6999999999999995E-2</v>
      </c>
      <c r="G410" s="31">
        <f>IF(ISNUMBER(F410),E410*F410,"")</f>
        <v>1.1404388999999999</v>
      </c>
      <c r="H410" s="35"/>
      <c r="I410" s="31"/>
      <c r="J410" s="155">
        <v>0</v>
      </c>
    </row>
    <row r="411" spans="1:10" ht="26.25" hidden="1" thickBot="1" x14ac:dyDescent="0.3">
      <c r="A411" s="200"/>
      <c r="B411" s="202"/>
      <c r="C411" s="36" t="s">
        <v>175</v>
      </c>
      <c r="D411" s="47" t="s">
        <v>20</v>
      </c>
      <c r="E411" s="37">
        <v>0.80759999999999998</v>
      </c>
      <c r="F411" s="34">
        <v>0.152</v>
      </c>
      <c r="G411" s="31">
        <f>IF(ISNUMBER(F411),E411*F411,"")</f>
        <v>0.12275519999999999</v>
      </c>
      <c r="H411" s="35"/>
      <c r="I411" s="31"/>
      <c r="J411" s="155">
        <v>0</v>
      </c>
    </row>
    <row r="412" spans="1:10" ht="15.75" hidden="1" thickBot="1" x14ac:dyDescent="0.3">
      <c r="A412" s="200"/>
      <c r="B412" s="202"/>
      <c r="C412" s="36" t="s">
        <v>27</v>
      </c>
      <c r="D412" s="47" t="s">
        <v>12</v>
      </c>
      <c r="E412" s="37">
        <v>0.54490000000000005</v>
      </c>
      <c r="F412" s="31">
        <v>17.299499999999998</v>
      </c>
      <c r="G412" s="31">
        <f>IF(ISNUMBER(F412),E412*F412,"")</f>
        <v>9.4264975500000006</v>
      </c>
      <c r="H412" s="35"/>
      <c r="I412" s="31"/>
      <c r="J412" s="155">
        <v>0</v>
      </c>
    </row>
    <row r="413" spans="1:10" ht="15.75" hidden="1" thickBot="1" x14ac:dyDescent="0.3">
      <c r="A413" s="200"/>
      <c r="B413" s="202"/>
      <c r="C413" s="36" t="s">
        <v>23</v>
      </c>
      <c r="D413" s="47" t="s">
        <v>12</v>
      </c>
      <c r="E413" s="37">
        <v>0.13619999999999999</v>
      </c>
      <c r="F413" s="31">
        <v>16.729499999999998</v>
      </c>
      <c r="G413" s="31">
        <f>IF(ISNUMBER(F413),E413*F413,"")</f>
        <v>2.2785578999999996</v>
      </c>
      <c r="H413" s="35"/>
      <c r="I413" s="31"/>
      <c r="J413" s="155">
        <v>0</v>
      </c>
    </row>
    <row r="414" spans="1:10" ht="15.75" hidden="1" thickBot="1" x14ac:dyDescent="0.3">
      <c r="A414" s="201"/>
      <c r="B414" s="188"/>
      <c r="C414" s="36"/>
      <c r="D414" s="36"/>
      <c r="E414" s="37"/>
      <c r="F414" s="31" t="s">
        <v>558</v>
      </c>
      <c r="G414" s="31" t="str">
        <f>IF(ISNUMBER(F414),E414*F414,"")</f>
        <v/>
      </c>
      <c r="H414" s="35"/>
      <c r="I414" s="31"/>
      <c r="J414" s="155">
        <v>0</v>
      </c>
    </row>
    <row r="415" spans="1:10" ht="15.75" hidden="1" thickBot="1" x14ac:dyDescent="0.3">
      <c r="A415" s="180" t="s">
        <v>176</v>
      </c>
      <c r="B415" s="186" t="str">
        <f>INDEX(Orçamentária!A:B,MATCH(Composições!A415,Orçamentária!A:A,0),2)</f>
        <v>Reparos superficiais em painéis de gesso acartonado</v>
      </c>
      <c r="C415" s="41"/>
      <c r="D415" s="26" t="str">
        <f>TRIM(INDEX(Orçamentária!C:C,MATCH(Composições!A415,Orçamentária!A:A,0),1))</f>
        <v>m2</v>
      </c>
      <c r="E415" s="27"/>
      <c r="F415" s="42" t="s">
        <v>558</v>
      </c>
      <c r="G415" s="28" t="str">
        <f>IF(ISNUMBER(F415),E415*F415,"")</f>
        <v/>
      </c>
      <c r="H415" s="29"/>
      <c r="I415" s="30"/>
      <c r="J415" s="155">
        <v>0</v>
      </c>
    </row>
    <row r="416" spans="1:10" ht="15.75" hidden="1" thickBot="1" x14ac:dyDescent="0.3">
      <c r="A416" s="200"/>
      <c r="B416" s="202"/>
      <c r="C416" s="32"/>
      <c r="D416" s="32"/>
      <c r="E416" s="33"/>
      <c r="F416" s="43" t="s">
        <v>558</v>
      </c>
      <c r="G416" s="31" t="str">
        <f>IF(ISNUMBER(F416),E416*F416,"")</f>
        <v/>
      </c>
      <c r="H416" s="35"/>
      <c r="I416" s="31"/>
      <c r="J416" s="155">
        <v>0</v>
      </c>
    </row>
    <row r="417" spans="1:10" ht="26.25" hidden="1" thickBot="1" x14ac:dyDescent="0.3">
      <c r="A417" s="200"/>
      <c r="B417" s="202"/>
      <c r="C417" s="36" t="s">
        <v>172</v>
      </c>
      <c r="D417" s="47" t="s">
        <v>93</v>
      </c>
      <c r="E417" s="37">
        <v>1.2513000000000001</v>
      </c>
      <c r="F417" s="34">
        <v>0.14249999999999999</v>
      </c>
      <c r="G417" s="31">
        <f>IF(ISNUMBER(F417),E417*F417,"")</f>
        <v>0.17831025</v>
      </c>
      <c r="H417" s="39">
        <f>SUM(G417:G420)</f>
        <v>4.6635718499999994</v>
      </c>
      <c r="I417" s="40"/>
      <c r="J417" s="155">
        <v>0</v>
      </c>
    </row>
    <row r="418" spans="1:10" ht="39" hidden="1" thickBot="1" x14ac:dyDescent="0.3">
      <c r="A418" s="200"/>
      <c r="B418" s="202"/>
      <c r="C418" s="36" t="s">
        <v>3787</v>
      </c>
      <c r="D418" s="47" t="s">
        <v>42</v>
      </c>
      <c r="E418" s="37">
        <v>0.51639999999999997</v>
      </c>
      <c r="F418" s="34">
        <v>2.5649999999999999</v>
      </c>
      <c r="G418" s="31">
        <f>IF(ISNUMBER(F418),E418*F418,"")</f>
        <v>1.3245659999999999</v>
      </c>
      <c r="H418" s="45"/>
      <c r="I418" s="46"/>
      <c r="J418" s="155">
        <v>0</v>
      </c>
    </row>
    <row r="419" spans="1:10" ht="15.75" hidden="1" thickBot="1" x14ac:dyDescent="0.3">
      <c r="A419" s="200"/>
      <c r="B419" s="202"/>
      <c r="C419" s="36" t="s">
        <v>27</v>
      </c>
      <c r="D419" s="47" t="s">
        <v>12</v>
      </c>
      <c r="E419" s="37">
        <f>0.3636/3</f>
        <v>0.12119999999999999</v>
      </c>
      <c r="F419" s="31">
        <v>17.299499999999998</v>
      </c>
      <c r="G419" s="31">
        <f>IF(ISNUMBER(F419),E419*F419,"")</f>
        <v>2.0966993999999994</v>
      </c>
      <c r="H419" s="45"/>
      <c r="I419" s="46"/>
      <c r="J419" s="155">
        <v>0</v>
      </c>
    </row>
    <row r="420" spans="1:10" ht="15.75" hidden="1" thickBot="1" x14ac:dyDescent="0.3">
      <c r="A420" s="200"/>
      <c r="B420" s="202"/>
      <c r="C420" s="36" t="s">
        <v>23</v>
      </c>
      <c r="D420" s="47" t="s">
        <v>12</v>
      </c>
      <c r="E420" s="37">
        <f>ROUND(0.0909*0.7,4)</f>
        <v>6.3600000000000004E-2</v>
      </c>
      <c r="F420" s="31">
        <v>16.729499999999998</v>
      </c>
      <c r="G420" s="31">
        <f>IF(ISNUMBER(F420),E420*F420,"")</f>
        <v>1.0639961999999998</v>
      </c>
      <c r="H420" s="45"/>
      <c r="I420" s="46"/>
      <c r="J420" s="155">
        <v>0</v>
      </c>
    </row>
    <row r="421" spans="1:10" ht="15.75" hidden="1" thickBot="1" x14ac:dyDescent="0.3">
      <c r="A421" s="200"/>
      <c r="B421" s="202"/>
      <c r="C421" s="36"/>
      <c r="D421" s="47"/>
      <c r="E421" s="37"/>
      <c r="F421" s="34" t="s">
        <v>558</v>
      </c>
      <c r="G421" s="34" t="str">
        <f>IF(ISNUMBER(F421),E421*F421,"")</f>
        <v/>
      </c>
      <c r="H421" s="45"/>
      <c r="I421" s="46"/>
      <c r="J421" s="155">
        <v>0</v>
      </c>
    </row>
    <row r="422" spans="1:10" ht="15.75" hidden="1" thickBot="1" x14ac:dyDescent="0.3">
      <c r="A422" s="180" t="s">
        <v>177</v>
      </c>
      <c r="B422" s="186" t="str">
        <f>INDEX(Orçamentária!A:B,MATCH(Composições!A422,Orçamentária!A:A,0),2)</f>
        <v>Sóculo h=10 cm</v>
      </c>
      <c r="C422" s="41"/>
      <c r="D422" s="26" t="str">
        <f>TRIM(INDEX(Orçamentária!C:C,MATCH(Composições!A422,Orçamentária!A:A,0),1))</f>
        <v>m2</v>
      </c>
      <c r="E422" s="27"/>
      <c r="F422" s="42" t="s">
        <v>558</v>
      </c>
      <c r="G422" s="28" t="str">
        <f>IF(ISNUMBER(F422),E422*F422,"")</f>
        <v/>
      </c>
      <c r="H422" s="29"/>
      <c r="I422" s="30"/>
      <c r="J422" s="155">
        <v>0</v>
      </c>
    </row>
    <row r="423" spans="1:10" ht="15.75" hidden="1" thickBot="1" x14ac:dyDescent="0.3">
      <c r="A423" s="200"/>
      <c r="B423" s="202"/>
      <c r="C423" s="32"/>
      <c r="D423" s="32"/>
      <c r="E423" s="33"/>
      <c r="F423" s="43" t="s">
        <v>558</v>
      </c>
      <c r="G423" s="31" t="str">
        <f>IF(ISNUMBER(F423),E423*F423,"")</f>
        <v/>
      </c>
      <c r="H423" s="35"/>
      <c r="I423" s="31"/>
      <c r="J423" s="155">
        <v>0</v>
      </c>
    </row>
    <row r="424" spans="1:10" ht="26.25" hidden="1" thickBot="1" x14ac:dyDescent="0.3">
      <c r="A424" s="200"/>
      <c r="B424" s="202"/>
      <c r="C424" s="36" t="s">
        <v>154</v>
      </c>
      <c r="D424" s="47" t="s">
        <v>93</v>
      </c>
      <c r="E424" s="37">
        <v>0.78500000000000003</v>
      </c>
      <c r="F424" s="34">
        <v>4.3034999999999997</v>
      </c>
      <c r="G424" s="34">
        <f>IF(ISNUMBER(F424),E424*F424,"")</f>
        <v>3.3782475000000001</v>
      </c>
      <c r="H424" s="39">
        <f>SUM(G424:G432)</f>
        <v>77.684114898586586</v>
      </c>
      <c r="I424" s="40"/>
      <c r="J424" s="155">
        <v>0</v>
      </c>
    </row>
    <row r="425" spans="1:10" ht="15.75" hidden="1" thickBot="1" x14ac:dyDescent="0.3">
      <c r="A425" s="200"/>
      <c r="B425" s="202"/>
      <c r="C425" s="36" t="s">
        <v>155</v>
      </c>
      <c r="D425" s="47" t="s">
        <v>156</v>
      </c>
      <c r="E425" s="37">
        <v>9.4000000000000004E-3</v>
      </c>
      <c r="F425" s="34">
        <v>36.631999999999998</v>
      </c>
      <c r="G425" s="34">
        <f>IF(ISNUMBER(F425),E425*F425,"")</f>
        <v>0.3443408</v>
      </c>
      <c r="H425" s="35"/>
      <c r="I425" s="31"/>
      <c r="J425" s="155">
        <v>0</v>
      </c>
    </row>
    <row r="426" spans="1:10" ht="26.25" hidden="1" thickBot="1" x14ac:dyDescent="0.3">
      <c r="A426" s="200"/>
      <c r="B426" s="202"/>
      <c r="C426" s="36" t="s">
        <v>178</v>
      </c>
      <c r="D426" s="47" t="s">
        <v>20</v>
      </c>
      <c r="E426" s="37">
        <v>13.35</v>
      </c>
      <c r="F426" s="34">
        <v>2.0139999999999998</v>
      </c>
      <c r="G426" s="34">
        <f>IF(ISNUMBER(F426),E426*F426,"")</f>
        <v>26.886899999999997</v>
      </c>
      <c r="H426" s="35"/>
      <c r="I426" s="31"/>
      <c r="J426" s="155">
        <v>0</v>
      </c>
    </row>
    <row r="427" spans="1:10" ht="51.75" hidden="1" thickBot="1" x14ac:dyDescent="0.3">
      <c r="A427" s="200"/>
      <c r="B427" s="202"/>
      <c r="C427" s="36" t="s">
        <v>157</v>
      </c>
      <c r="D427" s="47" t="s">
        <v>110</v>
      </c>
      <c r="E427" s="37">
        <v>1.04E-2</v>
      </c>
      <c r="F427" s="34">
        <v>489.12768449799989</v>
      </c>
      <c r="G427" s="34">
        <f>IF(ISNUMBER(F427),E427*F427,"")</f>
        <v>5.0869279187791987</v>
      </c>
      <c r="H427" s="35"/>
      <c r="I427" s="31"/>
      <c r="J427" s="155">
        <v>0</v>
      </c>
    </row>
    <row r="428" spans="1:10" ht="15.75" hidden="1" thickBot="1" x14ac:dyDescent="0.3">
      <c r="A428" s="200"/>
      <c r="B428" s="202"/>
      <c r="C428" s="36" t="s">
        <v>22</v>
      </c>
      <c r="D428" s="47" t="s">
        <v>12</v>
      </c>
      <c r="E428" s="37">
        <v>0.59</v>
      </c>
      <c r="F428" s="31">
        <v>22.704999999999998</v>
      </c>
      <c r="G428" s="34">
        <f>IF(ISNUMBER(F428),E428*F428,"")</f>
        <v>13.395949999999999</v>
      </c>
      <c r="H428" s="35"/>
      <c r="I428" s="31"/>
      <c r="J428" s="155">
        <v>0</v>
      </c>
    </row>
    <row r="429" spans="1:10" ht="15.75" hidden="1" thickBot="1" x14ac:dyDescent="0.3">
      <c r="A429" s="200"/>
      <c r="B429" s="202"/>
      <c r="C429" s="36" t="s">
        <v>23</v>
      </c>
      <c r="D429" s="47" t="s">
        <v>12</v>
      </c>
      <c r="E429" s="37">
        <v>0.29499999999999998</v>
      </c>
      <c r="F429" s="31">
        <v>16.729499999999998</v>
      </c>
      <c r="G429" s="34">
        <f>IF(ISNUMBER(F429),E429*F429,"")</f>
        <v>4.935202499999999</v>
      </c>
      <c r="H429" s="35"/>
      <c r="I429" s="31"/>
      <c r="J429" s="155">
        <v>0</v>
      </c>
    </row>
    <row r="430" spans="1:10" ht="51.75" hidden="1" thickBot="1" x14ac:dyDescent="0.3">
      <c r="A430" s="200"/>
      <c r="B430" s="202"/>
      <c r="C430" s="36" t="s">
        <v>157</v>
      </c>
      <c r="D430" s="47" t="s">
        <v>110</v>
      </c>
      <c r="E430" s="37">
        <v>2.1299999999999999E-2</v>
      </c>
      <c r="F430" s="34">
        <v>489.12768449799989</v>
      </c>
      <c r="G430" s="34">
        <f>IF(ISNUMBER(F430),E430*F430,"")</f>
        <v>10.418419679807398</v>
      </c>
      <c r="H430" s="35"/>
      <c r="I430" s="31"/>
      <c r="J430" s="155">
        <v>0</v>
      </c>
    </row>
    <row r="431" spans="1:10" ht="15.75" hidden="1" thickBot="1" x14ac:dyDescent="0.3">
      <c r="A431" s="200"/>
      <c r="B431" s="202"/>
      <c r="C431" s="36" t="s">
        <v>22</v>
      </c>
      <c r="D431" s="47" t="s">
        <v>12</v>
      </c>
      <c r="E431" s="37">
        <v>0.46</v>
      </c>
      <c r="F431" s="31">
        <v>22.704999999999998</v>
      </c>
      <c r="G431" s="34">
        <f>IF(ISNUMBER(F431),E431*F431,"")</f>
        <v>10.4443</v>
      </c>
      <c r="H431" s="35"/>
      <c r="I431" s="31"/>
      <c r="J431" s="155">
        <v>0</v>
      </c>
    </row>
    <row r="432" spans="1:10" ht="15.75" hidden="1" thickBot="1" x14ac:dyDescent="0.3">
      <c r="A432" s="200"/>
      <c r="B432" s="202"/>
      <c r="C432" s="36" t="s">
        <v>23</v>
      </c>
      <c r="D432" s="47" t="s">
        <v>12</v>
      </c>
      <c r="E432" s="37">
        <v>0.16700000000000001</v>
      </c>
      <c r="F432" s="31">
        <v>16.729499999999998</v>
      </c>
      <c r="G432" s="34">
        <f>IF(ISNUMBER(F432),E432*F432,"")</f>
        <v>2.7938264999999998</v>
      </c>
      <c r="H432" s="35"/>
      <c r="I432" s="31"/>
      <c r="J432" s="155">
        <v>0</v>
      </c>
    </row>
    <row r="433" spans="1:10" ht="15.75" hidden="1" thickBot="1" x14ac:dyDescent="0.3">
      <c r="A433" s="201"/>
      <c r="B433" s="188"/>
      <c r="C433" s="36"/>
      <c r="D433" s="36"/>
      <c r="E433" s="37"/>
      <c r="F433" s="31" t="s">
        <v>558</v>
      </c>
      <c r="G433" s="31" t="str">
        <f>IF(ISNUMBER(F433),E433*F433,"")</f>
        <v/>
      </c>
      <c r="H433" s="35"/>
      <c r="I433" s="31"/>
      <c r="J433" s="155">
        <v>0</v>
      </c>
    </row>
    <row r="434" spans="1:10" ht="15.75" hidden="1" thickBot="1" x14ac:dyDescent="0.3">
      <c r="A434" s="180" t="s">
        <v>179</v>
      </c>
      <c r="B434" s="186" t="str">
        <f>INDEX(Orçamentária!A:B,MATCH(Composições!A434,Orçamentária!A:A,0),2)</f>
        <v>Chapisco colante industrializado em vigas e pilares</v>
      </c>
      <c r="C434" s="41"/>
      <c r="D434" s="26" t="str">
        <f>TRIM(INDEX(Orçamentária!C:C,MATCH(Composições!A434,Orçamentária!A:A,0),1))</f>
        <v>m2</v>
      </c>
      <c r="E434" s="27"/>
      <c r="F434" s="42" t="s">
        <v>558</v>
      </c>
      <c r="G434" s="28" t="str">
        <f>IF(ISNUMBER(F434),E434*F434,"")</f>
        <v/>
      </c>
      <c r="H434" s="29"/>
      <c r="I434" s="30"/>
      <c r="J434" s="155">
        <v>0</v>
      </c>
    </row>
    <row r="435" spans="1:10" ht="15.75" hidden="1" thickBot="1" x14ac:dyDescent="0.3">
      <c r="A435" s="200"/>
      <c r="B435" s="202"/>
      <c r="C435" s="32"/>
      <c r="D435" s="32"/>
      <c r="E435" s="33"/>
      <c r="F435" s="43" t="s">
        <v>558</v>
      </c>
      <c r="G435" s="31" t="str">
        <f>IF(ISNUMBER(F435),E435*F435,"")</f>
        <v/>
      </c>
      <c r="H435" s="35"/>
      <c r="I435" s="31"/>
      <c r="J435" s="155">
        <v>0</v>
      </c>
    </row>
    <row r="436" spans="1:10" ht="39" hidden="1" thickBot="1" x14ac:dyDescent="0.3">
      <c r="A436" s="200"/>
      <c r="B436" s="202"/>
      <c r="C436" s="36" t="s">
        <v>180</v>
      </c>
      <c r="D436" s="36" t="s">
        <v>110</v>
      </c>
      <c r="E436" s="37">
        <v>3.2000000000000002E-3</v>
      </c>
      <c r="F436" s="34">
        <v>1818.60609</v>
      </c>
      <c r="G436" s="34">
        <f>IF(ISNUMBER(F436),E436*F436,"")</f>
        <v>5.8195394880000002</v>
      </c>
      <c r="H436" s="39">
        <f>SUM(G436:G438)</f>
        <v>9.2568304379999997</v>
      </c>
      <c r="I436" s="40"/>
      <c r="J436" s="155">
        <v>0</v>
      </c>
    </row>
    <row r="437" spans="1:10" ht="15.75" hidden="1" thickBot="1" x14ac:dyDescent="0.3">
      <c r="A437" s="200"/>
      <c r="B437" s="202"/>
      <c r="C437" s="36" t="s">
        <v>22</v>
      </c>
      <c r="D437" s="36" t="s">
        <v>12</v>
      </c>
      <c r="E437" s="37">
        <v>0.14099999999999999</v>
      </c>
      <c r="F437" s="31">
        <v>22.704999999999998</v>
      </c>
      <c r="G437" s="34">
        <f>IF(ISNUMBER(F437),E437*F437,"")</f>
        <v>3.2014049999999994</v>
      </c>
      <c r="H437" s="35"/>
      <c r="I437" s="31"/>
      <c r="J437" s="155">
        <v>0</v>
      </c>
    </row>
    <row r="438" spans="1:10" ht="15.75" hidden="1" thickBot="1" x14ac:dyDescent="0.3">
      <c r="A438" s="200"/>
      <c r="B438" s="202"/>
      <c r="C438" s="36" t="s">
        <v>23</v>
      </c>
      <c r="D438" s="36" t="s">
        <v>12</v>
      </c>
      <c r="E438" s="37">
        <v>1.41E-2</v>
      </c>
      <c r="F438" s="31">
        <v>16.729499999999998</v>
      </c>
      <c r="G438" s="34">
        <f>IF(ISNUMBER(F438),E438*F438,"")</f>
        <v>0.23588594999999996</v>
      </c>
      <c r="H438" s="35"/>
      <c r="I438" s="31"/>
      <c r="J438" s="155">
        <v>0</v>
      </c>
    </row>
    <row r="439" spans="1:10" ht="15.75" hidden="1" thickBot="1" x14ac:dyDescent="0.3">
      <c r="A439" s="201"/>
      <c r="B439" s="188"/>
      <c r="C439" s="36"/>
      <c r="D439" s="36"/>
      <c r="E439" s="37"/>
      <c r="F439" s="31" t="s">
        <v>558</v>
      </c>
      <c r="G439" s="31" t="str">
        <f>IF(ISNUMBER(F439),E439*F439,"")</f>
        <v/>
      </c>
      <c r="H439" s="35"/>
      <c r="I439" s="31"/>
      <c r="J439" s="155">
        <v>0</v>
      </c>
    </row>
    <row r="440" spans="1:10" ht="15.75" hidden="1" thickBot="1" x14ac:dyDescent="0.3">
      <c r="A440" s="180" t="s">
        <v>181</v>
      </c>
      <c r="B440" s="186" t="str">
        <f>INDEX(Orçamentária!A:B,MATCH(Composições!A440,Orçamentária!A:A,0),2)</f>
        <v>Chapisco com argamassa traço 1:3</v>
      </c>
      <c r="C440" s="41"/>
      <c r="D440" s="26" t="str">
        <f>TRIM(INDEX(Orçamentária!C:C,MATCH(Composições!A440,Orçamentária!A:A,0),1))</f>
        <v>m2</v>
      </c>
      <c r="E440" s="27"/>
      <c r="F440" s="42" t="s">
        <v>558</v>
      </c>
      <c r="G440" s="28" t="str">
        <f>IF(ISNUMBER(F440),E440*F440,"")</f>
        <v/>
      </c>
      <c r="H440" s="29"/>
      <c r="I440" s="30"/>
      <c r="J440" s="155">
        <v>0</v>
      </c>
    </row>
    <row r="441" spans="1:10" ht="15.75" hidden="1" thickBot="1" x14ac:dyDescent="0.3">
      <c r="A441" s="200"/>
      <c r="B441" s="202"/>
      <c r="C441" s="32"/>
      <c r="D441" s="32"/>
      <c r="E441" s="33"/>
      <c r="F441" s="43" t="s">
        <v>558</v>
      </c>
      <c r="G441" s="31" t="str">
        <f>IF(ISNUMBER(F441),E441*F441,"")</f>
        <v/>
      </c>
      <c r="H441" s="35"/>
      <c r="I441" s="31"/>
      <c r="J441" s="155">
        <v>0</v>
      </c>
    </row>
    <row r="442" spans="1:10" ht="39" hidden="1" thickBot="1" x14ac:dyDescent="0.3">
      <c r="A442" s="200"/>
      <c r="B442" s="202"/>
      <c r="C442" s="36" t="s">
        <v>182</v>
      </c>
      <c r="D442" s="36" t="s">
        <v>110</v>
      </c>
      <c r="E442" s="37">
        <v>4.1999999999999997E-3</v>
      </c>
      <c r="F442" s="34">
        <v>573.88462700699995</v>
      </c>
      <c r="G442" s="34">
        <f>IF(ISNUMBER(F442),E442*F442,"")</f>
        <v>2.4103154334293997</v>
      </c>
      <c r="H442" s="39">
        <f>SUM(G442:G444)</f>
        <v>4.1167719334293995</v>
      </c>
      <c r="I442" s="40"/>
      <c r="J442" s="155">
        <v>0</v>
      </c>
    </row>
    <row r="443" spans="1:10" ht="15.75" hidden="1" thickBot="1" x14ac:dyDescent="0.3">
      <c r="A443" s="200"/>
      <c r="B443" s="202"/>
      <c r="C443" s="36" t="s">
        <v>22</v>
      </c>
      <c r="D443" s="36" t="s">
        <v>12</v>
      </c>
      <c r="E443" s="37">
        <v>7.0000000000000007E-2</v>
      </c>
      <c r="F443" s="31">
        <v>22.704999999999998</v>
      </c>
      <c r="G443" s="31">
        <f>IF(ISNUMBER(F443),E443*F443,"")</f>
        <v>1.58935</v>
      </c>
      <c r="H443" s="35"/>
      <c r="I443" s="31"/>
      <c r="J443" s="155">
        <v>0</v>
      </c>
    </row>
    <row r="444" spans="1:10" ht="15.75" hidden="1" thickBot="1" x14ac:dyDescent="0.3">
      <c r="A444" s="200"/>
      <c r="B444" s="202"/>
      <c r="C444" s="36" t="s">
        <v>23</v>
      </c>
      <c r="D444" s="36" t="s">
        <v>12</v>
      </c>
      <c r="E444" s="37">
        <v>7.0000000000000001E-3</v>
      </c>
      <c r="F444" s="31">
        <v>16.729499999999998</v>
      </c>
      <c r="G444" s="31">
        <f>IF(ISNUMBER(F444),E444*F444,"")</f>
        <v>0.11710649999999999</v>
      </c>
      <c r="H444" s="35"/>
      <c r="I444" s="31"/>
      <c r="J444" s="155">
        <v>0</v>
      </c>
    </row>
    <row r="445" spans="1:10" ht="15.75" hidden="1" thickBot="1" x14ac:dyDescent="0.3">
      <c r="A445" s="201"/>
      <c r="B445" s="188"/>
      <c r="C445" s="36"/>
      <c r="D445" s="36"/>
      <c r="E445" s="37"/>
      <c r="F445" s="31" t="s">
        <v>558</v>
      </c>
      <c r="G445" s="31" t="str">
        <f>IF(ISNUMBER(F445),E445*F445,"")</f>
        <v/>
      </c>
      <c r="H445" s="35"/>
      <c r="I445" s="31"/>
      <c r="J445" s="155">
        <v>0</v>
      </c>
    </row>
    <row r="446" spans="1:10" ht="15.75" hidden="1" thickBot="1" x14ac:dyDescent="0.3">
      <c r="A446" s="180" t="s">
        <v>183</v>
      </c>
      <c r="B446" s="186" t="str">
        <f>INDEX(Orçamentária!A:B,MATCH(Composições!A446,Orçamentária!A:A,0),2)</f>
        <v>Gesso cola</v>
      </c>
      <c r="C446" s="41"/>
      <c r="D446" s="26" t="str">
        <f>TRIM(INDEX(Orçamentária!C:C,MATCH(Composições!A446,Orçamentária!A:A,0),1))</f>
        <v>m2</v>
      </c>
      <c r="E446" s="27"/>
      <c r="F446" s="42" t="s">
        <v>558</v>
      </c>
      <c r="G446" s="28" t="str">
        <f>IF(ISNUMBER(F446),E446*F446,"")</f>
        <v/>
      </c>
      <c r="H446" s="29"/>
      <c r="I446" s="30"/>
      <c r="J446" s="155">
        <v>0</v>
      </c>
    </row>
    <row r="447" spans="1:10" ht="15.75" hidden="1" thickBot="1" x14ac:dyDescent="0.3">
      <c r="A447" s="181"/>
      <c r="B447" s="202"/>
      <c r="C447" s="32"/>
      <c r="D447" s="32"/>
      <c r="E447" s="33"/>
      <c r="F447" s="43" t="s">
        <v>558</v>
      </c>
      <c r="G447" s="31" t="str">
        <f>IF(ISNUMBER(F447),E447*F447,"")</f>
        <v/>
      </c>
      <c r="H447" s="35"/>
      <c r="I447" s="31"/>
      <c r="J447" s="155">
        <v>0</v>
      </c>
    </row>
    <row r="448" spans="1:10" ht="15.75" hidden="1" thickBot="1" x14ac:dyDescent="0.3">
      <c r="A448" s="181"/>
      <c r="B448" s="202"/>
      <c r="C448" s="36" t="s">
        <v>184</v>
      </c>
      <c r="D448" s="36" t="s">
        <v>12</v>
      </c>
      <c r="E448" s="37">
        <v>0.4</v>
      </c>
      <c r="F448" s="31">
        <v>22.591000000000001</v>
      </c>
      <c r="G448" s="31">
        <f>IF(ISNUMBER(F448),E448*F448,"")</f>
        <v>9.0364000000000004</v>
      </c>
      <c r="H448" s="39">
        <f>SUM(G448:G450)</f>
        <v>10.37476</v>
      </c>
      <c r="I448" s="40"/>
      <c r="J448" s="155">
        <v>0</v>
      </c>
    </row>
    <row r="449" spans="1:10" ht="15.75" hidden="1" thickBot="1" x14ac:dyDescent="0.3">
      <c r="A449" s="181"/>
      <c r="B449" s="202"/>
      <c r="C449" s="36" t="s">
        <v>23</v>
      </c>
      <c r="D449" s="36" t="s">
        <v>12</v>
      </c>
      <c r="E449" s="37">
        <v>0.08</v>
      </c>
      <c r="F449" s="31">
        <v>16.729499999999998</v>
      </c>
      <c r="G449" s="31">
        <f>IF(ISNUMBER(F449),E449*F449,"")</f>
        <v>1.3383599999999998</v>
      </c>
      <c r="H449" s="35"/>
      <c r="I449" s="31"/>
      <c r="J449" s="155">
        <v>0</v>
      </c>
    </row>
    <row r="450" spans="1:10" ht="15.75" hidden="1" thickBot="1" x14ac:dyDescent="0.3">
      <c r="A450" s="181"/>
      <c r="B450" s="202"/>
      <c r="C450" s="36" t="s">
        <v>185</v>
      </c>
      <c r="D450" s="36" t="s">
        <v>42</v>
      </c>
      <c r="E450" s="37">
        <v>0.75</v>
      </c>
      <c r="F450" s="31" t="s">
        <v>558</v>
      </c>
      <c r="G450" s="31" t="str">
        <f>IF(ISNUMBER(F450),E450*F450,"")</f>
        <v/>
      </c>
      <c r="H450" s="35"/>
      <c r="I450" s="31"/>
      <c r="J450" s="155">
        <v>0</v>
      </c>
    </row>
    <row r="451" spans="1:10" ht="15.75" hidden="1" thickBot="1" x14ac:dyDescent="0.3">
      <c r="A451" s="181"/>
      <c r="B451" s="202"/>
      <c r="C451" s="36"/>
      <c r="D451" s="36"/>
      <c r="E451" s="37"/>
      <c r="F451" s="31" t="s">
        <v>558</v>
      </c>
      <c r="G451" s="31" t="str">
        <f>IF(ISNUMBER(F451),E451*F451,"")</f>
        <v/>
      </c>
      <c r="H451" s="35"/>
      <c r="I451" s="31"/>
      <c r="J451" s="155">
        <v>0</v>
      </c>
    </row>
    <row r="452" spans="1:10" ht="26.25" hidden="1" thickBot="1" x14ac:dyDescent="0.3">
      <c r="A452" s="181"/>
      <c r="B452" s="202"/>
      <c r="C452" s="52" t="s">
        <v>186</v>
      </c>
      <c r="D452" s="52"/>
      <c r="E452" s="53"/>
      <c r="F452" s="34" t="s">
        <v>558</v>
      </c>
      <c r="G452" s="31" t="str">
        <f>IF(ISNUMBER(F452),E452*F452,"")</f>
        <v/>
      </c>
      <c r="H452" s="35"/>
      <c r="I452" s="31"/>
      <c r="J452" s="155">
        <v>0</v>
      </c>
    </row>
    <row r="453" spans="1:10" ht="15.75" hidden="1" thickBot="1" x14ac:dyDescent="0.3">
      <c r="A453" s="182"/>
      <c r="B453" s="188"/>
      <c r="C453" s="36"/>
      <c r="D453" s="36"/>
      <c r="E453" s="37"/>
      <c r="F453" s="31" t="s">
        <v>558</v>
      </c>
      <c r="G453" s="31" t="str">
        <f>IF(ISNUMBER(F453),E453*F453,"")</f>
        <v/>
      </c>
      <c r="H453" s="35"/>
      <c r="I453" s="31"/>
      <c r="J453" s="155">
        <v>0</v>
      </c>
    </row>
    <row r="454" spans="1:10" ht="15.75" hidden="1" thickBot="1" x14ac:dyDescent="0.3">
      <c r="A454" s="180" t="s">
        <v>187</v>
      </c>
      <c r="B454" s="186" t="str">
        <f>INDEX(Orçamentária!A:B,MATCH(Composições!A454,Orçamentária!A:A,0),2)</f>
        <v>Reboco com argamassa industrializada e=2,0 cm</v>
      </c>
      <c r="C454" s="41"/>
      <c r="D454" s="26" t="str">
        <f>TRIM(INDEX(Orçamentária!C:C,MATCH(Composições!A454,Orçamentária!A:A,0),1))</f>
        <v>m2</v>
      </c>
      <c r="E454" s="27"/>
      <c r="F454" s="42" t="s">
        <v>558</v>
      </c>
      <c r="G454" s="28" t="str">
        <f>IF(ISNUMBER(F454),E454*F454,"")</f>
        <v/>
      </c>
      <c r="H454" s="29"/>
      <c r="I454" s="30"/>
      <c r="J454" s="155">
        <v>0</v>
      </c>
    </row>
    <row r="455" spans="1:10" ht="15.75" hidden="1" thickBot="1" x14ac:dyDescent="0.3">
      <c r="A455" s="200"/>
      <c r="B455" s="202"/>
      <c r="C455" s="32"/>
      <c r="D455" s="32"/>
      <c r="E455" s="33"/>
      <c r="F455" s="43" t="s">
        <v>558</v>
      </c>
      <c r="G455" s="31" t="str">
        <f>IF(ISNUMBER(F455),E455*F455,"")</f>
        <v/>
      </c>
      <c r="H455" s="35"/>
      <c r="I455" s="31"/>
      <c r="J455" s="155">
        <v>0</v>
      </c>
    </row>
    <row r="456" spans="1:10" ht="26.25" hidden="1" thickBot="1" x14ac:dyDescent="0.3">
      <c r="A456" s="200"/>
      <c r="B456" s="202"/>
      <c r="C456" s="36" t="s">
        <v>188</v>
      </c>
      <c r="D456" s="36" t="s">
        <v>42</v>
      </c>
      <c r="E456" s="37">
        <f>1890*0.02</f>
        <v>37.800000000000004</v>
      </c>
      <c r="F456" s="34">
        <v>0.46549999999999997</v>
      </c>
      <c r="G456" s="31">
        <f>IF(ISNUMBER(F456),E456*F456,"")</f>
        <v>17.5959</v>
      </c>
      <c r="H456" s="39">
        <f>SUM(G456:G459)</f>
        <v>34.2147991</v>
      </c>
      <c r="I456" s="40"/>
      <c r="J456" s="155">
        <v>0</v>
      </c>
    </row>
    <row r="457" spans="1:10" ht="15.75" hidden="1" thickBot="1" x14ac:dyDescent="0.3">
      <c r="A457" s="200"/>
      <c r="B457" s="202"/>
      <c r="C457" s="36" t="s">
        <v>23</v>
      </c>
      <c r="D457" s="36" t="s">
        <v>12</v>
      </c>
      <c r="E457" s="37">
        <f>12.59*0.02</f>
        <v>0.25180000000000002</v>
      </c>
      <c r="F457" s="31">
        <v>16.729499999999998</v>
      </c>
      <c r="G457" s="31">
        <f>IF(ISNUMBER(F457),E457*F457,"")</f>
        <v>4.2124880999999998</v>
      </c>
      <c r="H457" s="45"/>
      <c r="I457" s="46"/>
      <c r="J457" s="155">
        <v>0</v>
      </c>
    </row>
    <row r="458" spans="1:10" ht="15.75" hidden="1" thickBot="1" x14ac:dyDescent="0.3">
      <c r="A458" s="200"/>
      <c r="B458" s="202"/>
      <c r="C458" s="36" t="s">
        <v>22</v>
      </c>
      <c r="D458" s="36" t="s">
        <v>12</v>
      </c>
      <c r="E458" s="37">
        <v>0.43</v>
      </c>
      <c r="F458" s="31">
        <v>22.704999999999998</v>
      </c>
      <c r="G458" s="31">
        <f>IF(ISNUMBER(F458),E458*F458,"")</f>
        <v>9.7631499999999996</v>
      </c>
      <c r="H458" s="35"/>
      <c r="I458" s="31"/>
      <c r="J458" s="155">
        <v>0</v>
      </c>
    </row>
    <row r="459" spans="1:10" ht="15.75" hidden="1" thickBot="1" x14ac:dyDescent="0.3">
      <c r="A459" s="200"/>
      <c r="B459" s="202"/>
      <c r="C459" s="36" t="s">
        <v>23</v>
      </c>
      <c r="D459" s="36" t="s">
        <v>12</v>
      </c>
      <c r="E459" s="37">
        <f>0.158</f>
        <v>0.158</v>
      </c>
      <c r="F459" s="31">
        <v>16.729499999999998</v>
      </c>
      <c r="G459" s="31">
        <f>IF(ISNUMBER(F459),E459*F459,"")</f>
        <v>2.6432609999999999</v>
      </c>
      <c r="H459" s="35"/>
      <c r="I459" s="31"/>
      <c r="J459" s="155">
        <v>0</v>
      </c>
    </row>
    <row r="460" spans="1:10" ht="15.75" hidden="1" thickBot="1" x14ac:dyDescent="0.3">
      <c r="A460" s="200"/>
      <c r="B460" s="202"/>
      <c r="C460" s="36"/>
      <c r="D460" s="36"/>
      <c r="E460" s="37"/>
      <c r="F460" s="31" t="s">
        <v>558</v>
      </c>
      <c r="G460" s="31" t="str">
        <f>IF(ISNUMBER(F460),E460*F460,"")</f>
        <v/>
      </c>
      <c r="H460" s="35"/>
      <c r="I460" s="31"/>
      <c r="J460" s="155">
        <v>0</v>
      </c>
    </row>
    <row r="461" spans="1:10" ht="51.75" hidden="1" thickBot="1" x14ac:dyDescent="0.3">
      <c r="A461" s="200"/>
      <c r="B461" s="202"/>
      <c r="C461" s="52" t="s">
        <v>189</v>
      </c>
      <c r="D461" s="36"/>
      <c r="E461" s="37"/>
      <c r="F461" s="31" t="s">
        <v>558</v>
      </c>
      <c r="G461" s="31" t="str">
        <f>IF(ISNUMBER(F461),E461*F461,"")</f>
        <v/>
      </c>
      <c r="H461" s="35"/>
      <c r="I461" s="31"/>
      <c r="J461" s="155">
        <v>0</v>
      </c>
    </row>
    <row r="462" spans="1:10" ht="30.75" hidden="1" thickBot="1" x14ac:dyDescent="0.3">
      <c r="A462" s="200"/>
      <c r="B462" s="202"/>
      <c r="C462" s="145" t="s">
        <v>190</v>
      </c>
      <c r="D462" s="36"/>
      <c r="E462" s="37"/>
      <c r="F462" s="31" t="s">
        <v>558</v>
      </c>
      <c r="G462" s="31" t="str">
        <f>IF(ISNUMBER(F462),E462*F462,"")</f>
        <v/>
      </c>
      <c r="H462" s="35"/>
      <c r="I462" s="31"/>
      <c r="J462" s="155">
        <v>0</v>
      </c>
    </row>
    <row r="463" spans="1:10" ht="15.75" hidden="1" thickBot="1" x14ac:dyDescent="0.3">
      <c r="A463" s="201"/>
      <c r="B463" s="188"/>
      <c r="C463" s="36"/>
      <c r="D463" s="36"/>
      <c r="E463" s="37"/>
      <c r="F463" s="31" t="s">
        <v>558</v>
      </c>
      <c r="G463" s="31" t="str">
        <f>IF(ISNUMBER(F463),E463*F463,"")</f>
        <v/>
      </c>
      <c r="H463" s="35"/>
      <c r="I463" s="31"/>
      <c r="J463" s="155">
        <v>0</v>
      </c>
    </row>
    <row r="464" spans="1:10" ht="15.75" hidden="1" thickBot="1" x14ac:dyDescent="0.3">
      <c r="A464" s="180" t="s">
        <v>191</v>
      </c>
      <c r="B464" s="186" t="str">
        <f>INDEX(Orçamentária!A:B,MATCH(Composições!A464,Orçamentária!A:A,0),2)</f>
        <v>Regularização com argamassa industrializada e=0,5 cm</v>
      </c>
      <c r="C464" s="41"/>
      <c r="D464" s="26" t="str">
        <f>TRIM(INDEX(Orçamentária!C:C,MATCH(Composições!A464,Orçamentária!A:A,0),1))</f>
        <v>m2</v>
      </c>
      <c r="E464" s="27"/>
      <c r="F464" s="42" t="s">
        <v>558</v>
      </c>
      <c r="G464" s="28" t="str">
        <f>IF(ISNUMBER(F464),E464*F464,"")</f>
        <v/>
      </c>
      <c r="H464" s="29"/>
      <c r="I464" s="30"/>
      <c r="J464" s="155">
        <v>0</v>
      </c>
    </row>
    <row r="465" spans="1:10" ht="15.75" hidden="1" thickBot="1" x14ac:dyDescent="0.3">
      <c r="A465" s="200"/>
      <c r="B465" s="202"/>
      <c r="C465" s="32"/>
      <c r="D465" s="32"/>
      <c r="E465" s="33"/>
      <c r="F465" s="43" t="s">
        <v>558</v>
      </c>
      <c r="G465" s="31" t="str">
        <f>IF(ISNUMBER(F465),E465*F465,"")</f>
        <v/>
      </c>
      <c r="H465" s="35"/>
      <c r="I465" s="31"/>
      <c r="J465" s="155">
        <v>0</v>
      </c>
    </row>
    <row r="466" spans="1:10" ht="26.25" hidden="1" thickBot="1" x14ac:dyDescent="0.3">
      <c r="A466" s="200"/>
      <c r="B466" s="202"/>
      <c r="C466" s="36" t="s">
        <v>188</v>
      </c>
      <c r="D466" s="36" t="s">
        <v>42</v>
      </c>
      <c r="E466" s="37">
        <f>1890*0.005</f>
        <v>9.4500000000000011</v>
      </c>
      <c r="F466" s="34">
        <v>0.46549999999999997</v>
      </c>
      <c r="G466" s="31">
        <f>IF(ISNUMBER(F466),E466*F466,"")</f>
        <v>4.3989750000000001</v>
      </c>
      <c r="H466" s="39">
        <f>SUM(G466:G469)</f>
        <v>11.878045224999999</v>
      </c>
      <c r="I466" s="40"/>
      <c r="J466" s="155">
        <v>0</v>
      </c>
    </row>
    <row r="467" spans="1:10" ht="15.75" hidden="1" thickBot="1" x14ac:dyDescent="0.3">
      <c r="A467" s="200"/>
      <c r="B467" s="202"/>
      <c r="C467" s="36" t="s">
        <v>23</v>
      </c>
      <c r="D467" s="36" t="s">
        <v>12</v>
      </c>
      <c r="E467" s="37">
        <f>12.59*0.005</f>
        <v>6.2950000000000006E-2</v>
      </c>
      <c r="F467" s="31">
        <v>16.729499999999998</v>
      </c>
      <c r="G467" s="31">
        <f>IF(ISNUMBER(F467),E467*F467,"")</f>
        <v>1.053122025</v>
      </c>
      <c r="H467" s="35"/>
      <c r="I467" s="31"/>
      <c r="J467" s="155">
        <v>0</v>
      </c>
    </row>
    <row r="468" spans="1:10" ht="15.75" hidden="1" thickBot="1" x14ac:dyDescent="0.3">
      <c r="A468" s="200"/>
      <c r="B468" s="202"/>
      <c r="C468" s="36" t="s">
        <v>22</v>
      </c>
      <c r="D468" s="36" t="s">
        <v>12</v>
      </c>
      <c r="E468" s="37">
        <f>0.31*0.7</f>
        <v>0.217</v>
      </c>
      <c r="F468" s="31">
        <v>22.704999999999998</v>
      </c>
      <c r="G468" s="31">
        <f>IF(ISNUMBER(F468),E468*F468,"")</f>
        <v>4.9269849999999993</v>
      </c>
      <c r="H468" s="35"/>
      <c r="I468" s="31"/>
      <c r="J468" s="155">
        <v>0</v>
      </c>
    </row>
    <row r="469" spans="1:10" ht="15.75" hidden="1" thickBot="1" x14ac:dyDescent="0.3">
      <c r="A469" s="200"/>
      <c r="B469" s="202"/>
      <c r="C469" s="36" t="s">
        <v>23</v>
      </c>
      <c r="D469" s="36" t="s">
        <v>12</v>
      </c>
      <c r="E469" s="37">
        <f>0.128*0.7</f>
        <v>8.9599999999999999E-2</v>
      </c>
      <c r="F469" s="31">
        <v>16.729499999999998</v>
      </c>
      <c r="G469" s="31">
        <f>IF(ISNUMBER(F469),E469*F469,"")</f>
        <v>1.4989631999999997</v>
      </c>
      <c r="H469" s="35"/>
      <c r="I469" s="31"/>
      <c r="J469" s="155">
        <v>0</v>
      </c>
    </row>
    <row r="470" spans="1:10" ht="15.75" hidden="1" thickBot="1" x14ac:dyDescent="0.3">
      <c r="A470" s="201"/>
      <c r="B470" s="188"/>
      <c r="C470" s="36"/>
      <c r="D470" s="36"/>
      <c r="E470" s="37"/>
      <c r="F470" s="31" t="s">
        <v>558</v>
      </c>
      <c r="G470" s="31" t="str">
        <f>IF(ISNUMBER(F470),E470*F470,"")</f>
        <v/>
      </c>
      <c r="H470" s="35"/>
      <c r="I470" s="31"/>
      <c r="J470" s="155">
        <v>0</v>
      </c>
    </row>
    <row r="471" spans="1:10" ht="15.75" hidden="1" thickBot="1" x14ac:dyDescent="0.3">
      <c r="A471" s="180" t="s">
        <v>192</v>
      </c>
      <c r="B471" s="186" t="str">
        <f>INDEX(Orçamentária!A:B,MATCH(Composições!A471,Orçamentária!A:A,0),2)</f>
        <v>Tratamento de trincas superficiais</v>
      </c>
      <c r="C471" s="41"/>
      <c r="D471" s="26" t="str">
        <f>TRIM(INDEX(Orçamentária!C:C,MATCH(Composições!A471,Orçamentária!A:A,0),1))</f>
        <v>m</v>
      </c>
      <c r="E471" s="27"/>
      <c r="F471" s="42" t="s">
        <v>558</v>
      </c>
      <c r="G471" s="28" t="str">
        <f>IF(ISNUMBER(F471),E471*F471,"")</f>
        <v/>
      </c>
      <c r="H471" s="29"/>
      <c r="I471" s="30"/>
      <c r="J471" s="155">
        <v>0</v>
      </c>
    </row>
    <row r="472" spans="1:10" ht="15.75" hidden="1" thickBot="1" x14ac:dyDescent="0.3">
      <c r="A472" s="200"/>
      <c r="B472" s="202"/>
      <c r="C472" s="32"/>
      <c r="D472" s="32"/>
      <c r="E472" s="33"/>
      <c r="F472" s="43" t="s">
        <v>558</v>
      </c>
      <c r="G472" s="31" t="str">
        <f>IF(ISNUMBER(F472),E472*F472,"")</f>
        <v/>
      </c>
      <c r="H472" s="35"/>
      <c r="I472" s="31"/>
      <c r="J472" s="155">
        <v>0</v>
      </c>
    </row>
    <row r="473" spans="1:10" ht="15.75" hidden="1" thickBot="1" x14ac:dyDescent="0.3">
      <c r="A473" s="200"/>
      <c r="B473" s="202"/>
      <c r="C473" s="36" t="s">
        <v>23</v>
      </c>
      <c r="D473" s="47" t="s">
        <v>12</v>
      </c>
      <c r="E473" s="37">
        <v>0.6</v>
      </c>
      <c r="F473" s="31">
        <v>16.729499999999998</v>
      </c>
      <c r="G473" s="34">
        <f>IF(ISNUMBER(F473),E473*F473,"")</f>
        <v>10.037699999999999</v>
      </c>
      <c r="H473" s="39">
        <f>SUM(G473:G477)</f>
        <v>14.9718632</v>
      </c>
      <c r="I473" s="40"/>
      <c r="J473" s="155">
        <v>0</v>
      </c>
    </row>
    <row r="474" spans="1:10" ht="15.75" hidden="1" thickBot="1" x14ac:dyDescent="0.3">
      <c r="A474" s="200"/>
      <c r="B474" s="202"/>
      <c r="C474" s="36" t="s">
        <v>22</v>
      </c>
      <c r="D474" s="47" t="s">
        <v>12</v>
      </c>
      <c r="E474" s="37">
        <v>0.155</v>
      </c>
      <c r="F474" s="31">
        <v>22.704999999999998</v>
      </c>
      <c r="G474" s="34">
        <f>IF(ISNUMBER(F474),E474*F474,"")</f>
        <v>3.5192749999999999</v>
      </c>
      <c r="H474" s="35"/>
      <c r="I474" s="31"/>
      <c r="J474" s="155">
        <v>0</v>
      </c>
    </row>
    <row r="475" spans="1:10" ht="15.75" hidden="1" thickBot="1" x14ac:dyDescent="0.3">
      <c r="A475" s="200"/>
      <c r="B475" s="202"/>
      <c r="C475" s="36" t="s">
        <v>193</v>
      </c>
      <c r="D475" s="47" t="s">
        <v>93</v>
      </c>
      <c r="E475" s="37">
        <v>1.05</v>
      </c>
      <c r="F475" s="34">
        <v>0.95</v>
      </c>
      <c r="G475" s="34">
        <f>IF(ISNUMBER(F475),E475*F475,"")</f>
        <v>0.99749999999999994</v>
      </c>
      <c r="H475" s="35"/>
      <c r="I475" s="31"/>
      <c r="J475" s="155">
        <v>0</v>
      </c>
    </row>
    <row r="476" spans="1:10" ht="15.75" hidden="1" thickBot="1" x14ac:dyDescent="0.3">
      <c r="A476" s="200"/>
      <c r="B476" s="202"/>
      <c r="C476" s="36" t="s">
        <v>194</v>
      </c>
      <c r="D476" s="50" t="s">
        <v>103</v>
      </c>
      <c r="E476" s="37">
        <f>ROUND(1*0.15/(165/18),4)</f>
        <v>1.6400000000000001E-2</v>
      </c>
      <c r="F476" s="34">
        <v>25.450499999999998</v>
      </c>
      <c r="G476" s="34">
        <f>IF(ISNUMBER(F476),E476*F476,"")</f>
        <v>0.41738819999999999</v>
      </c>
      <c r="H476" s="35"/>
      <c r="I476" s="31"/>
      <c r="J476" s="155">
        <v>0</v>
      </c>
    </row>
    <row r="477" spans="1:10" ht="15.75" hidden="1" thickBot="1" x14ac:dyDescent="0.3">
      <c r="A477" s="200"/>
      <c r="B477" s="202"/>
      <c r="C477" s="36" t="s">
        <v>195</v>
      </c>
      <c r="D477" s="47" t="s">
        <v>42</v>
      </c>
      <c r="E477" s="37">
        <f>1/5</f>
        <v>0.2</v>
      </c>
      <c r="F477" s="34" t="s">
        <v>558</v>
      </c>
      <c r="G477" s="34" t="str">
        <f>IF(ISNUMBER(F477),E477*F477,"")</f>
        <v/>
      </c>
      <c r="H477" s="35"/>
      <c r="I477" s="31"/>
      <c r="J477" s="155">
        <v>0</v>
      </c>
    </row>
    <row r="478" spans="1:10" ht="15.75" hidden="1" thickBot="1" x14ac:dyDescent="0.3">
      <c r="A478" s="200"/>
      <c r="B478" s="202"/>
      <c r="C478" s="36"/>
      <c r="D478" s="47"/>
      <c r="E478" s="37"/>
      <c r="F478" s="34" t="s">
        <v>558</v>
      </c>
      <c r="G478" s="34" t="str">
        <f>IF(ISNUMBER(F478),E478*F478,"")</f>
        <v/>
      </c>
      <c r="H478" s="35"/>
      <c r="I478" s="31"/>
      <c r="J478" s="155">
        <v>0</v>
      </c>
    </row>
    <row r="479" spans="1:10" ht="39" hidden="1" thickBot="1" x14ac:dyDescent="0.3">
      <c r="A479" s="200"/>
      <c r="B479" s="202"/>
      <c r="C479" s="52" t="s">
        <v>196</v>
      </c>
      <c r="D479" s="47"/>
      <c r="E479" s="37"/>
      <c r="F479" s="34" t="s">
        <v>558</v>
      </c>
      <c r="G479" s="34" t="str">
        <f>IF(ISNUMBER(F479),E479*F479,"")</f>
        <v/>
      </c>
      <c r="H479" s="35"/>
      <c r="I479" s="31"/>
      <c r="J479" s="155">
        <v>0</v>
      </c>
    </row>
    <row r="480" spans="1:10" ht="24" hidden="1" thickBot="1" x14ac:dyDescent="0.3">
      <c r="A480" s="200"/>
      <c r="B480" s="202"/>
      <c r="C480" s="146" t="s">
        <v>197</v>
      </c>
      <c r="D480" s="47"/>
      <c r="E480" s="37"/>
      <c r="F480" s="34" t="s">
        <v>558</v>
      </c>
      <c r="G480" s="34" t="str">
        <f>IF(ISNUMBER(F480),E480*F480,"")</f>
        <v/>
      </c>
      <c r="H480" s="35"/>
      <c r="I480" s="31"/>
      <c r="J480" s="155">
        <v>0</v>
      </c>
    </row>
    <row r="481" spans="1:10" ht="24" hidden="1" thickBot="1" x14ac:dyDescent="0.3">
      <c r="A481" s="200"/>
      <c r="B481" s="202"/>
      <c r="C481" s="146" t="s">
        <v>198</v>
      </c>
      <c r="D481" s="47"/>
      <c r="E481" s="37"/>
      <c r="F481" s="34" t="s">
        <v>558</v>
      </c>
      <c r="G481" s="34" t="str">
        <f>IF(ISNUMBER(F481),E481*F481,"")</f>
        <v/>
      </c>
      <c r="H481" s="35"/>
      <c r="I481" s="31"/>
      <c r="J481" s="155">
        <v>0</v>
      </c>
    </row>
    <row r="482" spans="1:10" ht="15.75" hidden="1" thickBot="1" x14ac:dyDescent="0.3">
      <c r="A482" s="201"/>
      <c r="B482" s="188"/>
      <c r="C482" s="36"/>
      <c r="D482" s="36"/>
      <c r="E482" s="37"/>
      <c r="F482" s="31" t="s">
        <v>558</v>
      </c>
      <c r="G482" s="31" t="str">
        <f>IF(ISNUMBER(F482),E482*F482,"")</f>
        <v/>
      </c>
      <c r="H482" s="35"/>
      <c r="I482" s="31"/>
      <c r="J482" s="155">
        <v>0</v>
      </c>
    </row>
    <row r="483" spans="1:10" ht="15.75" hidden="1" thickBot="1" x14ac:dyDescent="0.3">
      <c r="A483" s="180" t="s">
        <v>199</v>
      </c>
      <c r="B483" s="186" t="str">
        <f>INDEX(Orçamentária!A:B,MATCH(Composições!A483,Orçamentária!A:A,0),2)</f>
        <v>Aplicação de fundo selador base água</v>
      </c>
      <c r="C483" s="41"/>
      <c r="D483" s="26" t="str">
        <f>TRIM(INDEX(Orçamentária!C:C,MATCH(Composições!A483,Orçamentária!A:A,0),1))</f>
        <v>m2</v>
      </c>
      <c r="E483" s="27"/>
      <c r="F483" s="42" t="s">
        <v>558</v>
      </c>
      <c r="G483" s="28" t="str">
        <f>IF(ISNUMBER(F483),E483*F483,"")</f>
        <v/>
      </c>
      <c r="H483" s="29"/>
      <c r="I483" s="30"/>
      <c r="J483" s="155">
        <v>0</v>
      </c>
    </row>
    <row r="484" spans="1:10" ht="15.75" hidden="1" thickBot="1" x14ac:dyDescent="0.3">
      <c r="A484" s="200"/>
      <c r="B484" s="202"/>
      <c r="C484" s="32"/>
      <c r="D484" s="32"/>
      <c r="E484" s="33"/>
      <c r="F484" s="43" t="s">
        <v>558</v>
      </c>
      <c r="G484" s="31" t="str">
        <f>IF(ISNUMBER(F484),E484*F484,"")</f>
        <v/>
      </c>
      <c r="H484" s="35"/>
      <c r="I484" s="31"/>
      <c r="J484" s="155">
        <v>0</v>
      </c>
    </row>
    <row r="485" spans="1:10" ht="15.75" hidden="1" thickBot="1" x14ac:dyDescent="0.3">
      <c r="A485" s="200"/>
      <c r="B485" s="202"/>
      <c r="C485" s="36" t="s">
        <v>101</v>
      </c>
      <c r="D485" s="47" t="s">
        <v>12</v>
      </c>
      <c r="E485" s="37">
        <v>0.106</v>
      </c>
      <c r="F485" s="31">
        <v>23.645499999999998</v>
      </c>
      <c r="G485" s="34">
        <f>IF(ISNUMBER(F485),E485*F485,"")</f>
        <v>2.5064229999999998</v>
      </c>
      <c r="H485" s="39">
        <f>SUM(G485:G487)</f>
        <v>2.9581194999999996</v>
      </c>
      <c r="I485" s="40"/>
      <c r="J485" s="155">
        <v>0</v>
      </c>
    </row>
    <row r="486" spans="1:10" ht="15.75" hidden="1" thickBot="1" x14ac:dyDescent="0.3">
      <c r="A486" s="200"/>
      <c r="B486" s="202"/>
      <c r="C486" s="36" t="s">
        <v>23</v>
      </c>
      <c r="D486" s="47" t="s">
        <v>12</v>
      </c>
      <c r="E486" s="37">
        <v>2.7E-2</v>
      </c>
      <c r="F486" s="31">
        <v>16.729499999999998</v>
      </c>
      <c r="G486" s="34">
        <f>IF(ISNUMBER(F486),E486*F486,"")</f>
        <v>0.45169649999999995</v>
      </c>
      <c r="H486" s="35"/>
      <c r="I486" s="31"/>
      <c r="J486" s="155">
        <v>0</v>
      </c>
    </row>
    <row r="487" spans="1:10" ht="15.75" hidden="1" thickBot="1" x14ac:dyDescent="0.3">
      <c r="A487" s="200"/>
      <c r="B487" s="202"/>
      <c r="C487" s="36" t="s">
        <v>200</v>
      </c>
      <c r="D487" s="50" t="s">
        <v>103</v>
      </c>
      <c r="E487" s="37">
        <v>0.16</v>
      </c>
      <c r="F487" s="34" t="s">
        <v>558</v>
      </c>
      <c r="G487" s="34" t="str">
        <f>IF(ISNUMBER(F487),E487*F487,"")</f>
        <v/>
      </c>
      <c r="H487" s="35"/>
      <c r="I487" s="31"/>
      <c r="J487" s="155">
        <v>0</v>
      </c>
    </row>
    <row r="488" spans="1:10" ht="15.75" hidden="1" thickBot="1" x14ac:dyDescent="0.3">
      <c r="A488" s="201"/>
      <c r="B488" s="188"/>
      <c r="C488" s="36"/>
      <c r="D488" s="36"/>
      <c r="E488" s="37"/>
      <c r="F488" s="31" t="s">
        <v>558</v>
      </c>
      <c r="G488" s="31" t="str">
        <f>IF(ISNUMBER(F488),E488*F488,"")</f>
        <v/>
      </c>
      <c r="H488" s="35"/>
      <c r="I488" s="31"/>
      <c r="J488" s="155">
        <v>0</v>
      </c>
    </row>
    <row r="489" spans="1:10" ht="15.75" hidden="1" thickBot="1" x14ac:dyDescent="0.3">
      <c r="A489" s="180" t="s">
        <v>201</v>
      </c>
      <c r="B489" s="186" t="str">
        <f>INDEX(Orçamentária!A:B,MATCH(Composições!A489,Orçamentária!A:A,0),2)</f>
        <v>Fundo anticorrosivo e de aderência</v>
      </c>
      <c r="C489" s="41"/>
      <c r="D489" s="26" t="str">
        <f>TRIM(INDEX(Orçamentária!C:C,MATCH(Composições!A489,Orçamentária!A:A,0),1))</f>
        <v>m2</v>
      </c>
      <c r="E489" s="27"/>
      <c r="F489" s="42" t="s">
        <v>558</v>
      </c>
      <c r="G489" s="28" t="str">
        <f>IF(ISNUMBER(F489),E489*F489,"")</f>
        <v/>
      </c>
      <c r="H489" s="29"/>
      <c r="I489" s="30"/>
      <c r="J489" s="155">
        <v>0</v>
      </c>
    </row>
    <row r="490" spans="1:10" ht="15.75" hidden="1" thickBot="1" x14ac:dyDescent="0.3">
      <c r="A490" s="200"/>
      <c r="B490" s="202"/>
      <c r="C490" s="32"/>
      <c r="D490" s="32"/>
      <c r="E490" s="33"/>
      <c r="F490" s="43" t="s">
        <v>558</v>
      </c>
      <c r="G490" s="31" t="str">
        <f>IF(ISNUMBER(F490),E490*F490,"")</f>
        <v/>
      </c>
      <c r="H490" s="35"/>
      <c r="I490" s="31"/>
      <c r="J490" s="155">
        <v>0</v>
      </c>
    </row>
    <row r="491" spans="1:10" ht="15.75" hidden="1" thickBot="1" x14ac:dyDescent="0.3">
      <c r="A491" s="200"/>
      <c r="B491" s="202"/>
      <c r="C491" s="36" t="s">
        <v>101</v>
      </c>
      <c r="D491" s="47" t="s">
        <v>12</v>
      </c>
      <c r="E491" s="37">
        <f>2*0.2149</f>
        <v>0.42980000000000002</v>
      </c>
      <c r="F491" s="31">
        <v>23.645499999999998</v>
      </c>
      <c r="G491" s="34">
        <f>IF(ISNUMBER(F491),E491*F491,"")</f>
        <v>10.162835899999999</v>
      </c>
      <c r="H491" s="39">
        <f>SUM(G491:G492)</f>
        <v>10.162835899999999</v>
      </c>
      <c r="I491" s="40"/>
      <c r="J491" s="155">
        <v>0</v>
      </c>
    </row>
    <row r="492" spans="1:10" ht="15.75" hidden="1" thickBot="1" x14ac:dyDescent="0.3">
      <c r="A492" s="200"/>
      <c r="B492" s="202"/>
      <c r="C492" s="36" t="s">
        <v>202</v>
      </c>
      <c r="D492" s="50" t="s">
        <v>103</v>
      </c>
      <c r="E492" s="37">
        <f>2*(3.6/45)</f>
        <v>0.16</v>
      </c>
      <c r="F492" s="34" t="s">
        <v>558</v>
      </c>
      <c r="G492" s="34" t="str">
        <f>IF(ISNUMBER(F492),E492*F492,"")</f>
        <v/>
      </c>
      <c r="H492" s="35"/>
      <c r="I492" s="31"/>
      <c r="J492" s="155">
        <v>0</v>
      </c>
    </row>
    <row r="493" spans="1:10" ht="15.75" hidden="1" thickBot="1" x14ac:dyDescent="0.3">
      <c r="A493" s="200"/>
      <c r="B493" s="202"/>
      <c r="C493" s="36"/>
      <c r="D493" s="47"/>
      <c r="E493" s="37"/>
      <c r="F493" s="34" t="s">
        <v>558</v>
      </c>
      <c r="G493" s="34" t="str">
        <f>IF(ISNUMBER(F493),E493*F493,"")</f>
        <v/>
      </c>
      <c r="H493" s="35"/>
      <c r="I493" s="31"/>
      <c r="J493" s="155">
        <v>0</v>
      </c>
    </row>
    <row r="494" spans="1:10" ht="26.25" hidden="1" thickBot="1" x14ac:dyDescent="0.3">
      <c r="A494" s="200"/>
      <c r="B494" s="202"/>
      <c r="C494" s="52" t="s">
        <v>203</v>
      </c>
      <c r="D494" s="47"/>
      <c r="E494" s="37"/>
      <c r="F494" s="34" t="s">
        <v>558</v>
      </c>
      <c r="G494" s="34" t="str">
        <f>IF(ISNUMBER(F494),E494*F494,"")</f>
        <v/>
      </c>
      <c r="H494" s="35"/>
      <c r="I494" s="31"/>
      <c r="J494" s="155">
        <v>0</v>
      </c>
    </row>
    <row r="495" spans="1:10" ht="30.75" hidden="1" thickBot="1" x14ac:dyDescent="0.3">
      <c r="A495" s="200"/>
      <c r="B495" s="202"/>
      <c r="C495" s="147" t="s">
        <v>204</v>
      </c>
      <c r="D495" s="47"/>
      <c r="E495" s="37"/>
      <c r="F495" s="34" t="s">
        <v>558</v>
      </c>
      <c r="G495" s="34" t="str">
        <f>IF(ISNUMBER(F495),E495*F495,"")</f>
        <v/>
      </c>
      <c r="H495" s="35"/>
      <c r="I495" s="31"/>
      <c r="J495" s="155">
        <v>0</v>
      </c>
    </row>
    <row r="496" spans="1:10" ht="30.75" hidden="1" thickBot="1" x14ac:dyDescent="0.3">
      <c r="A496" s="201"/>
      <c r="B496" s="188"/>
      <c r="C496" s="147" t="s">
        <v>205</v>
      </c>
      <c r="D496" s="36"/>
      <c r="E496" s="37"/>
      <c r="F496" s="31" t="s">
        <v>558</v>
      </c>
      <c r="G496" s="31" t="str">
        <f>IF(ISNUMBER(F496),E496*F496,"")</f>
        <v/>
      </c>
      <c r="H496" s="35"/>
      <c r="I496" s="31"/>
      <c r="J496" s="155">
        <v>0</v>
      </c>
    </row>
    <row r="497" spans="1:10" ht="15.75" hidden="1" thickBot="1" x14ac:dyDescent="0.3">
      <c r="A497" s="180" t="s">
        <v>206</v>
      </c>
      <c r="B497" s="186" t="str">
        <f>INDEX(Orçamentária!A:B,MATCH(Composições!A497,Orçamentária!A:A,0),2)</f>
        <v>Massa acrílica</v>
      </c>
      <c r="C497" s="41"/>
      <c r="D497" s="26" t="str">
        <f>TRIM(INDEX(Orçamentária!C:C,MATCH(Composições!A497,Orçamentária!A:A,0),1))</f>
        <v>m2</v>
      </c>
      <c r="E497" s="27"/>
      <c r="F497" s="42" t="s">
        <v>558</v>
      </c>
      <c r="G497" s="28" t="str">
        <f>IF(ISNUMBER(F497),E497*F497,"")</f>
        <v/>
      </c>
      <c r="H497" s="29"/>
      <c r="I497" s="30"/>
      <c r="J497" s="155">
        <v>0</v>
      </c>
    </row>
    <row r="498" spans="1:10" ht="15.75" hidden="1" thickBot="1" x14ac:dyDescent="0.3">
      <c r="A498" s="200"/>
      <c r="B498" s="202"/>
      <c r="C498" s="32"/>
      <c r="D498" s="32"/>
      <c r="E498" s="33"/>
      <c r="F498" s="43" t="s">
        <v>558</v>
      </c>
      <c r="G498" s="31" t="str">
        <f>IF(ISNUMBER(F498),E498*F498,"")</f>
        <v/>
      </c>
      <c r="H498" s="35"/>
      <c r="I498" s="31"/>
      <c r="J498" s="155">
        <v>0</v>
      </c>
    </row>
    <row r="499" spans="1:10" ht="15.75" hidden="1" thickBot="1" x14ac:dyDescent="0.3">
      <c r="A499" s="200"/>
      <c r="B499" s="202"/>
      <c r="C499" s="36" t="s">
        <v>207</v>
      </c>
      <c r="D499" s="47" t="s">
        <v>20</v>
      </c>
      <c r="E499" s="37">
        <v>0.1</v>
      </c>
      <c r="F499" s="34">
        <v>0.66499999999999992</v>
      </c>
      <c r="G499" s="34">
        <f>IF(ISNUMBER(F499),E499*F499,"")</f>
        <v>6.649999999999999E-2</v>
      </c>
      <c r="H499" s="39">
        <f>SUM(G499:G502)</f>
        <v>16.772563499999997</v>
      </c>
      <c r="I499" s="40"/>
      <c r="J499" s="155">
        <v>0</v>
      </c>
    </row>
    <row r="500" spans="1:10" ht="15.75" hidden="1" thickBot="1" x14ac:dyDescent="0.3">
      <c r="A500" s="200"/>
      <c r="B500" s="202"/>
      <c r="C500" s="36" t="s">
        <v>208</v>
      </c>
      <c r="D500" s="47" t="s">
        <v>209</v>
      </c>
      <c r="E500" s="37">
        <v>0.24399999999999999</v>
      </c>
      <c r="F500" s="34">
        <v>30.409499999999998</v>
      </c>
      <c r="G500" s="34">
        <f>IF(ISNUMBER(F500),E500*F500,"")</f>
        <v>7.4199179999999991</v>
      </c>
      <c r="H500" s="35"/>
      <c r="I500" s="31"/>
      <c r="J500" s="155">
        <v>0</v>
      </c>
    </row>
    <row r="501" spans="1:10" ht="15.75" hidden="1" thickBot="1" x14ac:dyDescent="0.3">
      <c r="A501" s="200"/>
      <c r="B501" s="202"/>
      <c r="C501" s="36" t="s">
        <v>101</v>
      </c>
      <c r="D501" s="47" t="s">
        <v>12</v>
      </c>
      <c r="E501" s="37">
        <v>0.33400000000000002</v>
      </c>
      <c r="F501" s="31">
        <v>23.645499999999998</v>
      </c>
      <c r="G501" s="34">
        <f>IF(ISNUMBER(F501),E501*F501,"")</f>
        <v>7.8975970000000002</v>
      </c>
      <c r="H501" s="35"/>
      <c r="I501" s="31"/>
      <c r="J501" s="155">
        <v>0</v>
      </c>
    </row>
    <row r="502" spans="1:10" ht="15.75" hidden="1" thickBot="1" x14ac:dyDescent="0.3">
      <c r="A502" s="200"/>
      <c r="B502" s="202"/>
      <c r="C502" s="36" t="s">
        <v>23</v>
      </c>
      <c r="D502" s="47" t="s">
        <v>12</v>
      </c>
      <c r="E502" s="37">
        <v>8.3000000000000004E-2</v>
      </c>
      <c r="F502" s="31">
        <v>16.729499999999998</v>
      </c>
      <c r="G502" s="34">
        <f>IF(ISNUMBER(F502),E502*F502,"")</f>
        <v>1.3885485</v>
      </c>
      <c r="H502" s="35"/>
      <c r="I502" s="31"/>
      <c r="J502" s="155">
        <v>0</v>
      </c>
    </row>
    <row r="503" spans="1:10" ht="15.75" hidden="1" thickBot="1" x14ac:dyDescent="0.3">
      <c r="A503" s="201"/>
      <c r="B503" s="188"/>
      <c r="C503" s="36"/>
      <c r="D503" s="36"/>
      <c r="E503" s="37"/>
      <c r="F503" s="31" t="s">
        <v>558</v>
      </c>
      <c r="G503" s="31" t="str">
        <f>IF(ISNUMBER(F503),E503*F503,"")</f>
        <v/>
      </c>
      <c r="H503" s="35"/>
      <c r="I503" s="31"/>
      <c r="J503" s="155">
        <v>0</v>
      </c>
    </row>
    <row r="504" spans="1:10" ht="15.75" hidden="1" thickBot="1" x14ac:dyDescent="0.3">
      <c r="A504" s="180" t="s">
        <v>210</v>
      </c>
      <c r="B504" s="186" t="str">
        <f>INDEX(Orçamentária!A:B,MATCH(Composições!A504,Orçamentária!A:A,0),2)</f>
        <v>Massa corrida</v>
      </c>
      <c r="C504" s="41"/>
      <c r="D504" s="26" t="str">
        <f>TRIM(INDEX(Orçamentária!C:C,MATCH(Composições!A504,Orçamentária!A:A,0),1))</f>
        <v>m2</v>
      </c>
      <c r="E504" s="27"/>
      <c r="F504" s="42" t="s">
        <v>558</v>
      </c>
      <c r="G504" s="28" t="str">
        <f>IF(ISNUMBER(F504),E504*F504,"")</f>
        <v/>
      </c>
      <c r="H504" s="29"/>
      <c r="I504" s="30"/>
      <c r="J504" s="155">
        <v>0</v>
      </c>
    </row>
    <row r="505" spans="1:10" ht="15.75" hidden="1" thickBot="1" x14ac:dyDescent="0.3">
      <c r="A505" s="200"/>
      <c r="B505" s="202"/>
      <c r="C505" s="32"/>
      <c r="D505" s="32"/>
      <c r="E505" s="33"/>
      <c r="F505" s="43" t="s">
        <v>558</v>
      </c>
      <c r="G505" s="31" t="str">
        <f>IF(ISNUMBER(F505),E505*F505,"")</f>
        <v/>
      </c>
      <c r="H505" s="35"/>
      <c r="I505" s="31"/>
      <c r="J505" s="155">
        <v>0</v>
      </c>
    </row>
    <row r="506" spans="1:10" ht="15.75" hidden="1" thickBot="1" x14ac:dyDescent="0.3">
      <c r="A506" s="200"/>
      <c r="B506" s="202"/>
      <c r="C506" s="36" t="s">
        <v>207</v>
      </c>
      <c r="D506" s="47" t="s">
        <v>20</v>
      </c>
      <c r="E506" s="37">
        <v>0.1</v>
      </c>
      <c r="F506" s="34">
        <v>0.66499999999999992</v>
      </c>
      <c r="G506" s="34">
        <f>IF(ISNUMBER(F506),E506*F506,"")</f>
        <v>6.649999999999999E-2</v>
      </c>
      <c r="H506" s="39">
        <f>SUM(G506:G509)</f>
        <v>13.062813499999999</v>
      </c>
      <c r="I506" s="40"/>
      <c r="J506" s="155">
        <v>0</v>
      </c>
    </row>
    <row r="507" spans="1:10" ht="15.75" hidden="1" thickBot="1" x14ac:dyDescent="0.3">
      <c r="A507" s="200"/>
      <c r="B507" s="202"/>
      <c r="C507" s="36" t="s">
        <v>6493</v>
      </c>
      <c r="D507" s="47" t="s">
        <v>1315</v>
      </c>
      <c r="E507" s="37">
        <v>0.2445</v>
      </c>
      <c r="F507" s="34">
        <v>15.180999999999999</v>
      </c>
      <c r="G507" s="34">
        <f>IF(ISNUMBER(F507),E507*F507,"")</f>
        <v>3.7117544999999996</v>
      </c>
      <c r="H507" s="35"/>
      <c r="I507" s="31"/>
      <c r="J507" s="155">
        <v>0</v>
      </c>
    </row>
    <row r="508" spans="1:10" ht="15.75" hidden="1" thickBot="1" x14ac:dyDescent="0.3">
      <c r="A508" s="200"/>
      <c r="B508" s="202"/>
      <c r="C508" s="36" t="s">
        <v>101</v>
      </c>
      <c r="D508" s="47" t="s">
        <v>12</v>
      </c>
      <c r="E508" s="37">
        <v>0.312</v>
      </c>
      <c r="F508" s="31">
        <v>23.645499999999998</v>
      </c>
      <c r="G508" s="34">
        <f>IF(ISNUMBER(F508),E508*F508,"")</f>
        <v>7.3773959999999992</v>
      </c>
      <c r="H508" s="35"/>
      <c r="I508" s="31"/>
      <c r="J508" s="155">
        <v>0</v>
      </c>
    </row>
    <row r="509" spans="1:10" ht="15.75" hidden="1" thickBot="1" x14ac:dyDescent="0.3">
      <c r="A509" s="200"/>
      <c r="B509" s="202"/>
      <c r="C509" s="36" t="s">
        <v>23</v>
      </c>
      <c r="D509" s="47" t="s">
        <v>12</v>
      </c>
      <c r="E509" s="37">
        <v>0.114</v>
      </c>
      <c r="F509" s="31">
        <v>16.729499999999998</v>
      </c>
      <c r="G509" s="34">
        <f>IF(ISNUMBER(F509),E509*F509,"")</f>
        <v>1.9071629999999999</v>
      </c>
      <c r="H509" s="35"/>
      <c r="I509" s="31"/>
      <c r="J509" s="155">
        <v>0</v>
      </c>
    </row>
    <row r="510" spans="1:10" ht="15.75" hidden="1" thickBot="1" x14ac:dyDescent="0.3">
      <c r="A510" s="201"/>
      <c r="B510" s="188"/>
      <c r="C510" s="36"/>
      <c r="D510" s="36"/>
      <c r="E510" s="37"/>
      <c r="F510" s="31" t="s">
        <v>558</v>
      </c>
      <c r="G510" s="31" t="str">
        <f>IF(ISNUMBER(F510),E510*F510,"")</f>
        <v/>
      </c>
      <c r="H510" s="35"/>
      <c r="I510" s="31"/>
      <c r="J510" s="155">
        <v>0</v>
      </c>
    </row>
    <row r="511" spans="1:10" ht="15.75" hidden="1" thickBot="1" x14ac:dyDescent="0.3">
      <c r="A511" s="180" t="s">
        <v>211</v>
      </c>
      <c r="B511" s="186" t="str">
        <f>INDEX(Orçamentária!A:B,MATCH(Composições!A511,Orçamentária!A:A,0),2)</f>
        <v>Pintura com tinta látex acrílica Premium (paredes)</v>
      </c>
      <c r="C511" s="41"/>
      <c r="D511" s="26" t="str">
        <f>TRIM(INDEX(Orçamentária!C:C,MATCH(Composições!A511,Orçamentária!A:A,0),1))</f>
        <v>m2</v>
      </c>
      <c r="E511" s="27"/>
      <c r="F511" s="42" t="s">
        <v>558</v>
      </c>
      <c r="G511" s="28" t="str">
        <f>IF(ISNUMBER(F511),E511*F511,"")</f>
        <v/>
      </c>
      <c r="H511" s="29"/>
      <c r="I511" s="30"/>
      <c r="J511" s="155">
        <v>0</v>
      </c>
    </row>
    <row r="512" spans="1:10" ht="15.75" hidden="1" thickBot="1" x14ac:dyDescent="0.3">
      <c r="A512" s="200"/>
      <c r="B512" s="202"/>
      <c r="C512" s="32"/>
      <c r="D512" s="32"/>
      <c r="E512" s="33"/>
      <c r="F512" s="43" t="s">
        <v>558</v>
      </c>
      <c r="G512" s="31" t="str">
        <f>IF(ISNUMBER(F512),E512*F512,"")</f>
        <v/>
      </c>
      <c r="H512" s="35"/>
      <c r="I512" s="31"/>
      <c r="J512" s="155">
        <v>0</v>
      </c>
    </row>
    <row r="513" spans="1:10" ht="15.75" hidden="1" thickBot="1" x14ac:dyDescent="0.3">
      <c r="A513" s="200"/>
      <c r="B513" s="202"/>
      <c r="C513" s="36" t="s">
        <v>101</v>
      </c>
      <c r="D513" s="47" t="s">
        <v>12</v>
      </c>
      <c r="E513" s="37">
        <v>0.187</v>
      </c>
      <c r="F513" s="31">
        <v>23.645499999999998</v>
      </c>
      <c r="G513" s="34">
        <f>IF(ISNUMBER(F513),E513*F513,"")</f>
        <v>4.4217084999999994</v>
      </c>
      <c r="H513" s="39">
        <f>SUM(G513:G515)</f>
        <v>12.827299</v>
      </c>
      <c r="I513" s="40"/>
      <c r="J513" s="155">
        <v>0</v>
      </c>
    </row>
    <row r="514" spans="1:10" ht="15.75" hidden="1" thickBot="1" x14ac:dyDescent="0.3">
      <c r="A514" s="200"/>
      <c r="B514" s="202"/>
      <c r="C514" s="36" t="s">
        <v>23</v>
      </c>
      <c r="D514" s="47" t="s">
        <v>12</v>
      </c>
      <c r="E514" s="37">
        <v>6.9000000000000006E-2</v>
      </c>
      <c r="F514" s="31">
        <v>16.729499999999998</v>
      </c>
      <c r="G514" s="34">
        <f>IF(ISNUMBER(F514),E514*F514,"")</f>
        <v>1.1543355</v>
      </c>
      <c r="H514" s="35"/>
      <c r="I514" s="31"/>
      <c r="J514" s="155">
        <v>0</v>
      </c>
    </row>
    <row r="515" spans="1:10" ht="15.75" hidden="1" thickBot="1" x14ac:dyDescent="0.3">
      <c r="A515" s="200"/>
      <c r="B515" s="202"/>
      <c r="C515" s="36" t="s">
        <v>212</v>
      </c>
      <c r="D515" s="50" t="s">
        <v>103</v>
      </c>
      <c r="E515" s="37">
        <v>0.33</v>
      </c>
      <c r="F515" s="34">
        <v>21.973499999999998</v>
      </c>
      <c r="G515" s="34">
        <f>IF(ISNUMBER(F515),E515*F515,"")</f>
        <v>7.2512549999999996</v>
      </c>
      <c r="H515" s="35"/>
      <c r="I515" s="31"/>
      <c r="J515" s="155">
        <v>0</v>
      </c>
    </row>
    <row r="516" spans="1:10" ht="15.75" hidden="1" thickBot="1" x14ac:dyDescent="0.3">
      <c r="A516" s="201"/>
      <c r="B516" s="188"/>
      <c r="C516" s="36"/>
      <c r="D516" s="36"/>
      <c r="E516" s="37"/>
      <c r="F516" s="31" t="s">
        <v>558</v>
      </c>
      <c r="G516" s="31" t="str">
        <f>IF(ISNUMBER(F516),E516*F516,"")</f>
        <v/>
      </c>
      <c r="H516" s="35"/>
      <c r="I516" s="31"/>
      <c r="J516" s="155">
        <v>0</v>
      </c>
    </row>
    <row r="517" spans="1:10" ht="15.75" hidden="1" thickBot="1" x14ac:dyDescent="0.3">
      <c r="A517" s="180" t="s">
        <v>213</v>
      </c>
      <c r="B517" s="186" t="str">
        <f>INDEX(Orçamentária!A:B,MATCH(Composições!A517,Orçamentária!A:A,0),2)</f>
        <v>Pintura em verniz sintético</v>
      </c>
      <c r="C517" s="41"/>
      <c r="D517" s="26" t="str">
        <f>TRIM(INDEX(Orçamentária!C:C,MATCH(Composições!A517,Orçamentária!A:A,0),1))</f>
        <v>m2</v>
      </c>
      <c r="E517" s="27"/>
      <c r="F517" s="42" t="s">
        <v>558</v>
      </c>
      <c r="G517" s="28" t="str">
        <f>IF(ISNUMBER(F517),E517*F517,"")</f>
        <v/>
      </c>
      <c r="H517" s="29"/>
      <c r="I517" s="30"/>
      <c r="J517" s="155">
        <v>0</v>
      </c>
    </row>
    <row r="518" spans="1:10" ht="15.75" hidden="1" thickBot="1" x14ac:dyDescent="0.3">
      <c r="A518" s="200"/>
      <c r="B518" s="202"/>
      <c r="C518" s="32"/>
      <c r="D518" s="32"/>
      <c r="E518" s="33"/>
      <c r="F518" s="43" t="s">
        <v>558</v>
      </c>
      <c r="G518" s="31" t="str">
        <f>IF(ISNUMBER(F518),E518*F518,"")</f>
        <v/>
      </c>
      <c r="H518" s="35"/>
      <c r="I518" s="31"/>
      <c r="J518" s="155">
        <v>0</v>
      </c>
    </row>
    <row r="519" spans="1:10" ht="15.75" hidden="1" thickBot="1" x14ac:dyDescent="0.3">
      <c r="A519" s="200"/>
      <c r="B519" s="202"/>
      <c r="C519" s="36" t="s">
        <v>214</v>
      </c>
      <c r="D519" s="50" t="s">
        <v>103</v>
      </c>
      <c r="E519" s="37">
        <f>ROUND(3*3.6/100,4)</f>
        <v>0.108</v>
      </c>
      <c r="F519" s="34" t="s">
        <v>558</v>
      </c>
      <c r="G519" s="31" t="str">
        <f>IF(ISNUMBER(F519),E519*F519,"")</f>
        <v/>
      </c>
      <c r="H519" s="39">
        <f>SUM(G519:G520)</f>
        <v>16.731555799999999</v>
      </c>
      <c r="I519" s="40"/>
      <c r="J519" s="155">
        <v>0</v>
      </c>
    </row>
    <row r="520" spans="1:10" ht="15.75" hidden="1" thickBot="1" x14ac:dyDescent="0.3">
      <c r="A520" s="200"/>
      <c r="B520" s="202"/>
      <c r="C520" s="36" t="s">
        <v>101</v>
      </c>
      <c r="D520" s="36" t="s">
        <v>12</v>
      </c>
      <c r="E520" s="37">
        <v>0.70760000000000001</v>
      </c>
      <c r="F520" s="31">
        <v>23.645499999999998</v>
      </c>
      <c r="G520" s="31">
        <f>IF(ISNUMBER(F520),E520*F520,"")</f>
        <v>16.731555799999999</v>
      </c>
      <c r="H520" s="35"/>
      <c r="I520" s="31"/>
      <c r="J520" s="155">
        <v>0</v>
      </c>
    </row>
    <row r="521" spans="1:10" ht="15.75" hidden="1" thickBot="1" x14ac:dyDescent="0.3">
      <c r="A521" s="200"/>
      <c r="B521" s="202"/>
      <c r="C521" s="36"/>
      <c r="D521" s="36"/>
      <c r="E521" s="37"/>
      <c r="F521" s="31"/>
      <c r="G521" s="31"/>
      <c r="H521" s="35"/>
      <c r="I521" s="31"/>
      <c r="J521" s="155">
        <v>0</v>
      </c>
    </row>
    <row r="522" spans="1:10" ht="39" hidden="1" thickBot="1" x14ac:dyDescent="0.3">
      <c r="A522" s="200"/>
      <c r="B522" s="202"/>
      <c r="C522" s="52" t="s">
        <v>3481</v>
      </c>
      <c r="D522" s="36"/>
      <c r="E522" s="37"/>
      <c r="F522" s="31"/>
      <c r="G522" s="31"/>
      <c r="H522" s="35"/>
      <c r="I522" s="31"/>
      <c r="J522" s="155">
        <v>0</v>
      </c>
    </row>
    <row r="523" spans="1:10" ht="15.75" hidden="1" thickBot="1" x14ac:dyDescent="0.3">
      <c r="A523" s="201"/>
      <c r="B523" s="188"/>
      <c r="C523" s="36"/>
      <c r="D523" s="36"/>
      <c r="E523" s="37"/>
      <c r="F523" s="31" t="s">
        <v>558</v>
      </c>
      <c r="G523" s="31" t="str">
        <f>IF(ISNUMBER(F523),E523*F523,"")</f>
        <v/>
      </c>
      <c r="H523" s="35"/>
      <c r="I523" s="31"/>
      <c r="J523" s="155">
        <v>0</v>
      </c>
    </row>
    <row r="524" spans="1:10" ht="15.75" hidden="1" thickBot="1" x14ac:dyDescent="0.3">
      <c r="A524" s="180" t="s">
        <v>215</v>
      </c>
      <c r="B524" s="186" t="str">
        <f>INDEX(Orçamentária!A:B,MATCH(Composições!A524,Orçamentária!A:A,0),2)</f>
        <v>Pintura esmalte acetinado (metais e madeiras)</v>
      </c>
      <c r="C524" s="41"/>
      <c r="D524" s="26" t="str">
        <f>TRIM(INDEX(Orçamentária!C:C,MATCH(Composições!A524,Orçamentária!A:A,0),1))</f>
        <v>m2</v>
      </c>
      <c r="E524" s="27"/>
      <c r="F524" s="42" t="s">
        <v>558</v>
      </c>
      <c r="G524" s="28" t="str">
        <f>IF(ISNUMBER(F524),E524*F524,"")</f>
        <v/>
      </c>
      <c r="H524" s="29"/>
      <c r="I524" s="30"/>
      <c r="J524" s="155">
        <v>0</v>
      </c>
    </row>
    <row r="525" spans="1:10" ht="15.75" hidden="1" thickBot="1" x14ac:dyDescent="0.3">
      <c r="A525" s="200"/>
      <c r="B525" s="202"/>
      <c r="C525" s="32"/>
      <c r="D525" s="32"/>
      <c r="E525" s="33"/>
      <c r="F525" s="43" t="s">
        <v>558</v>
      </c>
      <c r="G525" s="31" t="str">
        <f>IF(ISNUMBER(F525),E525*F525,"")</f>
        <v/>
      </c>
      <c r="H525" s="35"/>
      <c r="I525" s="31"/>
      <c r="J525" s="155">
        <v>0</v>
      </c>
    </row>
    <row r="526" spans="1:10" ht="15.75" hidden="1" thickBot="1" x14ac:dyDescent="0.3">
      <c r="A526" s="200"/>
      <c r="B526" s="202"/>
      <c r="C526" s="36" t="s">
        <v>101</v>
      </c>
      <c r="D526" s="47" t="s">
        <v>12</v>
      </c>
      <c r="E526" s="37">
        <v>0.57079999999999997</v>
      </c>
      <c r="F526" s="31">
        <v>23.645499999999998</v>
      </c>
      <c r="G526" s="34">
        <f>IF(ISNUMBER(F526),E526*F526,"")</f>
        <v>13.496851399999999</v>
      </c>
      <c r="H526" s="39">
        <f>SUM(G526:G527)</f>
        <v>13.496851399999999</v>
      </c>
      <c r="I526" s="40"/>
      <c r="J526" s="155">
        <v>0</v>
      </c>
    </row>
    <row r="527" spans="1:10" ht="15.75" hidden="1" thickBot="1" x14ac:dyDescent="0.3">
      <c r="A527" s="200"/>
      <c r="B527" s="202"/>
      <c r="C527" s="36" t="s">
        <v>216</v>
      </c>
      <c r="D527" s="50" t="s">
        <v>103</v>
      </c>
      <c r="E527" s="37">
        <f>ROUND(3*3.6/75,4)</f>
        <v>0.14399999999999999</v>
      </c>
      <c r="F527" s="34" t="s">
        <v>558</v>
      </c>
      <c r="G527" s="34" t="str">
        <f>IF(ISNUMBER(F527),E527*F527,"")</f>
        <v/>
      </c>
      <c r="H527" s="35"/>
      <c r="I527" s="31"/>
      <c r="J527" s="155">
        <v>0</v>
      </c>
    </row>
    <row r="528" spans="1:10" ht="15.75" hidden="1" thickBot="1" x14ac:dyDescent="0.3">
      <c r="A528" s="200"/>
      <c r="B528" s="202"/>
      <c r="C528" s="36"/>
      <c r="D528" s="50"/>
      <c r="E528" s="37"/>
      <c r="F528" s="34"/>
      <c r="G528" s="34"/>
      <c r="H528" s="35"/>
      <c r="I528" s="31"/>
      <c r="J528" s="155">
        <v>0</v>
      </c>
    </row>
    <row r="529" spans="1:10" ht="39" hidden="1" thickBot="1" x14ac:dyDescent="0.3">
      <c r="A529" s="200"/>
      <c r="B529" s="202"/>
      <c r="C529" s="52" t="s">
        <v>3480</v>
      </c>
      <c r="D529" s="50"/>
      <c r="E529" s="37"/>
      <c r="F529" s="34"/>
      <c r="G529" s="34"/>
      <c r="H529" s="35"/>
      <c r="I529" s="31"/>
      <c r="J529" s="155">
        <v>0</v>
      </c>
    </row>
    <row r="530" spans="1:10" ht="15.75" hidden="1" thickBot="1" x14ac:dyDescent="0.3">
      <c r="A530" s="201"/>
      <c r="B530" s="188"/>
      <c r="C530" s="36"/>
      <c r="D530" s="36"/>
      <c r="E530" s="37"/>
      <c r="F530" s="31" t="s">
        <v>558</v>
      </c>
      <c r="G530" s="31" t="str">
        <f>IF(ISNUMBER(F530),E530*F530,"")</f>
        <v/>
      </c>
      <c r="H530" s="35"/>
      <c r="I530" s="31"/>
      <c r="J530" s="155">
        <v>0</v>
      </c>
    </row>
    <row r="531" spans="1:10" ht="15.75" hidden="1" thickBot="1" x14ac:dyDescent="0.3">
      <c r="A531" s="180" t="s">
        <v>217</v>
      </c>
      <c r="B531" s="186" t="str">
        <f>INDEX(Orçamentária!A:B,MATCH(Composições!A531,Orçamentária!A:A,0),2)</f>
        <v>Pintura tinta látex acrílica standard (tetos)</v>
      </c>
      <c r="C531" s="41"/>
      <c r="D531" s="26" t="str">
        <f>TRIM(INDEX(Orçamentária!C:C,MATCH(Composições!A531,Orçamentária!A:A,0),1))</f>
        <v>m2</v>
      </c>
      <c r="E531" s="27"/>
      <c r="F531" s="42" t="s">
        <v>558</v>
      </c>
      <c r="G531" s="28" t="str">
        <f>IF(ISNUMBER(F531),E531*F531,"")</f>
        <v/>
      </c>
      <c r="H531" s="29"/>
      <c r="I531" s="30"/>
      <c r="J531" s="155">
        <v>0</v>
      </c>
    </row>
    <row r="532" spans="1:10" ht="15.75" hidden="1" thickBot="1" x14ac:dyDescent="0.3">
      <c r="A532" s="200"/>
      <c r="B532" s="202"/>
      <c r="C532" s="32"/>
      <c r="D532" s="32"/>
      <c r="E532" s="33"/>
      <c r="F532" s="43" t="s">
        <v>558</v>
      </c>
      <c r="G532" s="31" t="str">
        <f>IF(ISNUMBER(F532),E532*F532,"")</f>
        <v/>
      </c>
      <c r="H532" s="35"/>
      <c r="I532" s="31"/>
      <c r="J532" s="155">
        <v>0</v>
      </c>
    </row>
    <row r="533" spans="1:10" ht="15.75" hidden="1" thickBot="1" x14ac:dyDescent="0.3">
      <c r="A533" s="200"/>
      <c r="B533" s="202"/>
      <c r="C533" s="36" t="s">
        <v>101</v>
      </c>
      <c r="D533" s="47" t="s">
        <v>12</v>
      </c>
      <c r="E533" s="37">
        <v>0.24399999999999999</v>
      </c>
      <c r="F533" s="31">
        <v>23.645499999999998</v>
      </c>
      <c r="G533" s="34">
        <f>IF(ISNUMBER(F533),E533*F533,"")</f>
        <v>5.7695019999999992</v>
      </c>
      <c r="H533" s="39">
        <f>SUM(G533:G535)</f>
        <v>14.509682499999998</v>
      </c>
      <c r="I533" s="40"/>
      <c r="J533" s="155">
        <v>0</v>
      </c>
    </row>
    <row r="534" spans="1:10" ht="15.75" hidden="1" thickBot="1" x14ac:dyDescent="0.3">
      <c r="A534" s="200"/>
      <c r="B534" s="202"/>
      <c r="C534" s="36" t="s">
        <v>23</v>
      </c>
      <c r="D534" s="47" t="s">
        <v>12</v>
      </c>
      <c r="E534" s="37">
        <v>8.8999999999999996E-2</v>
      </c>
      <c r="F534" s="31">
        <v>16.729499999999998</v>
      </c>
      <c r="G534" s="34">
        <f>IF(ISNUMBER(F534),E534*F534,"")</f>
        <v>1.4889254999999997</v>
      </c>
      <c r="H534" s="35"/>
      <c r="I534" s="31"/>
      <c r="J534" s="155">
        <v>0</v>
      </c>
    </row>
    <row r="535" spans="1:10" ht="15.75" hidden="1" thickBot="1" x14ac:dyDescent="0.3">
      <c r="A535" s="200"/>
      <c r="B535" s="202"/>
      <c r="C535" s="36" t="s">
        <v>212</v>
      </c>
      <c r="D535" s="50" t="s">
        <v>103</v>
      </c>
      <c r="E535" s="37">
        <v>0.33</v>
      </c>
      <c r="F535" s="34">
        <v>21.973499999999998</v>
      </c>
      <c r="G535" s="34">
        <f>IF(ISNUMBER(F535),E535*F535,"")</f>
        <v>7.2512549999999996</v>
      </c>
      <c r="H535" s="35"/>
      <c r="I535" s="31"/>
      <c r="J535" s="155">
        <v>0</v>
      </c>
    </row>
    <row r="536" spans="1:10" ht="15.75" hidden="1" thickBot="1" x14ac:dyDescent="0.3">
      <c r="A536" s="201"/>
      <c r="B536" s="188"/>
      <c r="C536" s="36"/>
      <c r="D536" s="36"/>
      <c r="E536" s="37"/>
      <c r="F536" s="31" t="s">
        <v>558</v>
      </c>
      <c r="G536" s="31" t="str">
        <f>IF(ISNUMBER(F536),E536*F536,"")</f>
        <v/>
      </c>
      <c r="H536" s="35"/>
      <c r="I536" s="31"/>
      <c r="J536" s="155">
        <v>0</v>
      </c>
    </row>
    <row r="537" spans="1:10" ht="15.75" hidden="1" thickBot="1" x14ac:dyDescent="0.3">
      <c r="A537" s="180" t="s">
        <v>218</v>
      </c>
      <c r="B537" s="186" t="str">
        <f>INDEX(Orçamentária!A:B,MATCH(Composições!A537,Orçamentária!A:A,0),2)</f>
        <v>Cerâmica para revestimento de superfícies internas ou externas – Linha Administrativa</v>
      </c>
      <c r="C537" s="41"/>
      <c r="D537" s="26" t="str">
        <f>TRIM(INDEX(Orçamentária!C:C,MATCH(Composições!A537,Orçamentária!A:A,0),1))</f>
        <v>m2</v>
      </c>
      <c r="E537" s="27"/>
      <c r="F537" s="42" t="s">
        <v>558</v>
      </c>
      <c r="G537" s="28" t="str">
        <f>IF(ISNUMBER(F537),E537*F537,"")</f>
        <v/>
      </c>
      <c r="H537" s="29"/>
      <c r="I537" s="30"/>
      <c r="J537" s="155">
        <v>0</v>
      </c>
    </row>
    <row r="538" spans="1:10" ht="15.75" hidden="1" thickBot="1" x14ac:dyDescent="0.3">
      <c r="A538" s="200"/>
      <c r="B538" s="202"/>
      <c r="C538" s="32"/>
      <c r="D538" s="32"/>
      <c r="E538" s="33"/>
      <c r="F538" s="43" t="s">
        <v>558</v>
      </c>
      <c r="G538" s="31" t="str">
        <f>IF(ISNUMBER(F538),E538*F538,"")</f>
        <v/>
      </c>
      <c r="H538" s="35"/>
      <c r="I538" s="31"/>
      <c r="J538" s="155">
        <v>0</v>
      </c>
    </row>
    <row r="539" spans="1:10" ht="26.25" hidden="1" thickBot="1" x14ac:dyDescent="0.3">
      <c r="A539" s="200"/>
      <c r="B539" s="202"/>
      <c r="C539" s="36" t="s">
        <v>219</v>
      </c>
      <c r="D539" s="36" t="s">
        <v>95</v>
      </c>
      <c r="E539" s="37">
        <v>1.08</v>
      </c>
      <c r="F539" s="34">
        <v>35.929000000000002</v>
      </c>
      <c r="G539" s="34">
        <f>IF(ISNUMBER(F539),E539*F539,"")</f>
        <v>38.803320000000006</v>
      </c>
      <c r="H539" s="39">
        <f>SUM(G539:G543)</f>
        <v>65.154229999999998</v>
      </c>
      <c r="I539" s="40"/>
      <c r="J539" s="155">
        <v>0</v>
      </c>
    </row>
    <row r="540" spans="1:10" ht="15.75" hidden="1" thickBot="1" x14ac:dyDescent="0.3">
      <c r="A540" s="200"/>
      <c r="B540" s="202"/>
      <c r="C540" s="36" t="s">
        <v>3620</v>
      </c>
      <c r="D540" s="36" t="s">
        <v>42</v>
      </c>
      <c r="E540" s="37">
        <v>6.14</v>
      </c>
      <c r="F540" s="34">
        <v>0.78849999999999998</v>
      </c>
      <c r="G540" s="34">
        <f>IF(ISNUMBER(F540),E540*F540,"")</f>
        <v>4.8413899999999996</v>
      </c>
      <c r="H540" s="35"/>
      <c r="I540" s="31"/>
      <c r="J540" s="155">
        <v>0</v>
      </c>
    </row>
    <row r="541" spans="1:10" ht="15.75" hidden="1" thickBot="1" x14ac:dyDescent="0.3">
      <c r="A541" s="200"/>
      <c r="B541" s="202"/>
      <c r="C541" s="36" t="s">
        <v>3618</v>
      </c>
      <c r="D541" s="36" t="s">
        <v>42</v>
      </c>
      <c r="E541" s="37">
        <v>0.22</v>
      </c>
      <c r="F541" s="34">
        <v>2.508</v>
      </c>
      <c r="G541" s="34">
        <f>IF(ISNUMBER(F541),E541*F541,"")</f>
        <v>0.55176000000000003</v>
      </c>
      <c r="H541" s="35"/>
      <c r="I541" s="31"/>
      <c r="J541" s="155">
        <v>0</v>
      </c>
    </row>
    <row r="542" spans="1:10" ht="15.75" hidden="1" thickBot="1" x14ac:dyDescent="0.3">
      <c r="A542" s="200"/>
      <c r="B542" s="202"/>
      <c r="C542" s="36" t="s">
        <v>36</v>
      </c>
      <c r="D542" s="36" t="s">
        <v>12</v>
      </c>
      <c r="E542" s="37">
        <v>0.66</v>
      </c>
      <c r="F542" s="31">
        <v>22.628999999999998</v>
      </c>
      <c r="G542" s="34">
        <f>IF(ISNUMBER(F542),E542*F542,"")</f>
        <v>14.935139999999999</v>
      </c>
      <c r="H542" s="35"/>
      <c r="I542" s="31"/>
      <c r="J542" s="155">
        <v>0</v>
      </c>
    </row>
    <row r="543" spans="1:10" ht="15.75" hidden="1" thickBot="1" x14ac:dyDescent="0.3">
      <c r="A543" s="200"/>
      <c r="B543" s="202"/>
      <c r="C543" s="36" t="s">
        <v>23</v>
      </c>
      <c r="D543" s="36" t="s">
        <v>12</v>
      </c>
      <c r="E543" s="37">
        <v>0.36</v>
      </c>
      <c r="F543" s="31">
        <v>16.729499999999998</v>
      </c>
      <c r="G543" s="34">
        <f>IF(ISNUMBER(F543),E543*F543,"")</f>
        <v>6.022619999999999</v>
      </c>
      <c r="H543" s="35"/>
      <c r="I543" s="31"/>
      <c r="J543" s="155">
        <v>0</v>
      </c>
    </row>
    <row r="544" spans="1:10" ht="15.75" hidden="1" thickBot="1" x14ac:dyDescent="0.3">
      <c r="A544" s="201"/>
      <c r="B544" s="188"/>
      <c r="C544" s="36"/>
      <c r="D544" s="36"/>
      <c r="E544" s="37"/>
      <c r="F544" s="31" t="s">
        <v>558</v>
      </c>
      <c r="G544" s="31" t="str">
        <f>IF(ISNUMBER(F544),E544*F544,"")</f>
        <v/>
      </c>
      <c r="H544" s="35"/>
      <c r="I544" s="31"/>
      <c r="J544" s="155">
        <v>0</v>
      </c>
    </row>
    <row r="545" spans="1:10" ht="15.75" thickBot="1" x14ac:dyDescent="0.3">
      <c r="A545" s="180" t="s">
        <v>220</v>
      </c>
      <c r="B545" s="186" t="str">
        <f>INDEX(Orçamentária!A:B,MATCH(Composições!A545,Orçamentária!A:A,0),2)</f>
        <v>Contrapiso em argamassa</v>
      </c>
      <c r="C545" s="41"/>
      <c r="D545" s="26" t="str">
        <f>TRIM(INDEX(Orçamentária!C:C,MATCH(Composições!A545,Orçamentária!A:A,0),1))</f>
        <v>m2</v>
      </c>
      <c r="E545" s="27"/>
      <c r="F545" s="42" t="s">
        <v>558</v>
      </c>
      <c r="G545" s="28" t="str">
        <f>IF(ISNUMBER(F545),E545*F545,"")</f>
        <v/>
      </c>
      <c r="H545" s="29"/>
      <c r="I545" s="30"/>
      <c r="J545" s="155">
        <v>260</v>
      </c>
    </row>
    <row r="546" spans="1:10" x14ac:dyDescent="0.25">
      <c r="A546" s="200"/>
      <c r="B546" s="202"/>
      <c r="C546" s="32"/>
      <c r="D546" s="32"/>
      <c r="E546" s="33"/>
      <c r="F546" s="43" t="s">
        <v>558</v>
      </c>
      <c r="G546" s="31" t="str">
        <f>IF(ISNUMBER(F546),E546*F546,"")</f>
        <v/>
      </c>
      <c r="H546" s="35"/>
      <c r="I546" s="31"/>
      <c r="J546" s="155">
        <v>260</v>
      </c>
    </row>
    <row r="547" spans="1:10" ht="25.5" x14ac:dyDescent="0.25">
      <c r="A547" s="200"/>
      <c r="B547" s="202"/>
      <c r="C547" s="36" t="s">
        <v>221</v>
      </c>
      <c r="D547" s="36" t="s">
        <v>110</v>
      </c>
      <c r="E547" s="37">
        <v>5.2999999999999999E-2</v>
      </c>
      <c r="F547" s="34">
        <v>599.5230109675</v>
      </c>
      <c r="G547" s="34">
        <f>IF(ISNUMBER(F547),E547*F547,"")</f>
        <v>31.774719581277498</v>
      </c>
      <c r="H547" s="39">
        <f>SUM(G547:G551)</f>
        <v>48.051972081277491</v>
      </c>
      <c r="I547" s="40"/>
      <c r="J547" s="155">
        <v>260</v>
      </c>
    </row>
    <row r="548" spans="1:10" x14ac:dyDescent="0.25">
      <c r="A548" s="200"/>
      <c r="B548" s="202"/>
      <c r="C548" s="36" t="s">
        <v>22</v>
      </c>
      <c r="D548" s="36" t="s">
        <v>12</v>
      </c>
      <c r="E548" s="37">
        <v>0.36</v>
      </c>
      <c r="F548" s="31">
        <v>22.704999999999998</v>
      </c>
      <c r="G548" s="34">
        <f>IF(ISNUMBER(F548),E548*F548,"")</f>
        <v>8.1738</v>
      </c>
      <c r="H548" s="35"/>
      <c r="I548" s="31"/>
      <c r="J548" s="155">
        <v>260</v>
      </c>
    </row>
    <row r="549" spans="1:10" x14ac:dyDescent="0.25">
      <c r="A549" s="200"/>
      <c r="B549" s="202"/>
      <c r="C549" s="36" t="s">
        <v>23</v>
      </c>
      <c r="D549" s="36" t="s">
        <v>12</v>
      </c>
      <c r="E549" s="37">
        <v>0.18</v>
      </c>
      <c r="F549" s="31">
        <v>16.729499999999998</v>
      </c>
      <c r="G549" s="34">
        <f>IF(ISNUMBER(F549),E549*F549,"")</f>
        <v>3.0113099999999995</v>
      </c>
      <c r="H549" s="35"/>
      <c r="I549" s="31"/>
      <c r="J549" s="155">
        <v>260</v>
      </c>
    </row>
    <row r="550" spans="1:10" x14ac:dyDescent="0.25">
      <c r="A550" s="200"/>
      <c r="B550" s="202"/>
      <c r="C550" s="36" t="s">
        <v>787</v>
      </c>
      <c r="D550" s="47" t="s">
        <v>42</v>
      </c>
      <c r="E550" s="37">
        <v>0.5</v>
      </c>
      <c r="F550" s="34">
        <v>0.52249999999999996</v>
      </c>
      <c r="G550" s="34">
        <f>IF(ISNUMBER(F550),E550*F550,"")</f>
        <v>0.26124999999999998</v>
      </c>
      <c r="H550" s="35"/>
      <c r="I550" s="31"/>
      <c r="J550" s="155">
        <v>260</v>
      </c>
    </row>
    <row r="551" spans="1:10" ht="25.5" x14ac:dyDescent="0.25">
      <c r="A551" s="200"/>
      <c r="B551" s="202"/>
      <c r="C551" s="36" t="s">
        <v>1410</v>
      </c>
      <c r="D551" s="50" t="s">
        <v>103</v>
      </c>
      <c r="E551" s="37">
        <v>0.435</v>
      </c>
      <c r="F551" s="34">
        <v>11.105499999999999</v>
      </c>
      <c r="G551" s="34">
        <f>IF(ISNUMBER(F551),E551*F551,"")</f>
        <v>4.8308925</v>
      </c>
      <c r="H551" s="35"/>
      <c r="I551" s="31"/>
      <c r="J551" s="155">
        <v>260</v>
      </c>
    </row>
    <row r="552" spans="1:10" ht="15.75" thickBot="1" x14ac:dyDescent="0.3">
      <c r="A552" s="201"/>
      <c r="B552" s="188"/>
      <c r="C552" s="36"/>
      <c r="D552" s="36"/>
      <c r="E552" s="37"/>
      <c r="F552" s="31" t="s">
        <v>558</v>
      </c>
      <c r="G552" s="31" t="str">
        <f>IF(ISNUMBER(F552),E552*F552,"")</f>
        <v/>
      </c>
      <c r="H552" s="35"/>
      <c r="I552" s="31"/>
      <c r="J552" s="155">
        <v>260</v>
      </c>
    </row>
    <row r="553" spans="1:10" ht="15.75" hidden="1" thickBot="1" x14ac:dyDescent="0.3">
      <c r="A553" s="180" t="s">
        <v>223</v>
      </c>
      <c r="B553" s="186" t="str">
        <f>INDEX(Orçamentária!A:B,MATCH(Composições!A553,Orçamentária!A:A,0),2)</f>
        <v>Contrapiso em argamassa (e=2cm) ou Regularização de contrapiso existente</v>
      </c>
      <c r="C553" s="41"/>
      <c r="D553" s="26" t="str">
        <f>TRIM(INDEX(Orçamentária!C:C,MATCH(Composições!A553,Orçamentária!A:A,0),1))</f>
        <v>m2</v>
      </c>
      <c r="E553" s="27"/>
      <c r="F553" s="42" t="s">
        <v>558</v>
      </c>
      <c r="G553" s="28" t="str">
        <f>IF(ISNUMBER(F553),E553*F553,"")</f>
        <v/>
      </c>
      <c r="H553" s="29"/>
      <c r="I553" s="30"/>
      <c r="J553" s="155">
        <v>0</v>
      </c>
    </row>
    <row r="554" spans="1:10" ht="15.75" hidden="1" thickBot="1" x14ac:dyDescent="0.3">
      <c r="A554" s="200"/>
      <c r="B554" s="202"/>
      <c r="C554" s="32"/>
      <c r="D554" s="32"/>
      <c r="E554" s="33"/>
      <c r="F554" s="43" t="s">
        <v>558</v>
      </c>
      <c r="G554" s="31" t="str">
        <f>IF(ISNUMBER(F554),E554*F554,"")</f>
        <v/>
      </c>
      <c r="H554" s="35"/>
      <c r="I554" s="31"/>
      <c r="J554" s="155">
        <v>0</v>
      </c>
    </row>
    <row r="555" spans="1:10" ht="15.75" hidden="1" thickBot="1" x14ac:dyDescent="0.3">
      <c r="A555" s="200"/>
      <c r="B555" s="202"/>
      <c r="C555" s="36" t="s">
        <v>116</v>
      </c>
      <c r="D555" s="36" t="s">
        <v>42</v>
      </c>
      <c r="E555" s="37">
        <v>0.5</v>
      </c>
      <c r="F555" s="34">
        <v>0.52249999999999996</v>
      </c>
      <c r="G555" s="34">
        <f>IF(ISNUMBER(F555),E555*F555,"")</f>
        <v>0.26124999999999998</v>
      </c>
      <c r="H555" s="39">
        <f>SUM(G555:G559)</f>
        <v>32.6875833399925</v>
      </c>
      <c r="I555" s="40"/>
      <c r="J555" s="155">
        <v>0</v>
      </c>
    </row>
    <row r="556" spans="1:10" ht="15.75" hidden="1" thickBot="1" x14ac:dyDescent="0.3">
      <c r="A556" s="200"/>
      <c r="B556" s="202"/>
      <c r="C556" s="36" t="s">
        <v>222</v>
      </c>
      <c r="D556" s="50" t="s">
        <v>103</v>
      </c>
      <c r="E556" s="37">
        <v>0.435</v>
      </c>
      <c r="F556" s="34">
        <v>11.105499999999999</v>
      </c>
      <c r="G556" s="34">
        <f>IF(ISNUMBER(F556),E556*F556,"")</f>
        <v>4.8308925</v>
      </c>
      <c r="H556" s="35"/>
      <c r="I556" s="31"/>
      <c r="J556" s="155">
        <v>0</v>
      </c>
    </row>
    <row r="557" spans="1:10" ht="26.25" hidden="1" thickBot="1" x14ac:dyDescent="0.3">
      <c r="A557" s="200"/>
      <c r="B557" s="202"/>
      <c r="C557" s="36" t="s">
        <v>221</v>
      </c>
      <c r="D557" s="36" t="s">
        <v>110</v>
      </c>
      <c r="E557" s="37">
        <v>3.1E-2</v>
      </c>
      <c r="F557" s="34">
        <v>599.5230109675</v>
      </c>
      <c r="G557" s="34">
        <f>IF(ISNUMBER(F557),E557*F557,"")</f>
        <v>18.585213339992499</v>
      </c>
      <c r="H557" s="35"/>
      <c r="I557" s="31"/>
      <c r="J557" s="155">
        <v>0</v>
      </c>
    </row>
    <row r="558" spans="1:10" ht="15.75" hidden="1" thickBot="1" x14ac:dyDescent="0.3">
      <c r="A558" s="200"/>
      <c r="B558" s="202"/>
      <c r="C558" s="36" t="s">
        <v>22</v>
      </c>
      <c r="D558" s="47" t="s">
        <v>12</v>
      </c>
      <c r="E558" s="37">
        <v>0.28999999999999998</v>
      </c>
      <c r="F558" s="31">
        <v>22.704999999999998</v>
      </c>
      <c r="G558" s="34">
        <f>IF(ISNUMBER(F558),E558*F558,"")</f>
        <v>6.5844499999999995</v>
      </c>
      <c r="H558" s="35"/>
      <c r="I558" s="31"/>
      <c r="J558" s="155">
        <v>0</v>
      </c>
    </row>
    <row r="559" spans="1:10" ht="15.75" hidden="1" thickBot="1" x14ac:dyDescent="0.3">
      <c r="A559" s="200"/>
      <c r="B559" s="202"/>
      <c r="C559" s="36" t="s">
        <v>23</v>
      </c>
      <c r="D559" s="47" t="s">
        <v>12</v>
      </c>
      <c r="E559" s="37">
        <v>0.14499999999999999</v>
      </c>
      <c r="F559" s="31">
        <v>16.729499999999998</v>
      </c>
      <c r="G559" s="34">
        <f>IF(ISNUMBER(F559),E559*F559,"")</f>
        <v>2.4257774999999997</v>
      </c>
      <c r="H559" s="35"/>
      <c r="I559" s="31"/>
      <c r="J559" s="155">
        <v>0</v>
      </c>
    </row>
    <row r="560" spans="1:10" ht="15.75" hidden="1" thickBot="1" x14ac:dyDescent="0.3">
      <c r="A560" s="201"/>
      <c r="B560" s="188"/>
      <c r="C560" s="36"/>
      <c r="D560" s="36"/>
      <c r="E560" s="37"/>
      <c r="F560" s="31" t="s">
        <v>558</v>
      </c>
      <c r="G560" s="31" t="str">
        <f>IF(ISNUMBER(F560),E560*F560,"")</f>
        <v/>
      </c>
      <c r="H560" s="35"/>
      <c r="I560" s="31"/>
      <c r="J560" s="155">
        <v>0</v>
      </c>
    </row>
    <row r="561" spans="1:10" ht="15.75" hidden="1" thickBot="1" x14ac:dyDescent="0.3">
      <c r="A561" s="180" t="s">
        <v>224</v>
      </c>
      <c r="B561" s="186" t="str">
        <f>INDEX(Orçamentária!A:B,MATCH(Composições!A561,Orçamentária!A:A,0),2)</f>
        <v>Granito cinza andorinha para piso</v>
      </c>
      <c r="C561" s="41"/>
      <c r="D561" s="26" t="str">
        <f>TRIM(INDEX(Orçamentária!C:C,MATCH(Composições!A561,Orçamentária!A:A,0),1))</f>
        <v>m2</v>
      </c>
      <c r="E561" s="27"/>
      <c r="F561" s="42" t="s">
        <v>558</v>
      </c>
      <c r="G561" s="28" t="str">
        <f>IF(ISNUMBER(F561),E561*F561,"")</f>
        <v/>
      </c>
      <c r="H561" s="29"/>
      <c r="I561" s="30"/>
      <c r="J561" s="155">
        <v>0</v>
      </c>
    </row>
    <row r="562" spans="1:10" ht="15.75" hidden="1" thickBot="1" x14ac:dyDescent="0.3">
      <c r="A562" s="200"/>
      <c r="B562" s="202"/>
      <c r="C562" s="32"/>
      <c r="D562" s="32"/>
      <c r="E562" s="33"/>
      <c r="F562" s="43" t="s">
        <v>558</v>
      </c>
      <c r="G562" s="31" t="str">
        <f>IF(ISNUMBER(F562),E562*F562,"")</f>
        <v/>
      </c>
      <c r="H562" s="35"/>
      <c r="I562" s="31"/>
      <c r="J562" s="155">
        <v>0</v>
      </c>
    </row>
    <row r="563" spans="1:10" ht="15.75" hidden="1" thickBot="1" x14ac:dyDescent="0.3">
      <c r="A563" s="200"/>
      <c r="B563" s="202"/>
      <c r="C563" s="36" t="s">
        <v>3619</v>
      </c>
      <c r="D563" s="36" t="s">
        <v>42</v>
      </c>
      <c r="E563" s="37">
        <v>8.6199999999999992</v>
      </c>
      <c r="F563" s="34">
        <v>1.3109999999999999</v>
      </c>
      <c r="G563" s="34">
        <f>IF(ISNUMBER(F563),E563*F563,"")</f>
        <v>11.300819999999998</v>
      </c>
      <c r="H563" s="39">
        <f>SUM(G563:G567)</f>
        <v>44.059688999999999</v>
      </c>
      <c r="I563" s="40"/>
      <c r="J563" s="155">
        <v>0</v>
      </c>
    </row>
    <row r="564" spans="1:10" ht="15.75" hidden="1" thickBot="1" x14ac:dyDescent="0.3">
      <c r="A564" s="200"/>
      <c r="B564" s="202"/>
      <c r="C564" s="36" t="s">
        <v>54</v>
      </c>
      <c r="D564" s="36" t="s">
        <v>12</v>
      </c>
      <c r="E564" s="37">
        <v>1.1879999999999999</v>
      </c>
      <c r="F564" s="31">
        <v>18.9145</v>
      </c>
      <c r="G564" s="34">
        <f>IF(ISNUMBER(F564),E564*F564,"")</f>
        <v>22.470426</v>
      </c>
      <c r="H564" s="35"/>
      <c r="I564" s="31"/>
      <c r="J564" s="155">
        <v>0</v>
      </c>
    </row>
    <row r="565" spans="1:10" ht="15.75" hidden="1" thickBot="1" x14ac:dyDescent="0.3">
      <c r="A565" s="200"/>
      <c r="B565" s="202"/>
      <c r="C565" s="36" t="s">
        <v>23</v>
      </c>
      <c r="D565" s="36" t="s">
        <v>12</v>
      </c>
      <c r="E565" s="37">
        <v>0.59399999999999997</v>
      </c>
      <c r="F565" s="31">
        <v>16.729499999999998</v>
      </c>
      <c r="G565" s="34">
        <f>IF(ISNUMBER(F565),E565*F565,"")</f>
        <v>9.9373229999999992</v>
      </c>
      <c r="H565" s="35"/>
      <c r="I565" s="31"/>
      <c r="J565" s="155">
        <v>0</v>
      </c>
    </row>
    <row r="566" spans="1:10" ht="15.75" hidden="1" thickBot="1" x14ac:dyDescent="0.3">
      <c r="A566" s="200"/>
      <c r="B566" s="202"/>
      <c r="C566" s="36" t="s">
        <v>3618</v>
      </c>
      <c r="D566" s="36" t="s">
        <v>42</v>
      </c>
      <c r="E566" s="37">
        <v>0.14000000000000001</v>
      </c>
      <c r="F566" s="34">
        <v>2.508</v>
      </c>
      <c r="G566" s="34">
        <f>IF(ISNUMBER(F566),E566*F566,"")</f>
        <v>0.35112000000000004</v>
      </c>
      <c r="H566" s="35"/>
      <c r="I566" s="31"/>
      <c r="J566" s="155">
        <v>0</v>
      </c>
    </row>
    <row r="567" spans="1:10" ht="15.75" hidden="1" thickBot="1" x14ac:dyDescent="0.3">
      <c r="A567" s="200"/>
      <c r="B567" s="202"/>
      <c r="C567" s="36" t="s">
        <v>225</v>
      </c>
      <c r="D567" s="36" t="s">
        <v>95</v>
      </c>
      <c r="E567" s="37">
        <v>1.1599999999999999</v>
      </c>
      <c r="F567" s="34" t="s">
        <v>558</v>
      </c>
      <c r="G567" s="54" t="str">
        <f>IF(ISNUMBER(F567),E567*F567,"")</f>
        <v/>
      </c>
      <c r="H567" s="35"/>
      <c r="I567" s="31"/>
      <c r="J567" s="155">
        <v>0</v>
      </c>
    </row>
    <row r="568" spans="1:10" ht="15.75" hidden="1" thickBot="1" x14ac:dyDescent="0.3">
      <c r="A568" s="201"/>
      <c r="B568" s="188"/>
      <c r="C568" s="36"/>
      <c r="D568" s="36"/>
      <c r="E568" s="37"/>
      <c r="F568" s="31" t="s">
        <v>558</v>
      </c>
      <c r="G568" s="31" t="str">
        <f>IF(ISNUMBER(F568),E568*F568,"")</f>
        <v/>
      </c>
      <c r="H568" s="35"/>
      <c r="I568" s="31"/>
      <c r="J568" s="155">
        <v>0</v>
      </c>
    </row>
    <row r="569" spans="1:10" ht="15.75" hidden="1" thickBot="1" x14ac:dyDescent="0.3">
      <c r="A569" s="180" t="s">
        <v>226</v>
      </c>
      <c r="B569" s="186" t="str">
        <f>INDEX(Orçamentária!A:B,MATCH(Composições!A569,Orçamentária!A:A,0),2)</f>
        <v>Granito Cinza Andorinha para rodapé</v>
      </c>
      <c r="C569" s="41"/>
      <c r="D569" s="26" t="str">
        <f>TRIM(INDEX(Orçamentária!C:C,MATCH(Composições!A569,Orçamentária!A:A,0),1))</f>
        <v>m2</v>
      </c>
      <c r="E569" s="27"/>
      <c r="F569" s="42" t="s">
        <v>558</v>
      </c>
      <c r="G569" s="28" t="str">
        <f>IF(ISNUMBER(F569),E569*F569,"")</f>
        <v/>
      </c>
      <c r="H569" s="29"/>
      <c r="I569" s="30"/>
      <c r="J569" s="155">
        <v>0</v>
      </c>
    </row>
    <row r="570" spans="1:10" ht="15.75" hidden="1" thickBot="1" x14ac:dyDescent="0.3">
      <c r="A570" s="200"/>
      <c r="B570" s="202"/>
      <c r="C570" s="32"/>
      <c r="D570" s="32"/>
      <c r="E570" s="33"/>
      <c r="F570" s="43" t="s">
        <v>558</v>
      </c>
      <c r="G570" s="31" t="str">
        <f>IF(ISNUMBER(F570),E570*F570,"")</f>
        <v/>
      </c>
      <c r="H570" s="35"/>
      <c r="I570" s="31"/>
      <c r="J570" s="155">
        <v>0</v>
      </c>
    </row>
    <row r="571" spans="1:10" ht="26.25" hidden="1" thickBot="1" x14ac:dyDescent="0.3">
      <c r="A571" s="200"/>
      <c r="B571" s="202"/>
      <c r="C571" s="36" t="s">
        <v>227</v>
      </c>
      <c r="D571" s="36" t="s">
        <v>93</v>
      </c>
      <c r="E571" s="37">
        <f>ROUND(1.04/0.07,4)</f>
        <v>14.857100000000001</v>
      </c>
      <c r="F571" s="34" t="s">
        <v>558</v>
      </c>
      <c r="G571" s="34" t="str">
        <f>IF(ISNUMBER(F571),E571*F571,"")</f>
        <v/>
      </c>
      <c r="H571" s="39">
        <f>SUM(G571:G575)</f>
        <v>95.95115899999999</v>
      </c>
      <c r="I571" s="40"/>
      <c r="J571" s="155">
        <v>0</v>
      </c>
    </row>
    <row r="572" spans="1:10" ht="15.75" hidden="1" thickBot="1" x14ac:dyDescent="0.3">
      <c r="A572" s="200"/>
      <c r="B572" s="202"/>
      <c r="C572" s="36" t="s">
        <v>3619</v>
      </c>
      <c r="D572" s="36" t="s">
        <v>42</v>
      </c>
      <c r="E572" s="37">
        <f>ROUND(0.8614/0.1,4)</f>
        <v>8.6140000000000008</v>
      </c>
      <c r="F572" s="34">
        <v>1.3109999999999999</v>
      </c>
      <c r="G572" s="34">
        <f>IF(ISNUMBER(F572),E572*F572,"")</f>
        <v>11.292954</v>
      </c>
      <c r="H572" s="45"/>
      <c r="I572" s="46"/>
      <c r="J572" s="155">
        <v>0</v>
      </c>
    </row>
    <row r="573" spans="1:10" ht="15.75" hidden="1" thickBot="1" x14ac:dyDescent="0.3">
      <c r="A573" s="200"/>
      <c r="B573" s="202"/>
      <c r="C573" s="36" t="s">
        <v>54</v>
      </c>
      <c r="D573" s="36" t="s">
        <v>12</v>
      </c>
      <c r="E573" s="37">
        <f>0.299/0.1</f>
        <v>2.9899999999999998</v>
      </c>
      <c r="F573" s="31">
        <v>18.9145</v>
      </c>
      <c r="G573" s="34">
        <f>IF(ISNUMBER(F573),E573*F573,"")</f>
        <v>56.554354999999994</v>
      </c>
      <c r="H573" s="35"/>
      <c r="I573" s="31"/>
      <c r="J573" s="155">
        <v>0</v>
      </c>
    </row>
    <row r="574" spans="1:10" ht="15.75" hidden="1" thickBot="1" x14ac:dyDescent="0.3">
      <c r="A574" s="200"/>
      <c r="B574" s="202"/>
      <c r="C574" s="36" t="s">
        <v>23</v>
      </c>
      <c r="D574" s="36" t="s">
        <v>12</v>
      </c>
      <c r="E574" s="37">
        <f>0.15/0.1</f>
        <v>1.4999999999999998</v>
      </c>
      <c r="F574" s="31">
        <v>16.729499999999998</v>
      </c>
      <c r="G574" s="34">
        <f>IF(ISNUMBER(F574),E574*F574,"")</f>
        <v>25.094249999999992</v>
      </c>
      <c r="H574" s="35"/>
      <c r="I574" s="31"/>
      <c r="J574" s="155">
        <v>0</v>
      </c>
    </row>
    <row r="575" spans="1:10" ht="15.75" hidden="1" thickBot="1" x14ac:dyDescent="0.3">
      <c r="A575" s="200"/>
      <c r="B575" s="202"/>
      <c r="C575" s="36" t="s">
        <v>3618</v>
      </c>
      <c r="D575" s="36" t="s">
        <v>42</v>
      </c>
      <c r="E575" s="37">
        <f>0.12/0.1</f>
        <v>1.2</v>
      </c>
      <c r="F575" s="34">
        <v>2.508</v>
      </c>
      <c r="G575" s="34">
        <f>IF(ISNUMBER(F575),E575*F575,"")</f>
        <v>3.0095999999999998</v>
      </c>
      <c r="H575" s="35"/>
      <c r="I575" s="31"/>
      <c r="J575" s="155">
        <v>0</v>
      </c>
    </row>
    <row r="576" spans="1:10" ht="15.75" hidden="1" thickBot="1" x14ac:dyDescent="0.3">
      <c r="A576" s="200"/>
      <c r="B576" s="202"/>
      <c r="C576" s="36"/>
      <c r="D576" s="36"/>
      <c r="E576" s="37"/>
      <c r="F576" s="34" t="s">
        <v>558</v>
      </c>
      <c r="G576" s="34" t="str">
        <f>IF(ISNUMBER(F576),E576*F576,"")</f>
        <v/>
      </c>
      <c r="H576" s="35"/>
      <c r="I576" s="31"/>
      <c r="J576" s="155">
        <v>0</v>
      </c>
    </row>
    <row r="577" spans="1:10" ht="26.25" hidden="1" thickBot="1" x14ac:dyDescent="0.3">
      <c r="A577" s="200"/>
      <c r="B577" s="202"/>
      <c r="C577" s="48" t="s">
        <v>228</v>
      </c>
      <c r="D577" s="36"/>
      <c r="E577" s="37"/>
      <c r="F577" s="34" t="s">
        <v>558</v>
      </c>
      <c r="G577" s="34" t="str">
        <f>IF(ISNUMBER(F577),E577*F577,"")</f>
        <v/>
      </c>
      <c r="H577" s="35"/>
      <c r="I577" s="31"/>
      <c r="J577" s="155">
        <v>0</v>
      </c>
    </row>
    <row r="578" spans="1:10" ht="15.75" hidden="1" thickBot="1" x14ac:dyDescent="0.3">
      <c r="A578" s="201"/>
      <c r="B578" s="188"/>
      <c r="C578" s="36"/>
      <c r="D578" s="36"/>
      <c r="E578" s="37"/>
      <c r="F578" s="31" t="s">
        <v>558</v>
      </c>
      <c r="G578" s="31" t="str">
        <f>IF(ISNUMBER(F578),E578*F578,"")</f>
        <v/>
      </c>
      <c r="H578" s="35"/>
      <c r="I578" s="31"/>
      <c r="J578" s="155">
        <v>0</v>
      </c>
    </row>
    <row r="579" spans="1:10" ht="15.75" hidden="1" thickBot="1" x14ac:dyDescent="0.3">
      <c r="A579" s="180" t="s">
        <v>229</v>
      </c>
      <c r="B579" s="186" t="str">
        <f>INDEX(Orçamentária!A:B,MATCH(Composições!A579,Orçamentária!A:A,0),2)</f>
        <v>Granito Cinza Andorinha para soleira e peitoril</v>
      </c>
      <c r="C579" s="41"/>
      <c r="D579" s="26" t="str">
        <f>TRIM(INDEX(Orçamentária!C:C,MATCH(Composições!A579,Orçamentária!A:A,0),1))</f>
        <v>m2</v>
      </c>
      <c r="E579" s="27"/>
      <c r="F579" s="42" t="s">
        <v>558</v>
      </c>
      <c r="G579" s="28" t="str">
        <f>IF(ISNUMBER(F579),E579*F579,"")</f>
        <v/>
      </c>
      <c r="H579" s="29"/>
      <c r="I579" s="30"/>
      <c r="J579" s="155">
        <v>0</v>
      </c>
    </row>
    <row r="580" spans="1:10" ht="15.75" hidden="1" thickBot="1" x14ac:dyDescent="0.3">
      <c r="A580" s="200"/>
      <c r="B580" s="202"/>
      <c r="C580" s="32"/>
      <c r="D580" s="32"/>
      <c r="E580" s="33"/>
      <c r="F580" s="43" t="s">
        <v>558</v>
      </c>
      <c r="G580" s="31" t="str">
        <f>IF(ISNUMBER(F580),E580*F580,"")</f>
        <v/>
      </c>
      <c r="H580" s="35"/>
      <c r="I580" s="31"/>
      <c r="J580" s="155">
        <v>0</v>
      </c>
    </row>
    <row r="581" spans="1:10" ht="26.25" hidden="1" thickBot="1" x14ac:dyDescent="0.3">
      <c r="A581" s="200"/>
      <c r="B581" s="202"/>
      <c r="C581" s="36" t="s">
        <v>230</v>
      </c>
      <c r="D581" s="36" t="s">
        <v>93</v>
      </c>
      <c r="E581" s="37">
        <f>ROUND(1/0.15,4)</f>
        <v>6.6666999999999996</v>
      </c>
      <c r="F581" s="34" t="s">
        <v>558</v>
      </c>
      <c r="G581" s="34" t="str">
        <f>IF(ISNUMBER(F581),E581*F581,"")</f>
        <v/>
      </c>
      <c r="H581" s="39">
        <f>SUM(G581:G584)</f>
        <v>110.69779715</v>
      </c>
      <c r="I581" s="40"/>
      <c r="J581" s="155">
        <v>0</v>
      </c>
    </row>
    <row r="582" spans="1:10" ht="15.75" hidden="1" thickBot="1" x14ac:dyDescent="0.3">
      <c r="A582" s="200"/>
      <c r="B582" s="202"/>
      <c r="C582" s="36" t="s">
        <v>3619</v>
      </c>
      <c r="D582" s="36" t="s">
        <v>42</v>
      </c>
      <c r="E582" s="37">
        <f>1.29/0.15</f>
        <v>8.6000000000000014</v>
      </c>
      <c r="F582" s="34">
        <v>1.3109999999999999</v>
      </c>
      <c r="G582" s="34">
        <f>IF(ISNUMBER(F582),E582*F582,"")</f>
        <v>11.274600000000001</v>
      </c>
      <c r="H582" s="35"/>
      <c r="I582" s="31"/>
      <c r="J582" s="155">
        <v>0</v>
      </c>
    </row>
    <row r="583" spans="1:10" ht="15.75" hidden="1" thickBot="1" x14ac:dyDescent="0.3">
      <c r="A583" s="200"/>
      <c r="B583" s="202"/>
      <c r="C583" s="36" t="s">
        <v>54</v>
      </c>
      <c r="D583" s="36" t="s">
        <v>12</v>
      </c>
      <c r="E583" s="37">
        <f>ROUND(0.547/0.15,4)</f>
        <v>3.6467000000000001</v>
      </c>
      <c r="F583" s="31">
        <v>18.9145</v>
      </c>
      <c r="G583" s="34">
        <f>IF(ISNUMBER(F583),E583*F583,"")</f>
        <v>68.975507149999999</v>
      </c>
      <c r="H583" s="35"/>
      <c r="I583" s="31"/>
      <c r="J583" s="155">
        <v>0</v>
      </c>
    </row>
    <row r="584" spans="1:10" ht="15.75" hidden="1" thickBot="1" x14ac:dyDescent="0.3">
      <c r="A584" s="200"/>
      <c r="B584" s="202"/>
      <c r="C584" s="36" t="s">
        <v>23</v>
      </c>
      <c r="D584" s="36" t="s">
        <v>12</v>
      </c>
      <c r="E584" s="37">
        <f>ROUND(0.273/0.15,4)</f>
        <v>1.82</v>
      </c>
      <c r="F584" s="31">
        <v>16.729499999999998</v>
      </c>
      <c r="G584" s="34">
        <f>IF(ISNUMBER(F584),E584*F584,"")</f>
        <v>30.447689999999998</v>
      </c>
      <c r="H584" s="35"/>
      <c r="I584" s="31"/>
      <c r="J584" s="155">
        <v>0</v>
      </c>
    </row>
    <row r="585" spans="1:10" ht="15.75" hidden="1" thickBot="1" x14ac:dyDescent="0.3">
      <c r="A585" s="200"/>
      <c r="B585" s="202"/>
      <c r="C585" s="36"/>
      <c r="D585" s="36"/>
      <c r="E585" s="37"/>
      <c r="F585" s="31" t="s">
        <v>558</v>
      </c>
      <c r="G585" s="34" t="str">
        <f>IF(ISNUMBER(F585),E585*F585,"")</f>
        <v/>
      </c>
      <c r="H585" s="35"/>
      <c r="I585" s="31"/>
      <c r="J585" s="155">
        <v>0</v>
      </c>
    </row>
    <row r="586" spans="1:10" ht="26.25" hidden="1" thickBot="1" x14ac:dyDescent="0.3">
      <c r="A586" s="200"/>
      <c r="B586" s="202"/>
      <c r="C586" s="48" t="s">
        <v>231</v>
      </c>
      <c r="D586" s="36"/>
      <c r="E586" s="37"/>
      <c r="F586" s="31" t="s">
        <v>558</v>
      </c>
      <c r="G586" s="34" t="str">
        <f>IF(ISNUMBER(F586),E586*F586,"")</f>
        <v/>
      </c>
      <c r="H586" s="35"/>
      <c r="I586" s="31"/>
      <c r="J586" s="155">
        <v>0</v>
      </c>
    </row>
    <row r="587" spans="1:10" ht="15.75" hidden="1" thickBot="1" x14ac:dyDescent="0.3">
      <c r="A587" s="201"/>
      <c r="B587" s="188"/>
      <c r="C587" s="36"/>
      <c r="D587" s="36"/>
      <c r="E587" s="37"/>
      <c r="F587" s="31" t="s">
        <v>558</v>
      </c>
      <c r="G587" s="31" t="str">
        <f>IF(ISNUMBER(F587),E587*F587,"")</f>
        <v/>
      </c>
      <c r="H587" s="35"/>
      <c r="I587" s="31"/>
      <c r="J587" s="155">
        <v>0</v>
      </c>
    </row>
    <row r="588" spans="1:10" ht="15.75" hidden="1" thickBot="1" x14ac:dyDescent="0.3">
      <c r="A588" s="180" t="s">
        <v>232</v>
      </c>
      <c r="B588" s="186" t="str">
        <f>INDEX(Orçamentária!A:B,MATCH(Composições!A588,Orçamentária!A:A,0),2)</f>
        <v>Granito Preto São Gabriel para piso</v>
      </c>
      <c r="C588" s="41"/>
      <c r="D588" s="26" t="str">
        <f>TRIM(INDEX(Orçamentária!C:C,MATCH(Composições!A588,Orçamentária!A:A,0),1))</f>
        <v>m2</v>
      </c>
      <c r="E588" s="27"/>
      <c r="F588" s="42" t="s">
        <v>558</v>
      </c>
      <c r="G588" s="28" t="str">
        <f>IF(ISNUMBER(F588),E588*F588,"")</f>
        <v/>
      </c>
      <c r="H588" s="29"/>
      <c r="I588" s="30"/>
      <c r="J588" s="155">
        <v>0</v>
      </c>
    </row>
    <row r="589" spans="1:10" ht="15.75" hidden="1" thickBot="1" x14ac:dyDescent="0.3">
      <c r="A589" s="200"/>
      <c r="B589" s="202"/>
      <c r="C589" s="32"/>
      <c r="D589" s="32"/>
      <c r="E589" s="33"/>
      <c r="F589" s="43" t="s">
        <v>558</v>
      </c>
      <c r="G589" s="31" t="str">
        <f>IF(ISNUMBER(F589),E589*F589,"")</f>
        <v/>
      </c>
      <c r="H589" s="35"/>
      <c r="I589" s="31"/>
      <c r="J589" s="155">
        <v>0</v>
      </c>
    </row>
    <row r="590" spans="1:10" ht="15.75" hidden="1" thickBot="1" x14ac:dyDescent="0.3">
      <c r="A590" s="200"/>
      <c r="B590" s="202"/>
      <c r="C590" s="36" t="s">
        <v>3619</v>
      </c>
      <c r="D590" s="36" t="s">
        <v>42</v>
      </c>
      <c r="E590" s="37">
        <v>8.6199999999999992</v>
      </c>
      <c r="F590" s="34">
        <v>1.3109999999999999</v>
      </c>
      <c r="G590" s="34">
        <f>IF(ISNUMBER(F590),E590*F590,"")</f>
        <v>11.300819999999998</v>
      </c>
      <c r="H590" s="39">
        <f>SUM(G590:G594)</f>
        <v>44.059688999999999</v>
      </c>
      <c r="I590" s="40"/>
      <c r="J590" s="155">
        <v>0</v>
      </c>
    </row>
    <row r="591" spans="1:10" ht="15.75" hidden="1" thickBot="1" x14ac:dyDescent="0.3">
      <c r="A591" s="200"/>
      <c r="B591" s="202"/>
      <c r="C591" s="36" t="s">
        <v>54</v>
      </c>
      <c r="D591" s="36" t="s">
        <v>12</v>
      </c>
      <c r="E591" s="37">
        <v>1.1879999999999999</v>
      </c>
      <c r="F591" s="31">
        <v>18.9145</v>
      </c>
      <c r="G591" s="34">
        <f>IF(ISNUMBER(F591),E591*F591,"")</f>
        <v>22.470426</v>
      </c>
      <c r="H591" s="35"/>
      <c r="I591" s="31"/>
      <c r="J591" s="155">
        <v>0</v>
      </c>
    </row>
    <row r="592" spans="1:10" ht="15.75" hidden="1" thickBot="1" x14ac:dyDescent="0.3">
      <c r="A592" s="200"/>
      <c r="B592" s="202"/>
      <c r="C592" s="36" t="s">
        <v>23</v>
      </c>
      <c r="D592" s="36" t="s">
        <v>12</v>
      </c>
      <c r="E592" s="37">
        <v>0.59399999999999997</v>
      </c>
      <c r="F592" s="31">
        <v>16.729499999999998</v>
      </c>
      <c r="G592" s="34">
        <f>IF(ISNUMBER(F592),E592*F592,"")</f>
        <v>9.9373229999999992</v>
      </c>
      <c r="H592" s="35"/>
      <c r="I592" s="31"/>
      <c r="J592" s="155">
        <v>0</v>
      </c>
    </row>
    <row r="593" spans="1:10" ht="15.75" hidden="1" thickBot="1" x14ac:dyDescent="0.3">
      <c r="A593" s="200"/>
      <c r="B593" s="202"/>
      <c r="C593" s="36" t="s">
        <v>3618</v>
      </c>
      <c r="D593" s="36" t="s">
        <v>42</v>
      </c>
      <c r="E593" s="37">
        <v>0.14000000000000001</v>
      </c>
      <c r="F593" s="34">
        <v>2.508</v>
      </c>
      <c r="G593" s="34">
        <f>IF(ISNUMBER(F593),E593*F593,"")</f>
        <v>0.35112000000000004</v>
      </c>
      <c r="H593" s="35"/>
      <c r="I593" s="31"/>
      <c r="J593" s="155">
        <v>0</v>
      </c>
    </row>
    <row r="594" spans="1:10" ht="15.75" hidden="1" thickBot="1" x14ac:dyDescent="0.3">
      <c r="A594" s="200"/>
      <c r="B594" s="202"/>
      <c r="C594" s="36" t="s">
        <v>233</v>
      </c>
      <c r="D594" s="36" t="s">
        <v>95</v>
      </c>
      <c r="E594" s="37">
        <v>1.1599999999999999</v>
      </c>
      <c r="F594" s="34" t="s">
        <v>558</v>
      </c>
      <c r="G594" s="54" t="str">
        <f>IF(ISNUMBER(F594),E594*F594,"")</f>
        <v/>
      </c>
      <c r="H594" s="35"/>
      <c r="I594" s="31"/>
      <c r="J594" s="155">
        <v>0</v>
      </c>
    </row>
    <row r="595" spans="1:10" ht="15.75" hidden="1" thickBot="1" x14ac:dyDescent="0.3">
      <c r="A595" s="201"/>
      <c r="B595" s="188"/>
      <c r="C595" s="36"/>
      <c r="D595" s="36"/>
      <c r="E595" s="37"/>
      <c r="F595" s="31" t="s">
        <v>558</v>
      </c>
      <c r="G595" s="31" t="str">
        <f>IF(ISNUMBER(F595),E595*F595,"")</f>
        <v/>
      </c>
      <c r="H595" s="35"/>
      <c r="I595" s="31"/>
      <c r="J595" s="155">
        <v>0</v>
      </c>
    </row>
    <row r="596" spans="1:10" ht="15.75" hidden="1" thickBot="1" x14ac:dyDescent="0.3">
      <c r="A596" s="180" t="s">
        <v>234</v>
      </c>
      <c r="B596" s="186" t="str">
        <f>INDEX(Orçamentária!A:B,MATCH(Composições!A596,Orçamentária!A:A,0),2)</f>
        <v>Granito Preto São Gabriel para rodapé</v>
      </c>
      <c r="C596" s="41"/>
      <c r="D596" s="26" t="str">
        <f>TRIM(INDEX(Orçamentária!C:C,MATCH(Composições!A596,Orçamentária!A:A,0),1))</f>
        <v>m2</v>
      </c>
      <c r="E596" s="27"/>
      <c r="F596" s="42" t="s">
        <v>558</v>
      </c>
      <c r="G596" s="28" t="str">
        <f>IF(ISNUMBER(F596),E596*F596,"")</f>
        <v/>
      </c>
      <c r="H596" s="29"/>
      <c r="I596" s="30"/>
      <c r="J596" s="155">
        <v>0</v>
      </c>
    </row>
    <row r="597" spans="1:10" ht="15.75" hidden="1" thickBot="1" x14ac:dyDescent="0.3">
      <c r="A597" s="200"/>
      <c r="B597" s="202"/>
      <c r="C597" s="32"/>
      <c r="D597" s="32"/>
      <c r="E597" s="33"/>
      <c r="F597" s="43" t="s">
        <v>558</v>
      </c>
      <c r="G597" s="31" t="str">
        <f>IF(ISNUMBER(F597),E597*F597,"")</f>
        <v/>
      </c>
      <c r="H597" s="35"/>
      <c r="I597" s="31"/>
      <c r="J597" s="155">
        <v>0</v>
      </c>
    </row>
    <row r="598" spans="1:10" ht="26.25" hidden="1" thickBot="1" x14ac:dyDescent="0.3">
      <c r="A598" s="200"/>
      <c r="B598" s="202"/>
      <c r="C598" s="36" t="s">
        <v>235</v>
      </c>
      <c r="D598" s="36" t="s">
        <v>93</v>
      </c>
      <c r="E598" s="37">
        <f>ROUND(1.04/0.07,2)</f>
        <v>14.86</v>
      </c>
      <c r="F598" s="34" t="s">
        <v>558</v>
      </c>
      <c r="G598" s="34" t="str">
        <f>IF(ISNUMBER(F598),E598*F598,"")</f>
        <v/>
      </c>
      <c r="H598" s="39">
        <f>SUM(G598:G602)</f>
        <v>95.95115899999999</v>
      </c>
      <c r="I598" s="40"/>
      <c r="J598" s="155">
        <v>0</v>
      </c>
    </row>
    <row r="599" spans="1:10" ht="15.75" hidden="1" thickBot="1" x14ac:dyDescent="0.3">
      <c r="A599" s="200"/>
      <c r="B599" s="202"/>
      <c r="C599" s="36" t="s">
        <v>3619</v>
      </c>
      <c r="D599" s="36" t="s">
        <v>42</v>
      </c>
      <c r="E599" s="37">
        <f>ROUND(0.8614/0.1,4)</f>
        <v>8.6140000000000008</v>
      </c>
      <c r="F599" s="34">
        <v>1.3109999999999999</v>
      </c>
      <c r="G599" s="34">
        <f>IF(ISNUMBER(F599),E599*F599,"")</f>
        <v>11.292954</v>
      </c>
      <c r="H599" s="35"/>
      <c r="I599" s="31"/>
      <c r="J599" s="155">
        <v>0</v>
      </c>
    </row>
    <row r="600" spans="1:10" ht="15.75" hidden="1" thickBot="1" x14ac:dyDescent="0.3">
      <c r="A600" s="200"/>
      <c r="B600" s="202"/>
      <c r="C600" s="36" t="s">
        <v>54</v>
      </c>
      <c r="D600" s="36" t="s">
        <v>12</v>
      </c>
      <c r="E600" s="37">
        <f>0.299/0.1</f>
        <v>2.9899999999999998</v>
      </c>
      <c r="F600" s="31">
        <v>18.9145</v>
      </c>
      <c r="G600" s="34">
        <f>IF(ISNUMBER(F600),E600*F600,"")</f>
        <v>56.554354999999994</v>
      </c>
      <c r="H600" s="35"/>
      <c r="I600" s="31"/>
      <c r="J600" s="155">
        <v>0</v>
      </c>
    </row>
    <row r="601" spans="1:10" ht="15.75" hidden="1" thickBot="1" x14ac:dyDescent="0.3">
      <c r="A601" s="200"/>
      <c r="B601" s="202"/>
      <c r="C601" s="36" t="s">
        <v>23</v>
      </c>
      <c r="D601" s="36" t="s">
        <v>12</v>
      </c>
      <c r="E601" s="37">
        <f>0.15/0.1</f>
        <v>1.4999999999999998</v>
      </c>
      <c r="F601" s="31">
        <v>16.729499999999998</v>
      </c>
      <c r="G601" s="34">
        <f>IF(ISNUMBER(F601),E601*F601,"")</f>
        <v>25.094249999999992</v>
      </c>
      <c r="H601" s="35"/>
      <c r="I601" s="31"/>
      <c r="J601" s="155">
        <v>0</v>
      </c>
    </row>
    <row r="602" spans="1:10" ht="15.75" hidden="1" thickBot="1" x14ac:dyDescent="0.3">
      <c r="A602" s="200"/>
      <c r="B602" s="202"/>
      <c r="C602" s="36" t="s">
        <v>3618</v>
      </c>
      <c r="D602" s="36" t="s">
        <v>42</v>
      </c>
      <c r="E602" s="37">
        <f>0.12/0.1</f>
        <v>1.2</v>
      </c>
      <c r="F602" s="34">
        <v>2.508</v>
      </c>
      <c r="G602" s="34">
        <f>IF(ISNUMBER(F602),E602*F602,"")</f>
        <v>3.0095999999999998</v>
      </c>
      <c r="H602" s="35"/>
      <c r="I602" s="31"/>
      <c r="J602" s="155">
        <v>0</v>
      </c>
    </row>
    <row r="603" spans="1:10" ht="15.75" hidden="1" thickBot="1" x14ac:dyDescent="0.3">
      <c r="A603" s="200"/>
      <c r="B603" s="202"/>
      <c r="C603" s="36"/>
      <c r="D603" s="36"/>
      <c r="E603" s="37"/>
      <c r="F603" s="34" t="s">
        <v>558</v>
      </c>
      <c r="G603" s="34" t="str">
        <f>IF(ISNUMBER(F603),E603*F603,"")</f>
        <v/>
      </c>
      <c r="H603" s="35"/>
      <c r="I603" s="31"/>
      <c r="J603" s="155">
        <v>0</v>
      </c>
    </row>
    <row r="604" spans="1:10" ht="26.25" hidden="1" thickBot="1" x14ac:dyDescent="0.3">
      <c r="A604" s="200"/>
      <c r="B604" s="202"/>
      <c r="C604" s="48" t="s">
        <v>228</v>
      </c>
      <c r="D604" s="36"/>
      <c r="E604" s="37"/>
      <c r="F604" s="34" t="s">
        <v>558</v>
      </c>
      <c r="G604" s="34" t="str">
        <f>IF(ISNUMBER(F604),E604*F604,"")</f>
        <v/>
      </c>
      <c r="H604" s="35"/>
      <c r="I604" s="31"/>
      <c r="J604" s="155">
        <v>0</v>
      </c>
    </row>
    <row r="605" spans="1:10" ht="15.75" hidden="1" thickBot="1" x14ac:dyDescent="0.3">
      <c r="A605" s="201"/>
      <c r="B605" s="188"/>
      <c r="C605" s="36"/>
      <c r="D605" s="36"/>
      <c r="E605" s="37"/>
      <c r="F605" s="31" t="s">
        <v>558</v>
      </c>
      <c r="G605" s="31" t="str">
        <f>IF(ISNUMBER(F605),E605*F605,"")</f>
        <v/>
      </c>
      <c r="H605" s="35"/>
      <c r="I605" s="31"/>
      <c r="J605" s="155">
        <v>0</v>
      </c>
    </row>
    <row r="606" spans="1:10" ht="15.75" hidden="1" thickBot="1" x14ac:dyDescent="0.3">
      <c r="A606" s="180" t="s">
        <v>236</v>
      </c>
      <c r="B606" s="186" t="str">
        <f>INDEX(Orçamentária!A:B,MATCH(Composições!A606,Orçamentária!A:A,0),2)</f>
        <v>Granito Preto São Gabriel para soleira e peitoril</v>
      </c>
      <c r="C606" s="41"/>
      <c r="D606" s="26" t="str">
        <f>TRIM(INDEX(Orçamentária!C:C,MATCH(Composições!A606,Orçamentária!A:A,0),1))</f>
        <v>m2</v>
      </c>
      <c r="E606" s="27"/>
      <c r="F606" s="42" t="s">
        <v>558</v>
      </c>
      <c r="G606" s="28" t="str">
        <f>IF(ISNUMBER(F606),E606*F606,"")</f>
        <v/>
      </c>
      <c r="H606" s="29"/>
      <c r="I606" s="30"/>
      <c r="J606" s="155">
        <v>0</v>
      </c>
    </row>
    <row r="607" spans="1:10" ht="15.75" hidden="1" thickBot="1" x14ac:dyDescent="0.3">
      <c r="A607" s="200"/>
      <c r="B607" s="202"/>
      <c r="C607" s="32"/>
      <c r="D607" s="32"/>
      <c r="E607" s="33"/>
      <c r="F607" s="43" t="s">
        <v>558</v>
      </c>
      <c r="G607" s="31" t="str">
        <f>IF(ISNUMBER(F607),E607*F607,"")</f>
        <v/>
      </c>
      <c r="H607" s="35"/>
      <c r="I607" s="31"/>
      <c r="J607" s="155">
        <v>0</v>
      </c>
    </row>
    <row r="608" spans="1:10" ht="26.25" hidden="1" thickBot="1" x14ac:dyDescent="0.3">
      <c r="A608" s="200"/>
      <c r="B608" s="202"/>
      <c r="C608" s="36" t="s">
        <v>237</v>
      </c>
      <c r="D608" s="36" t="s">
        <v>93</v>
      </c>
      <c r="E608" s="37">
        <f>ROUND(1/0.15,4)</f>
        <v>6.6666999999999996</v>
      </c>
      <c r="F608" s="34" t="s">
        <v>558</v>
      </c>
      <c r="G608" s="34" t="str">
        <f>IF(ISNUMBER(F608),E608*F608,"")</f>
        <v/>
      </c>
      <c r="H608" s="39">
        <f>SUM(G608:G611)</f>
        <v>110.69779714999999</v>
      </c>
      <c r="I608" s="40"/>
      <c r="J608" s="155">
        <v>0</v>
      </c>
    </row>
    <row r="609" spans="1:10" ht="15.75" hidden="1" thickBot="1" x14ac:dyDescent="0.3">
      <c r="A609" s="200"/>
      <c r="B609" s="202"/>
      <c r="C609" s="36" t="s">
        <v>3619</v>
      </c>
      <c r="D609" s="36" t="s">
        <v>42</v>
      </c>
      <c r="E609" s="37">
        <f>ROUND(1.29/0.15,4)</f>
        <v>8.6</v>
      </c>
      <c r="F609" s="34">
        <v>1.3109999999999999</v>
      </c>
      <c r="G609" s="34">
        <f>IF(ISNUMBER(F609),E609*F609,"")</f>
        <v>11.2746</v>
      </c>
      <c r="H609" s="35"/>
      <c r="I609" s="31"/>
      <c r="J609" s="155">
        <v>0</v>
      </c>
    </row>
    <row r="610" spans="1:10" ht="15.75" hidden="1" thickBot="1" x14ac:dyDescent="0.3">
      <c r="A610" s="200"/>
      <c r="B610" s="202"/>
      <c r="C610" s="36" t="s">
        <v>54</v>
      </c>
      <c r="D610" s="36" t="s">
        <v>12</v>
      </c>
      <c r="E610" s="37">
        <f>ROUND(0.547/0.15,4)</f>
        <v>3.6467000000000001</v>
      </c>
      <c r="F610" s="31">
        <v>18.9145</v>
      </c>
      <c r="G610" s="34">
        <f>IF(ISNUMBER(F610),E610*F610,"")</f>
        <v>68.975507149999999</v>
      </c>
      <c r="H610" s="35"/>
      <c r="I610" s="31"/>
      <c r="J610" s="155">
        <v>0</v>
      </c>
    </row>
    <row r="611" spans="1:10" ht="15.75" hidden="1" thickBot="1" x14ac:dyDescent="0.3">
      <c r="A611" s="200"/>
      <c r="B611" s="202"/>
      <c r="C611" s="36" t="s">
        <v>23</v>
      </c>
      <c r="D611" s="36" t="s">
        <v>12</v>
      </c>
      <c r="E611" s="37">
        <f>ROUND(0.273/0.15,4)</f>
        <v>1.82</v>
      </c>
      <c r="F611" s="31">
        <v>16.729499999999998</v>
      </c>
      <c r="G611" s="34">
        <f>IF(ISNUMBER(F611),E611*F611,"")</f>
        <v>30.447689999999998</v>
      </c>
      <c r="H611" s="35"/>
      <c r="I611" s="31"/>
      <c r="J611" s="155">
        <v>0</v>
      </c>
    </row>
    <row r="612" spans="1:10" ht="15.75" hidden="1" thickBot="1" x14ac:dyDescent="0.3">
      <c r="A612" s="200"/>
      <c r="B612" s="202"/>
      <c r="C612" s="36"/>
      <c r="D612" s="36"/>
      <c r="E612" s="37"/>
      <c r="F612" s="31" t="s">
        <v>558</v>
      </c>
      <c r="G612" s="34" t="str">
        <f>IF(ISNUMBER(F612),E612*F612,"")</f>
        <v/>
      </c>
      <c r="H612" s="35"/>
      <c r="I612" s="31"/>
      <c r="J612" s="155">
        <v>0</v>
      </c>
    </row>
    <row r="613" spans="1:10" ht="26.25" hidden="1" thickBot="1" x14ac:dyDescent="0.3">
      <c r="A613" s="200"/>
      <c r="B613" s="202"/>
      <c r="C613" s="48" t="s">
        <v>231</v>
      </c>
      <c r="D613" s="36"/>
      <c r="E613" s="37"/>
      <c r="F613" s="31" t="s">
        <v>558</v>
      </c>
      <c r="G613" s="34" t="str">
        <f>IF(ISNUMBER(F613),E613*F613,"")</f>
        <v/>
      </c>
      <c r="H613" s="35"/>
      <c r="I613" s="31"/>
      <c r="J613" s="155">
        <v>0</v>
      </c>
    </row>
    <row r="614" spans="1:10" ht="15.75" hidden="1" thickBot="1" x14ac:dyDescent="0.3">
      <c r="A614" s="201"/>
      <c r="B614" s="188"/>
      <c r="C614" s="36"/>
      <c r="D614" s="36"/>
      <c r="E614" s="37"/>
      <c r="F614" s="31" t="s">
        <v>558</v>
      </c>
      <c r="G614" s="31" t="str">
        <f>IF(ISNUMBER(F614),E614*F614,"")</f>
        <v/>
      </c>
      <c r="H614" s="35"/>
      <c r="I614" s="31"/>
      <c r="J614" s="155">
        <v>0</v>
      </c>
    </row>
    <row r="615" spans="1:10" ht="15.75" hidden="1" thickBot="1" x14ac:dyDescent="0.3">
      <c r="A615" s="180" t="s">
        <v>238</v>
      </c>
      <c r="B615" s="186" t="str">
        <f>INDEX(Orçamentária!A:B,MATCH(Composições!A615,Orçamentária!A:A,0),2)</f>
        <v>Instalação de rodapé de madeira reaproveitado</v>
      </c>
      <c r="C615" s="41"/>
      <c r="D615" s="26" t="str">
        <f>TRIM(INDEX(Orçamentária!C:C,MATCH(Composições!A615,Orçamentária!A:A,0),1))</f>
        <v>m</v>
      </c>
      <c r="E615" s="27"/>
      <c r="F615" s="42" t="s">
        <v>558</v>
      </c>
      <c r="G615" s="28" t="str">
        <f>IF(ISNUMBER(F615),E615*F615,"")</f>
        <v/>
      </c>
      <c r="H615" s="29"/>
      <c r="I615" s="30"/>
      <c r="J615" s="155">
        <v>0</v>
      </c>
    </row>
    <row r="616" spans="1:10" ht="15.75" hidden="1" thickBot="1" x14ac:dyDescent="0.3">
      <c r="A616" s="200"/>
      <c r="B616" s="202"/>
      <c r="C616" s="32"/>
      <c r="D616" s="32"/>
      <c r="E616" s="33"/>
      <c r="F616" s="43" t="s">
        <v>558</v>
      </c>
      <c r="G616" s="31" t="str">
        <f>IF(ISNUMBER(F616),E616*F616,"")</f>
        <v/>
      </c>
      <c r="H616" s="35"/>
      <c r="I616" s="31"/>
      <c r="J616" s="155">
        <v>0</v>
      </c>
    </row>
    <row r="617" spans="1:10" ht="15.75" hidden="1" thickBot="1" x14ac:dyDescent="0.3">
      <c r="A617" s="200"/>
      <c r="B617" s="202"/>
      <c r="C617" s="36" t="s">
        <v>1293</v>
      </c>
      <c r="D617" s="47" t="s">
        <v>103</v>
      </c>
      <c r="E617" s="37">
        <v>4.0300000000000002E-2</v>
      </c>
      <c r="F617" s="31">
        <v>17.499000000000002</v>
      </c>
      <c r="G617" s="34">
        <f>IF(ISNUMBER(F617),E617*F617,"")</f>
        <v>0.70520970000000016</v>
      </c>
      <c r="H617" s="39">
        <f>SUM(G617:G619)</f>
        <v>12.796652</v>
      </c>
      <c r="I617" s="40"/>
      <c r="J617" s="155">
        <v>0</v>
      </c>
    </row>
    <row r="618" spans="1:10" ht="15.75" hidden="1" thickBot="1" x14ac:dyDescent="0.3">
      <c r="A618" s="200"/>
      <c r="B618" s="202"/>
      <c r="C618" s="36" t="s">
        <v>743</v>
      </c>
      <c r="D618" s="47" t="s">
        <v>742</v>
      </c>
      <c r="E618" s="37">
        <v>0.15140000000000001</v>
      </c>
      <c r="F618" s="34">
        <v>16.729499999999998</v>
      </c>
      <c r="G618" s="34">
        <f>IF(ISNUMBER(F618),E618*F618,"")</f>
        <v>2.5328462999999997</v>
      </c>
      <c r="H618" s="35"/>
      <c r="I618" s="31"/>
      <c r="J618" s="155">
        <v>0</v>
      </c>
    </row>
    <row r="619" spans="1:10" ht="15.75" hidden="1" thickBot="1" x14ac:dyDescent="0.3">
      <c r="A619" s="200"/>
      <c r="B619" s="202"/>
      <c r="C619" s="36" t="s">
        <v>1271</v>
      </c>
      <c r="D619" s="47" t="s">
        <v>742</v>
      </c>
      <c r="E619" s="37">
        <v>0.36349999999999999</v>
      </c>
      <c r="F619" s="34">
        <v>26.295999999999999</v>
      </c>
      <c r="G619" s="34">
        <f>IF(ISNUMBER(F619),E619*F619,"")</f>
        <v>9.5585959999999996</v>
      </c>
      <c r="H619" s="35"/>
      <c r="I619" s="31"/>
      <c r="J619" s="155">
        <v>0</v>
      </c>
    </row>
    <row r="620" spans="1:10" ht="15.75" hidden="1" thickBot="1" x14ac:dyDescent="0.3">
      <c r="A620" s="200"/>
      <c r="B620" s="202"/>
      <c r="C620" s="36"/>
      <c r="D620" s="36"/>
      <c r="E620" s="37"/>
      <c r="F620" s="31" t="s">
        <v>558</v>
      </c>
      <c r="G620" s="31" t="str">
        <f>IF(ISNUMBER(F620),E620*F620,"")</f>
        <v/>
      </c>
      <c r="H620" s="35"/>
      <c r="I620" s="31"/>
      <c r="J620" s="155">
        <v>0</v>
      </c>
    </row>
    <row r="621" spans="1:10" ht="15.75" hidden="1" thickBot="1" x14ac:dyDescent="0.3">
      <c r="A621" s="180" t="s">
        <v>239</v>
      </c>
      <c r="B621" s="186" t="str">
        <f>INDEX(Orçamentária!A:B,MATCH(Composições!A621,Orçamentária!A:A,0),2)</f>
        <v>Mármore Bege Bahia para piso e parede</v>
      </c>
      <c r="C621" s="41"/>
      <c r="D621" s="26" t="str">
        <f>TRIM(INDEX(Orçamentária!C:C,MATCH(Composições!A621,Orçamentária!A:A,0),1))</f>
        <v>m2</v>
      </c>
      <c r="E621" s="27"/>
      <c r="F621" s="42" t="s">
        <v>558</v>
      </c>
      <c r="G621" s="28" t="str">
        <f>IF(ISNUMBER(F621),E621*F621,"")</f>
        <v/>
      </c>
      <c r="H621" s="29"/>
      <c r="I621" s="30"/>
      <c r="J621" s="155">
        <v>0</v>
      </c>
    </row>
    <row r="622" spans="1:10" ht="15.75" hidden="1" thickBot="1" x14ac:dyDescent="0.3">
      <c r="A622" s="200"/>
      <c r="B622" s="202"/>
      <c r="C622" s="32"/>
      <c r="D622" s="32"/>
      <c r="E622" s="33"/>
      <c r="F622" s="43" t="s">
        <v>558</v>
      </c>
      <c r="G622" s="31" t="str">
        <f>IF(ISNUMBER(F622),E622*F622,"")</f>
        <v/>
      </c>
      <c r="H622" s="35"/>
      <c r="I622" s="31"/>
      <c r="J622" s="155">
        <v>0</v>
      </c>
    </row>
    <row r="623" spans="1:10" ht="15.75" hidden="1" thickBot="1" x14ac:dyDescent="0.3">
      <c r="A623" s="200"/>
      <c r="B623" s="202"/>
      <c r="C623" s="36" t="s">
        <v>3619</v>
      </c>
      <c r="D623" s="36" t="s">
        <v>42</v>
      </c>
      <c r="E623" s="37">
        <v>8.6199999999999992</v>
      </c>
      <c r="F623" s="34">
        <v>1.3109999999999999</v>
      </c>
      <c r="G623" s="34">
        <f>IF(ISNUMBER(F623),E623*F623,"")</f>
        <v>11.300819999999998</v>
      </c>
      <c r="H623" s="39">
        <f>SUM(G623:G627)</f>
        <v>44.059688999999999</v>
      </c>
      <c r="I623" s="40"/>
      <c r="J623" s="155">
        <v>0</v>
      </c>
    </row>
    <row r="624" spans="1:10" ht="15.75" hidden="1" thickBot="1" x14ac:dyDescent="0.3">
      <c r="A624" s="200"/>
      <c r="B624" s="202"/>
      <c r="C624" s="36" t="s">
        <v>54</v>
      </c>
      <c r="D624" s="36" t="s">
        <v>12</v>
      </c>
      <c r="E624" s="37">
        <v>1.1879999999999999</v>
      </c>
      <c r="F624" s="31">
        <v>18.9145</v>
      </c>
      <c r="G624" s="34">
        <f>IF(ISNUMBER(F624),E624*F624,"")</f>
        <v>22.470426</v>
      </c>
      <c r="H624" s="35"/>
      <c r="I624" s="31"/>
      <c r="J624" s="155">
        <v>0</v>
      </c>
    </row>
    <row r="625" spans="1:10" ht="15.75" hidden="1" thickBot="1" x14ac:dyDescent="0.3">
      <c r="A625" s="200"/>
      <c r="B625" s="202"/>
      <c r="C625" s="36" t="s">
        <v>23</v>
      </c>
      <c r="D625" s="36" t="s">
        <v>12</v>
      </c>
      <c r="E625" s="37">
        <v>0.59399999999999997</v>
      </c>
      <c r="F625" s="31">
        <v>16.729499999999998</v>
      </c>
      <c r="G625" s="34">
        <f>IF(ISNUMBER(F625),E625*F625,"")</f>
        <v>9.9373229999999992</v>
      </c>
      <c r="H625" s="35"/>
      <c r="I625" s="31"/>
      <c r="J625" s="155">
        <v>0</v>
      </c>
    </row>
    <row r="626" spans="1:10" ht="15.75" hidden="1" thickBot="1" x14ac:dyDescent="0.3">
      <c r="A626" s="200"/>
      <c r="B626" s="202"/>
      <c r="C626" s="36" t="s">
        <v>3618</v>
      </c>
      <c r="D626" s="36" t="s">
        <v>42</v>
      </c>
      <c r="E626" s="37">
        <v>0.14000000000000001</v>
      </c>
      <c r="F626" s="34">
        <v>2.508</v>
      </c>
      <c r="G626" s="34">
        <f>IF(ISNUMBER(F626),E626*F626,"")</f>
        <v>0.35112000000000004</v>
      </c>
      <c r="H626" s="35"/>
      <c r="I626" s="31"/>
      <c r="J626" s="155">
        <v>0</v>
      </c>
    </row>
    <row r="627" spans="1:10" ht="15.75" hidden="1" thickBot="1" x14ac:dyDescent="0.3">
      <c r="A627" s="200"/>
      <c r="B627" s="202"/>
      <c r="C627" s="36" t="s">
        <v>240</v>
      </c>
      <c r="D627" s="36" t="s">
        <v>95</v>
      </c>
      <c r="E627" s="37">
        <v>1.1599999999999999</v>
      </c>
      <c r="F627" s="34" t="s">
        <v>558</v>
      </c>
      <c r="G627" s="54" t="str">
        <f>IF(ISNUMBER(F627),E627*F627,"")</f>
        <v/>
      </c>
      <c r="H627" s="35"/>
      <c r="I627" s="31"/>
      <c r="J627" s="155">
        <v>0</v>
      </c>
    </row>
    <row r="628" spans="1:10" ht="15.75" hidden="1" thickBot="1" x14ac:dyDescent="0.3">
      <c r="A628" s="201"/>
      <c r="B628" s="188"/>
      <c r="C628" s="36"/>
      <c r="D628" s="36"/>
      <c r="E628" s="37"/>
      <c r="F628" s="31" t="s">
        <v>558</v>
      </c>
      <c r="G628" s="31" t="str">
        <f>IF(ISNUMBER(F628),E628*F628,"")</f>
        <v/>
      </c>
      <c r="H628" s="35"/>
      <c r="I628" s="31"/>
      <c r="J628" s="155">
        <v>0</v>
      </c>
    </row>
    <row r="629" spans="1:10" ht="15.75" hidden="1" thickBot="1" x14ac:dyDescent="0.3">
      <c r="A629" s="180" t="s">
        <v>241</v>
      </c>
      <c r="B629" s="186" t="str">
        <f>INDEX(Orçamentária!A:B,MATCH(Composições!A629,Orçamentária!A:A,0),2)</f>
        <v>Mármore Branco Especial para piso e parede</v>
      </c>
      <c r="C629" s="41"/>
      <c r="D629" s="26" t="str">
        <f>TRIM(INDEX(Orçamentária!C:C,MATCH(Composições!A629,Orçamentária!A:A,0),1))</f>
        <v>m2</v>
      </c>
      <c r="E629" s="27"/>
      <c r="F629" s="42" t="s">
        <v>558</v>
      </c>
      <c r="G629" s="28" t="str">
        <f>IF(ISNUMBER(F629),E629*F629,"")</f>
        <v/>
      </c>
      <c r="H629" s="29"/>
      <c r="I629" s="30"/>
      <c r="J629" s="155">
        <v>0</v>
      </c>
    </row>
    <row r="630" spans="1:10" ht="15.75" hidden="1" thickBot="1" x14ac:dyDescent="0.3">
      <c r="A630" s="200"/>
      <c r="B630" s="202"/>
      <c r="C630" s="32"/>
      <c r="D630" s="32"/>
      <c r="E630" s="33"/>
      <c r="F630" s="43" t="s">
        <v>558</v>
      </c>
      <c r="G630" s="31" t="str">
        <f>IF(ISNUMBER(F630),E630*F630,"")</f>
        <v/>
      </c>
      <c r="H630" s="35"/>
      <c r="I630" s="31"/>
      <c r="J630" s="155">
        <v>0</v>
      </c>
    </row>
    <row r="631" spans="1:10" ht="15.75" hidden="1" thickBot="1" x14ac:dyDescent="0.3">
      <c r="A631" s="200"/>
      <c r="B631" s="202"/>
      <c r="C631" s="36" t="s">
        <v>3619</v>
      </c>
      <c r="D631" s="36" t="s">
        <v>42</v>
      </c>
      <c r="E631" s="37">
        <v>8.6199999999999992</v>
      </c>
      <c r="F631" s="34">
        <v>1.3109999999999999</v>
      </c>
      <c r="G631" s="34">
        <f>IF(ISNUMBER(F631),E631*F631,"")</f>
        <v>11.300819999999998</v>
      </c>
      <c r="H631" s="39">
        <f>SUM(G631:G635)</f>
        <v>44.059688999999999</v>
      </c>
      <c r="I631" s="40"/>
      <c r="J631" s="155">
        <v>0</v>
      </c>
    </row>
    <row r="632" spans="1:10" ht="15.75" hidden="1" thickBot="1" x14ac:dyDescent="0.3">
      <c r="A632" s="200"/>
      <c r="B632" s="202"/>
      <c r="C632" s="36" t="s">
        <v>54</v>
      </c>
      <c r="D632" s="36" t="s">
        <v>12</v>
      </c>
      <c r="E632" s="37">
        <v>1.1879999999999999</v>
      </c>
      <c r="F632" s="31">
        <v>18.9145</v>
      </c>
      <c r="G632" s="34">
        <f>IF(ISNUMBER(F632),E632*F632,"")</f>
        <v>22.470426</v>
      </c>
      <c r="H632" s="35"/>
      <c r="I632" s="31"/>
      <c r="J632" s="155">
        <v>0</v>
      </c>
    </row>
    <row r="633" spans="1:10" ht="15.75" hidden="1" thickBot="1" x14ac:dyDescent="0.3">
      <c r="A633" s="200"/>
      <c r="B633" s="202"/>
      <c r="C633" s="36" t="s">
        <v>23</v>
      </c>
      <c r="D633" s="36" t="s">
        <v>12</v>
      </c>
      <c r="E633" s="37">
        <v>0.59399999999999997</v>
      </c>
      <c r="F633" s="31">
        <v>16.729499999999998</v>
      </c>
      <c r="G633" s="34">
        <f>IF(ISNUMBER(F633),E633*F633,"")</f>
        <v>9.9373229999999992</v>
      </c>
      <c r="H633" s="35"/>
      <c r="I633" s="31"/>
      <c r="J633" s="155">
        <v>0</v>
      </c>
    </row>
    <row r="634" spans="1:10" ht="15.75" hidden="1" thickBot="1" x14ac:dyDescent="0.3">
      <c r="A634" s="200"/>
      <c r="B634" s="202"/>
      <c r="C634" s="36" t="s">
        <v>3618</v>
      </c>
      <c r="D634" s="36" t="s">
        <v>42</v>
      </c>
      <c r="E634" s="37">
        <v>0.14000000000000001</v>
      </c>
      <c r="F634" s="34">
        <v>2.508</v>
      </c>
      <c r="G634" s="34">
        <f>IF(ISNUMBER(F634),E634*F634,"")</f>
        <v>0.35112000000000004</v>
      </c>
      <c r="H634" s="35"/>
      <c r="I634" s="31"/>
      <c r="J634" s="155">
        <v>0</v>
      </c>
    </row>
    <row r="635" spans="1:10" ht="15.75" hidden="1" thickBot="1" x14ac:dyDescent="0.3">
      <c r="A635" s="200"/>
      <c r="B635" s="202"/>
      <c r="C635" s="36" t="s">
        <v>242</v>
      </c>
      <c r="D635" s="36" t="s">
        <v>95</v>
      </c>
      <c r="E635" s="37">
        <v>1.1599999999999999</v>
      </c>
      <c r="F635" s="34" t="s">
        <v>558</v>
      </c>
      <c r="G635" s="54" t="str">
        <f>IF(ISNUMBER(F635),E635*F635,"")</f>
        <v/>
      </c>
      <c r="H635" s="35"/>
      <c r="I635" s="31"/>
      <c r="J635" s="155">
        <v>0</v>
      </c>
    </row>
    <row r="636" spans="1:10" ht="15.75" hidden="1" thickBot="1" x14ac:dyDescent="0.3">
      <c r="A636" s="201"/>
      <c r="B636" s="188"/>
      <c r="C636" s="36"/>
      <c r="D636" s="36"/>
      <c r="E636" s="37"/>
      <c r="F636" s="31" t="s">
        <v>558</v>
      </c>
      <c r="G636" s="31" t="str">
        <f>IF(ISNUMBER(F636),E636*F636,"")</f>
        <v/>
      </c>
      <c r="H636" s="35"/>
      <c r="I636" s="31"/>
      <c r="J636" s="155">
        <v>0</v>
      </c>
    </row>
    <row r="637" spans="1:10" ht="15.75" hidden="1" thickBot="1" x14ac:dyDescent="0.3">
      <c r="A637" s="180" t="s">
        <v>243</v>
      </c>
      <c r="B637" s="186" t="str">
        <f>INDEX(Orçamentária!A:B,MATCH(Composições!A637,Orçamentária!A:A,0),2)</f>
        <v>Rodapé de madeira</v>
      </c>
      <c r="C637" s="41"/>
      <c r="D637" s="26" t="str">
        <f>TRIM(INDEX(Orçamentária!C:C,MATCH(Composições!A637,Orçamentária!A:A,0),1))</f>
        <v>m</v>
      </c>
      <c r="E637" s="27"/>
      <c r="F637" s="42" t="s">
        <v>558</v>
      </c>
      <c r="G637" s="28" t="str">
        <f>IF(ISNUMBER(F637),E637*F637,"")</f>
        <v/>
      </c>
      <c r="H637" s="29"/>
      <c r="I637" s="30"/>
      <c r="J637" s="155">
        <v>0</v>
      </c>
    </row>
    <row r="638" spans="1:10" ht="15.75" hidden="1" thickBot="1" x14ac:dyDescent="0.3">
      <c r="A638" s="200"/>
      <c r="B638" s="202"/>
      <c r="C638" s="32"/>
      <c r="D638" s="32"/>
      <c r="E638" s="33"/>
      <c r="F638" s="43" t="s">
        <v>558</v>
      </c>
      <c r="G638" s="31" t="str">
        <f>IF(ISNUMBER(F638),E638*F638,"")</f>
        <v/>
      </c>
      <c r="H638" s="35"/>
      <c r="I638" s="31"/>
      <c r="J638" s="155">
        <v>0</v>
      </c>
    </row>
    <row r="639" spans="1:10" ht="26.25" hidden="1" thickBot="1" x14ac:dyDescent="0.3">
      <c r="A639" s="200"/>
      <c r="B639" s="202"/>
      <c r="C639" s="36" t="s">
        <v>3446</v>
      </c>
      <c r="D639" s="47" t="s">
        <v>513</v>
      </c>
      <c r="E639" s="37">
        <v>1.0349999999999999</v>
      </c>
      <c r="F639" s="31">
        <v>13.186</v>
      </c>
      <c r="G639" s="34">
        <f>IF(ISNUMBER(F639),E639*F639,"")</f>
        <v>13.647509999999999</v>
      </c>
      <c r="H639" s="39">
        <f>SUM(G639:G642)</f>
        <v>26.444161999999999</v>
      </c>
      <c r="I639" s="40"/>
      <c r="J639" s="155">
        <v>0</v>
      </c>
    </row>
    <row r="640" spans="1:10" ht="15.75" hidden="1" thickBot="1" x14ac:dyDescent="0.3">
      <c r="A640" s="200"/>
      <c r="B640" s="202"/>
      <c r="C640" s="36" t="s">
        <v>1293</v>
      </c>
      <c r="D640" s="47" t="s">
        <v>103</v>
      </c>
      <c r="E640" s="37">
        <v>4.0300000000000002E-2</v>
      </c>
      <c r="F640" s="31">
        <v>17.499000000000002</v>
      </c>
      <c r="G640" s="34">
        <f>IF(ISNUMBER(F640),E640*F640,"")</f>
        <v>0.70520970000000016</v>
      </c>
      <c r="H640" s="35"/>
      <c r="I640" s="31"/>
      <c r="J640" s="155">
        <v>0</v>
      </c>
    </row>
    <row r="641" spans="1:10" ht="15.75" hidden="1" thickBot="1" x14ac:dyDescent="0.3">
      <c r="A641" s="200"/>
      <c r="B641" s="202"/>
      <c r="C641" s="36" t="s">
        <v>743</v>
      </c>
      <c r="D641" s="47" t="s">
        <v>742</v>
      </c>
      <c r="E641" s="37">
        <v>0.15140000000000001</v>
      </c>
      <c r="F641" s="34">
        <v>16.729499999999998</v>
      </c>
      <c r="G641" s="34">
        <f>IF(ISNUMBER(F641),E641*F641,"")</f>
        <v>2.5328462999999997</v>
      </c>
      <c r="H641" s="35"/>
      <c r="I641" s="31"/>
      <c r="J641" s="155">
        <v>0</v>
      </c>
    </row>
    <row r="642" spans="1:10" ht="15.75" hidden="1" thickBot="1" x14ac:dyDescent="0.3">
      <c r="A642" s="200"/>
      <c r="B642" s="202"/>
      <c r="C642" s="36" t="s">
        <v>1271</v>
      </c>
      <c r="D642" s="47" t="s">
        <v>742</v>
      </c>
      <c r="E642" s="37">
        <v>0.36349999999999999</v>
      </c>
      <c r="F642" s="34">
        <v>26.295999999999999</v>
      </c>
      <c r="G642" s="34">
        <f>IF(ISNUMBER(F642),E642*F642,"")</f>
        <v>9.5585959999999996</v>
      </c>
      <c r="H642" s="35"/>
      <c r="I642" s="31"/>
      <c r="J642" s="155">
        <v>0</v>
      </c>
    </row>
    <row r="643" spans="1:10" ht="15.75" hidden="1" thickBot="1" x14ac:dyDescent="0.3">
      <c r="A643" s="201"/>
      <c r="B643" s="188"/>
      <c r="C643" s="36"/>
      <c r="D643" s="36"/>
      <c r="E643" s="37"/>
      <c r="F643" s="31" t="s">
        <v>558</v>
      </c>
      <c r="G643" s="31" t="str">
        <f>IF(ISNUMBER(F643),E643*F643,"")</f>
        <v/>
      </c>
      <c r="H643" s="35"/>
      <c r="I643" s="31"/>
      <c r="J643" s="155">
        <v>0</v>
      </c>
    </row>
    <row r="644" spans="1:10" ht="15.75" hidden="1" thickBot="1" x14ac:dyDescent="0.3">
      <c r="A644" s="180" t="s">
        <v>245</v>
      </c>
      <c r="B644" s="186" t="str">
        <f>INDEX(Orçamentária!A:B,MATCH(Composições!A644,Orçamentária!A:A,0),2)</f>
        <v>Acabamento abaulado em placas de granito ou mármore reaproveitadas</v>
      </c>
      <c r="C644" s="41"/>
      <c r="D644" s="26" t="str">
        <f>TRIM(INDEX(Orçamentária!C:C,MATCH(Composições!A644,Orçamentária!A:A,0),1))</f>
        <v>m</v>
      </c>
      <c r="E644" s="27"/>
      <c r="F644" s="42" t="s">
        <v>558</v>
      </c>
      <c r="G644" s="28" t="str">
        <f>IF(ISNUMBER(F644),E644*F644,"")</f>
        <v/>
      </c>
      <c r="H644" s="29"/>
      <c r="I644" s="30"/>
      <c r="J644" s="155">
        <v>0</v>
      </c>
    </row>
    <row r="645" spans="1:10" ht="15.75" hidden="1" thickBot="1" x14ac:dyDescent="0.3">
      <c r="A645" s="200"/>
      <c r="B645" s="202"/>
      <c r="C645" s="32"/>
      <c r="D645" s="32"/>
      <c r="E645" s="33"/>
      <c r="F645" s="43" t="s">
        <v>558</v>
      </c>
      <c r="G645" s="31" t="str">
        <f>IF(ISNUMBER(F645),E645*F645,"")</f>
        <v/>
      </c>
      <c r="H645" s="35"/>
      <c r="I645" s="31"/>
      <c r="J645" s="155">
        <v>0</v>
      </c>
    </row>
    <row r="646" spans="1:10" ht="15.75" hidden="1" thickBot="1" x14ac:dyDescent="0.3">
      <c r="A646" s="200"/>
      <c r="B646" s="202"/>
      <c r="C646" s="36" t="s">
        <v>54</v>
      </c>
      <c r="D646" s="47" t="s">
        <v>12</v>
      </c>
      <c r="E646" s="37">
        <v>2</v>
      </c>
      <c r="F646" s="31">
        <v>18.9145</v>
      </c>
      <c r="G646" s="34">
        <f>IF(ISNUMBER(F646),E646*F646,"")</f>
        <v>37.829000000000001</v>
      </c>
      <c r="H646" s="39">
        <f>SUM(G646:G646)</f>
        <v>37.829000000000001</v>
      </c>
      <c r="I646" s="40"/>
      <c r="J646" s="155">
        <v>0</v>
      </c>
    </row>
    <row r="647" spans="1:10" ht="15.75" hidden="1" thickBot="1" x14ac:dyDescent="0.3">
      <c r="A647" s="201"/>
      <c r="B647" s="188"/>
      <c r="C647" s="55"/>
      <c r="D647" s="36"/>
      <c r="E647" s="37"/>
      <c r="F647" s="31" t="s">
        <v>558</v>
      </c>
      <c r="G647" s="31" t="str">
        <f>IF(ISNUMBER(F647),E647*F647,"")</f>
        <v/>
      </c>
      <c r="H647" s="35"/>
      <c r="I647" s="31"/>
      <c r="J647" s="155">
        <v>0</v>
      </c>
    </row>
    <row r="648" spans="1:10" ht="15.75" hidden="1" thickBot="1" x14ac:dyDescent="0.3">
      <c r="A648" s="180" t="s">
        <v>246</v>
      </c>
      <c r="B648" s="186" t="str">
        <f>INDEX(Orçamentária!A:B,MATCH(Composições!A648,Orçamentária!A:A,0),2)</f>
        <v>Acabamento em meia esquadria em placas de granito ou mármore reaproveitadas</v>
      </c>
      <c r="C648" s="41"/>
      <c r="D648" s="26" t="str">
        <f>TRIM(INDEX(Orçamentária!C:C,MATCH(Composições!A648,Orçamentária!A:A,0),1))</f>
        <v>m</v>
      </c>
      <c r="E648" s="27"/>
      <c r="F648" s="42" t="s">
        <v>558</v>
      </c>
      <c r="G648" s="28" t="str">
        <f>IF(ISNUMBER(F648),E648*F648,"")</f>
        <v/>
      </c>
      <c r="H648" s="29"/>
      <c r="I648" s="30"/>
      <c r="J648" s="155">
        <v>0</v>
      </c>
    </row>
    <row r="649" spans="1:10" ht="15.75" hidden="1" thickBot="1" x14ac:dyDescent="0.3">
      <c r="A649" s="200"/>
      <c r="B649" s="202"/>
      <c r="C649" s="32"/>
      <c r="D649" s="32"/>
      <c r="E649" s="33"/>
      <c r="F649" s="43" t="s">
        <v>558</v>
      </c>
      <c r="G649" s="31" t="str">
        <f>IF(ISNUMBER(F649),E649*F649,"")</f>
        <v/>
      </c>
      <c r="H649" s="35"/>
      <c r="I649" s="31"/>
      <c r="J649" s="155">
        <v>0</v>
      </c>
    </row>
    <row r="650" spans="1:10" ht="15.75" hidden="1" thickBot="1" x14ac:dyDescent="0.3">
      <c r="A650" s="200"/>
      <c r="B650" s="202"/>
      <c r="C650" s="36" t="s">
        <v>54</v>
      </c>
      <c r="D650" s="47" t="s">
        <v>12</v>
      </c>
      <c r="E650" s="37">
        <v>1.75</v>
      </c>
      <c r="F650" s="31">
        <v>18.9145</v>
      </c>
      <c r="G650" s="34">
        <f>IF(ISNUMBER(F650),E650*F650,"")</f>
        <v>33.100375</v>
      </c>
      <c r="H650" s="39">
        <f>SUM(G650:G650)</f>
        <v>33.100375</v>
      </c>
      <c r="I650" s="40"/>
      <c r="J650" s="155">
        <v>0</v>
      </c>
    </row>
    <row r="651" spans="1:10" ht="15.75" hidden="1" thickBot="1" x14ac:dyDescent="0.3">
      <c r="A651" s="201"/>
      <c r="B651" s="188"/>
      <c r="C651" s="55"/>
      <c r="D651" s="36"/>
      <c r="E651" s="37"/>
      <c r="F651" s="31" t="s">
        <v>558</v>
      </c>
      <c r="G651" s="31" t="str">
        <f>IF(ISNUMBER(F651),E651*F651,"")</f>
        <v/>
      </c>
      <c r="H651" s="35"/>
      <c r="I651" s="31"/>
      <c r="J651" s="155">
        <v>0</v>
      </c>
    </row>
    <row r="652" spans="1:10" ht="15.75" hidden="1" thickBot="1" x14ac:dyDescent="0.3">
      <c r="A652" s="180" t="s">
        <v>247</v>
      </c>
      <c r="B652" s="186" t="str">
        <f>INDEX(Orçamentária!A:B,MATCH(Composições!A652,Orçamentária!A:A,0),2)</f>
        <v>Acabamento reto em placas de granito ou mármore reaproveitadas</v>
      </c>
      <c r="C652" s="41"/>
      <c r="D652" s="26" t="str">
        <f>TRIM(INDEX(Orçamentária!C:C,MATCH(Composições!A652,Orçamentária!A:A,0),1))</f>
        <v>m</v>
      </c>
      <c r="E652" s="27"/>
      <c r="F652" s="42" t="s">
        <v>558</v>
      </c>
      <c r="G652" s="28" t="str">
        <f>IF(ISNUMBER(F652),E652*F652,"")</f>
        <v/>
      </c>
      <c r="H652" s="29"/>
      <c r="I652" s="30"/>
      <c r="J652" s="155">
        <v>0</v>
      </c>
    </row>
    <row r="653" spans="1:10" ht="15.75" hidden="1" thickBot="1" x14ac:dyDescent="0.3">
      <c r="A653" s="200"/>
      <c r="B653" s="202"/>
      <c r="C653" s="32"/>
      <c r="D653" s="32"/>
      <c r="E653" s="33"/>
      <c r="F653" s="43" t="s">
        <v>558</v>
      </c>
      <c r="G653" s="31" t="str">
        <f>IF(ISNUMBER(F653),E653*F653,"")</f>
        <v/>
      </c>
      <c r="H653" s="35"/>
      <c r="I653" s="31"/>
      <c r="J653" s="155">
        <v>0</v>
      </c>
    </row>
    <row r="654" spans="1:10" ht="15.75" hidden="1" thickBot="1" x14ac:dyDescent="0.3">
      <c r="A654" s="200"/>
      <c r="B654" s="202"/>
      <c r="C654" s="36" t="s">
        <v>54</v>
      </c>
      <c r="D654" s="47" t="s">
        <v>12</v>
      </c>
      <c r="E654" s="37">
        <v>1</v>
      </c>
      <c r="F654" s="31">
        <v>18.9145</v>
      </c>
      <c r="G654" s="34">
        <f>IF(ISNUMBER(F654),E654*F654,"")</f>
        <v>18.9145</v>
      </c>
      <c r="H654" s="39">
        <f>SUM(G654:G654)</f>
        <v>18.9145</v>
      </c>
      <c r="I654" s="40"/>
      <c r="J654" s="155">
        <v>0</v>
      </c>
    </row>
    <row r="655" spans="1:10" ht="15.75" hidden="1" thickBot="1" x14ac:dyDescent="0.3">
      <c r="A655" s="201"/>
      <c r="B655" s="188"/>
      <c r="C655" s="55"/>
      <c r="D655" s="36"/>
      <c r="E655" s="37"/>
      <c r="F655" s="31" t="s">
        <v>558</v>
      </c>
      <c r="G655" s="31" t="str">
        <f>IF(ISNUMBER(F655),E655*F655,"")</f>
        <v/>
      </c>
      <c r="H655" s="35"/>
      <c r="I655" s="31"/>
      <c r="J655" s="155">
        <v>0</v>
      </c>
    </row>
    <row r="656" spans="1:10" ht="15.75" hidden="1" thickBot="1" x14ac:dyDescent="0.3">
      <c r="A656" s="180" t="s">
        <v>248</v>
      </c>
      <c r="B656" s="186" t="str">
        <f>INDEX(Orçamentária!A:B,MATCH(Composições!A656,Orçamentária!A:A,0),2)</f>
        <v>Corte de peça de granito ou mármore reaproveitada</v>
      </c>
      <c r="C656" s="41"/>
      <c r="D656" s="26" t="str">
        <f>TRIM(INDEX(Orçamentária!C:C,MATCH(Composições!A656,Orçamentária!A:A,0),1))</f>
        <v>m</v>
      </c>
      <c r="E656" s="27"/>
      <c r="F656" s="42" t="s">
        <v>558</v>
      </c>
      <c r="G656" s="28" t="str">
        <f>IF(ISNUMBER(F656),E656*F656,"")</f>
        <v/>
      </c>
      <c r="H656" s="29"/>
      <c r="I656" s="30"/>
      <c r="J656" s="155">
        <v>0</v>
      </c>
    </row>
    <row r="657" spans="1:10" ht="15.75" hidden="1" thickBot="1" x14ac:dyDescent="0.3">
      <c r="A657" s="200"/>
      <c r="B657" s="202"/>
      <c r="C657" s="32"/>
      <c r="D657" s="32"/>
      <c r="E657" s="33"/>
      <c r="F657" s="43" t="s">
        <v>558</v>
      </c>
      <c r="G657" s="31" t="str">
        <f>IF(ISNUMBER(F657),E657*F657,"")</f>
        <v/>
      </c>
      <c r="H657" s="35"/>
      <c r="I657" s="31"/>
      <c r="J657" s="155">
        <v>0</v>
      </c>
    </row>
    <row r="658" spans="1:10" ht="15.75" hidden="1" thickBot="1" x14ac:dyDescent="0.3">
      <c r="A658" s="200"/>
      <c r="B658" s="202"/>
      <c r="C658" s="36" t="s">
        <v>54</v>
      </c>
      <c r="D658" s="47" t="s">
        <v>12</v>
      </c>
      <c r="E658" s="37">
        <v>1.25</v>
      </c>
      <c r="F658" s="31">
        <v>18.9145</v>
      </c>
      <c r="G658" s="34">
        <f>IF(ISNUMBER(F658),E658*F658,"")</f>
        <v>23.643125000000001</v>
      </c>
      <c r="H658" s="39">
        <f>SUM(G658:G658)</f>
        <v>23.643125000000001</v>
      </c>
      <c r="I658" s="40"/>
      <c r="J658" s="155">
        <v>0</v>
      </c>
    </row>
    <row r="659" spans="1:10" ht="15.75" hidden="1" thickBot="1" x14ac:dyDescent="0.3">
      <c r="A659" s="201"/>
      <c r="B659" s="188"/>
      <c r="C659" s="55"/>
      <c r="D659" s="36"/>
      <c r="E659" s="37"/>
      <c r="F659" s="31" t="s">
        <v>558</v>
      </c>
      <c r="G659" s="31" t="str">
        <f>IF(ISNUMBER(F659),E659*F659,"")</f>
        <v/>
      </c>
      <c r="H659" s="35"/>
      <c r="I659" s="31"/>
      <c r="J659" s="155">
        <v>0</v>
      </c>
    </row>
    <row r="660" spans="1:10" ht="15.75" hidden="1" thickBot="1" x14ac:dyDescent="0.3">
      <c r="A660" s="180" t="s">
        <v>249</v>
      </c>
      <c r="B660" s="186" t="str">
        <f>INDEX(Orçamentária!A:B,MATCH(Composições!A660,Orçamentária!A:A,0),2)</f>
        <v>Corte em placas de granito ou mármore reaproveitadas, para instalação de cubas</v>
      </c>
      <c r="C660" s="41"/>
      <c r="D660" s="26" t="str">
        <f>TRIM(INDEX(Orçamentária!C:C,MATCH(Composições!A660,Orçamentária!A:A,0),1))</f>
        <v>un</v>
      </c>
      <c r="E660" s="27"/>
      <c r="F660" s="42" t="s">
        <v>558</v>
      </c>
      <c r="G660" s="28" t="str">
        <f>IF(ISNUMBER(F660),E660*F660,"")</f>
        <v/>
      </c>
      <c r="H660" s="29"/>
      <c r="I660" s="30"/>
      <c r="J660" s="155">
        <v>0</v>
      </c>
    </row>
    <row r="661" spans="1:10" ht="15.75" hidden="1" thickBot="1" x14ac:dyDescent="0.3">
      <c r="A661" s="200"/>
      <c r="B661" s="202"/>
      <c r="C661" s="32"/>
      <c r="D661" s="32"/>
      <c r="E661" s="33"/>
      <c r="F661" s="43" t="s">
        <v>558</v>
      </c>
      <c r="G661" s="31" t="str">
        <f>IF(ISNUMBER(F661),E661*F661,"")</f>
        <v/>
      </c>
      <c r="H661" s="35"/>
      <c r="I661" s="31"/>
      <c r="J661" s="155">
        <v>0</v>
      </c>
    </row>
    <row r="662" spans="1:10" ht="26.25" hidden="1" thickBot="1" x14ac:dyDescent="0.3">
      <c r="A662" s="200"/>
      <c r="B662" s="202"/>
      <c r="C662" s="36" t="s">
        <v>250</v>
      </c>
      <c r="D662" s="47" t="s">
        <v>20</v>
      </c>
      <c r="E662" s="37">
        <v>1</v>
      </c>
      <c r="F662" s="31">
        <v>87.78</v>
      </c>
      <c r="G662" s="34">
        <f>IF(ISNUMBER(F662),E662*F662,"")</f>
        <v>87.78</v>
      </c>
      <c r="H662" s="39">
        <f>SUM(G662:G662)</f>
        <v>87.78</v>
      </c>
      <c r="I662" s="40"/>
      <c r="J662" s="155">
        <v>0</v>
      </c>
    </row>
    <row r="663" spans="1:10" ht="15.75" hidden="1" thickBot="1" x14ac:dyDescent="0.3">
      <c r="A663" s="201"/>
      <c r="B663" s="188"/>
      <c r="C663" s="55"/>
      <c r="D663" s="36"/>
      <c r="E663" s="37"/>
      <c r="F663" s="31" t="s">
        <v>558</v>
      </c>
      <c r="G663" s="31" t="str">
        <f>IF(ISNUMBER(F663),E663*F663,"")</f>
        <v/>
      </c>
      <c r="H663" s="35"/>
      <c r="I663" s="31"/>
      <c r="J663" s="155">
        <v>0</v>
      </c>
    </row>
    <row r="664" spans="1:10" ht="15.75" hidden="1" thickBot="1" x14ac:dyDescent="0.3">
      <c r="A664" s="180" t="s">
        <v>251</v>
      </c>
      <c r="B664" s="186" t="str">
        <f>INDEX(Orçamentária!A:B,MATCH(Composições!A664,Orçamentária!A:A,0),2)</f>
        <v>Furo em placas de granito ou mármore reaproveitadas, para instalação de torneira ou misturador</v>
      </c>
      <c r="C664" s="173"/>
      <c r="D664" s="26" t="str">
        <f>TRIM(INDEX(Orçamentária!C:C,MATCH(Composições!A664,Orçamentária!A:A,0),1))</f>
        <v>un</v>
      </c>
      <c r="E664" s="27"/>
      <c r="F664" s="42" t="s">
        <v>558</v>
      </c>
      <c r="G664" s="28" t="str">
        <f>IF(ISNUMBER(F664),E664*F664,"")</f>
        <v/>
      </c>
      <c r="H664" s="29"/>
      <c r="I664" s="30"/>
      <c r="J664" s="155">
        <v>0</v>
      </c>
    </row>
    <row r="665" spans="1:10" ht="15.75" hidden="1" thickBot="1" x14ac:dyDescent="0.3">
      <c r="A665" s="200"/>
      <c r="B665" s="202"/>
      <c r="C665" s="32"/>
      <c r="D665" s="32"/>
      <c r="E665" s="33"/>
      <c r="F665" s="43" t="s">
        <v>558</v>
      </c>
      <c r="G665" s="31" t="str">
        <f>IF(ISNUMBER(F665),E665*F665,"")</f>
        <v/>
      </c>
      <c r="H665" s="35"/>
      <c r="I665" s="31"/>
      <c r="J665" s="155">
        <v>0</v>
      </c>
    </row>
    <row r="666" spans="1:10" ht="27" hidden="1" thickBot="1" x14ac:dyDescent="0.3">
      <c r="A666" s="200"/>
      <c r="B666" s="202"/>
      <c r="C666" s="51" t="s">
        <v>252</v>
      </c>
      <c r="D666" s="47" t="s">
        <v>20</v>
      </c>
      <c r="E666" s="37">
        <v>1</v>
      </c>
      <c r="F666" s="31">
        <v>13.166999999999998</v>
      </c>
      <c r="G666" s="34">
        <f>IF(ISNUMBER(F666),E666*F666,"")</f>
        <v>13.166999999999998</v>
      </c>
      <c r="H666" s="39">
        <f>SUM(G666:G666)</f>
        <v>13.166999999999998</v>
      </c>
      <c r="I666" s="40"/>
      <c r="J666" s="155">
        <v>0</v>
      </c>
    </row>
    <row r="667" spans="1:10" ht="15.75" hidden="1" thickBot="1" x14ac:dyDescent="0.3">
      <c r="A667" s="201"/>
      <c r="B667" s="188"/>
      <c r="C667" s="36"/>
      <c r="D667" s="36"/>
      <c r="E667" s="37"/>
      <c r="F667" s="31" t="s">
        <v>558</v>
      </c>
      <c r="G667" s="31" t="str">
        <f>IF(ISNUMBER(F667),E667*F667,"")</f>
        <v/>
      </c>
      <c r="H667" s="35"/>
      <c r="I667" s="31"/>
      <c r="J667" s="155">
        <v>0</v>
      </c>
    </row>
    <row r="668" spans="1:10" ht="15.75" hidden="1" thickBot="1" x14ac:dyDescent="0.3">
      <c r="A668" s="180" t="s">
        <v>253</v>
      </c>
      <c r="B668" s="186" t="str">
        <f>INDEX(Orçamentária!A:B,MATCH(Composições!A668,Orçamentária!A:A,0),2)</f>
        <v>Granito Cinza Andorinha 20mm para rodabancada</v>
      </c>
      <c r="C668" s="41"/>
      <c r="D668" s="26" t="str">
        <f>TRIM(INDEX(Orçamentária!C:C,MATCH(Composições!A668,Orçamentária!A:A,0),1))</f>
        <v>m2</v>
      </c>
      <c r="E668" s="27"/>
      <c r="F668" s="42" t="s">
        <v>558</v>
      </c>
      <c r="G668" s="28" t="str">
        <f>IF(ISNUMBER(F668),E668*F668,"")</f>
        <v/>
      </c>
      <c r="H668" s="29"/>
      <c r="I668" s="30"/>
      <c r="J668" s="155">
        <v>0</v>
      </c>
    </row>
    <row r="669" spans="1:10" ht="15.75" hidden="1" thickBot="1" x14ac:dyDescent="0.3">
      <c r="A669" s="200"/>
      <c r="B669" s="202"/>
      <c r="C669" s="32"/>
      <c r="D669" s="32"/>
      <c r="E669" s="33"/>
      <c r="F669" s="43" t="s">
        <v>558</v>
      </c>
      <c r="G669" s="31" t="str">
        <f>IF(ISNUMBER(F669),E669*F669,"")</f>
        <v/>
      </c>
      <c r="H669" s="35"/>
      <c r="I669" s="31"/>
      <c r="J669" s="155">
        <v>0</v>
      </c>
    </row>
    <row r="670" spans="1:10" ht="26.25" hidden="1" thickBot="1" x14ac:dyDescent="0.3">
      <c r="A670" s="200"/>
      <c r="B670" s="202"/>
      <c r="C670" s="36" t="s">
        <v>254</v>
      </c>
      <c r="D670" s="36" t="s">
        <v>93</v>
      </c>
      <c r="E670" s="37">
        <f>ROUND(1.04/0.15,4)</f>
        <v>6.9333</v>
      </c>
      <c r="F670" s="34" t="s">
        <v>558</v>
      </c>
      <c r="G670" s="34" t="str">
        <f>IF(ISNUMBER(F670),E670*F670,"")</f>
        <v/>
      </c>
      <c r="H670" s="39">
        <f>SUM(G670:G674)</f>
        <v>63.966852549999999</v>
      </c>
      <c r="I670" s="40"/>
      <c r="J670" s="155">
        <v>0</v>
      </c>
    </row>
    <row r="671" spans="1:10" ht="15.75" hidden="1" thickBot="1" x14ac:dyDescent="0.3">
      <c r="A671" s="200"/>
      <c r="B671" s="202"/>
      <c r="C671" s="36" t="s">
        <v>3619</v>
      </c>
      <c r="D671" s="36" t="s">
        <v>42</v>
      </c>
      <c r="E671" s="37">
        <f>ROUND(0.8614/0.15,4)</f>
        <v>5.7427000000000001</v>
      </c>
      <c r="F671" s="34">
        <v>1.3109999999999999</v>
      </c>
      <c r="G671" s="34">
        <f>IF(ISNUMBER(F671),E671*F671,"")</f>
        <v>7.5286796999999996</v>
      </c>
      <c r="H671" s="35"/>
      <c r="I671" s="31"/>
      <c r="J671" s="155">
        <v>0</v>
      </c>
    </row>
    <row r="672" spans="1:10" ht="15.75" hidden="1" thickBot="1" x14ac:dyDescent="0.3">
      <c r="A672" s="200"/>
      <c r="B672" s="202"/>
      <c r="C672" s="36" t="s">
        <v>54</v>
      </c>
      <c r="D672" s="36" t="s">
        <v>12</v>
      </c>
      <c r="E672" s="37">
        <f>ROUND(0.299/0.15,4)</f>
        <v>1.9933000000000001</v>
      </c>
      <c r="F672" s="31">
        <v>18.9145</v>
      </c>
      <c r="G672" s="34">
        <f>IF(ISNUMBER(F672),E672*F672,"")</f>
        <v>37.70227285</v>
      </c>
      <c r="H672" s="35"/>
      <c r="I672" s="31"/>
      <c r="J672" s="155">
        <v>0</v>
      </c>
    </row>
    <row r="673" spans="1:10" ht="15.75" hidden="1" thickBot="1" x14ac:dyDescent="0.3">
      <c r="A673" s="200"/>
      <c r="B673" s="202"/>
      <c r="C673" s="36" t="s">
        <v>23</v>
      </c>
      <c r="D673" s="36" t="s">
        <v>12</v>
      </c>
      <c r="E673" s="37">
        <f>0.15/0.15</f>
        <v>1</v>
      </c>
      <c r="F673" s="31">
        <v>16.729499999999998</v>
      </c>
      <c r="G673" s="34">
        <f>IF(ISNUMBER(F673),E673*F673,"")</f>
        <v>16.729499999999998</v>
      </c>
      <c r="H673" s="35"/>
      <c r="I673" s="31"/>
      <c r="J673" s="155">
        <v>0</v>
      </c>
    </row>
    <row r="674" spans="1:10" ht="15.75" hidden="1" thickBot="1" x14ac:dyDescent="0.3">
      <c r="A674" s="200"/>
      <c r="B674" s="202"/>
      <c r="C674" s="36" t="s">
        <v>3618</v>
      </c>
      <c r="D674" s="36" t="s">
        <v>42</v>
      </c>
      <c r="E674" s="37">
        <f>0.12/0.15</f>
        <v>0.8</v>
      </c>
      <c r="F674" s="34">
        <v>2.508</v>
      </c>
      <c r="G674" s="34">
        <f>IF(ISNUMBER(F674),E674*F674,"")</f>
        <v>2.0064000000000002</v>
      </c>
      <c r="H674" s="35"/>
      <c r="I674" s="31"/>
      <c r="J674" s="155">
        <v>0</v>
      </c>
    </row>
    <row r="675" spans="1:10" ht="15.75" hidden="1" thickBot="1" x14ac:dyDescent="0.3">
      <c r="A675" s="200"/>
      <c r="B675" s="202"/>
      <c r="C675" s="36"/>
      <c r="D675" s="36"/>
      <c r="E675" s="37"/>
      <c r="F675" s="34" t="s">
        <v>558</v>
      </c>
      <c r="G675" s="34" t="str">
        <f>IF(ISNUMBER(F675),E675*F675,"")</f>
        <v/>
      </c>
      <c r="H675" s="35"/>
      <c r="I675" s="31"/>
      <c r="J675" s="155">
        <v>0</v>
      </c>
    </row>
    <row r="676" spans="1:10" ht="15.75" hidden="1" thickBot="1" x14ac:dyDescent="0.3">
      <c r="A676" s="180" t="s">
        <v>255</v>
      </c>
      <c r="B676" s="186" t="str">
        <f>INDEX(Orçamentária!A:B,MATCH(Composições!A676,Orçamentária!A:A,0),2)</f>
        <v>Granito Cinza Andorinha 20mm para bancadas</v>
      </c>
      <c r="C676" s="41"/>
      <c r="D676" s="26" t="str">
        <f>TRIM(INDEX(Orçamentária!C:C,MATCH(Composições!A676,Orçamentária!A:A,0),1))</f>
        <v>m2</v>
      </c>
      <c r="E676" s="27"/>
      <c r="F676" s="42" t="s">
        <v>558</v>
      </c>
      <c r="G676" s="28" t="str">
        <f>IF(ISNUMBER(F676),E676*F676,"")</f>
        <v/>
      </c>
      <c r="H676" s="29"/>
      <c r="I676" s="30"/>
      <c r="J676" s="155">
        <v>0</v>
      </c>
    </row>
    <row r="677" spans="1:10" ht="15.75" hidden="1" thickBot="1" x14ac:dyDescent="0.3">
      <c r="A677" s="200"/>
      <c r="B677" s="202"/>
      <c r="C677" s="32"/>
      <c r="D677" s="32"/>
      <c r="E677" s="33"/>
      <c r="F677" s="43" t="s">
        <v>558</v>
      </c>
      <c r="G677" s="31" t="str">
        <f>IF(ISNUMBER(F677),E677*F677,"")</f>
        <v/>
      </c>
      <c r="H677" s="35"/>
      <c r="I677" s="31"/>
      <c r="J677" s="155">
        <v>0</v>
      </c>
    </row>
    <row r="678" spans="1:10" ht="15.75" hidden="1" thickBot="1" x14ac:dyDescent="0.3">
      <c r="A678" s="200"/>
      <c r="B678" s="202"/>
      <c r="C678" s="36" t="s">
        <v>3428</v>
      </c>
      <c r="D678" s="36" t="s">
        <v>938</v>
      </c>
      <c r="E678" s="37">
        <f>ROUND(0.5228/(1.5*0.6),4)</f>
        <v>0.58089999999999997</v>
      </c>
      <c r="F678" s="54">
        <v>24.671499999999998</v>
      </c>
      <c r="G678" s="54">
        <f>IF(ISNUMBER(F678),E678*F678,"")</f>
        <v>14.331674349999998</v>
      </c>
      <c r="H678" s="39">
        <f>SUM(G678:G684)</f>
        <v>122.71869719999999</v>
      </c>
      <c r="I678" s="40"/>
      <c r="J678" s="155">
        <v>0</v>
      </c>
    </row>
    <row r="679" spans="1:10" ht="39" hidden="1" thickBot="1" x14ac:dyDescent="0.3">
      <c r="A679" s="200"/>
      <c r="B679" s="202"/>
      <c r="C679" s="36" t="s">
        <v>1180</v>
      </c>
      <c r="D679" s="36" t="s">
        <v>292</v>
      </c>
      <c r="E679" s="37">
        <f>ROUND(6/(1.5*0.6),4)</f>
        <v>6.6666999999999996</v>
      </c>
      <c r="F679" s="54">
        <v>0.93099999999999994</v>
      </c>
      <c r="G679" s="54">
        <f>IF(ISNUMBER(F679),E679*F679,"")</f>
        <v>6.2066976999999994</v>
      </c>
      <c r="H679" s="73"/>
      <c r="I679" s="74"/>
      <c r="J679" s="155">
        <v>0</v>
      </c>
    </row>
    <row r="680" spans="1:10" ht="26.25" hidden="1" thickBot="1" x14ac:dyDescent="0.3">
      <c r="A680" s="200"/>
      <c r="B680" s="202"/>
      <c r="C680" s="36" t="s">
        <v>256</v>
      </c>
      <c r="D680" s="36" t="s">
        <v>1034</v>
      </c>
      <c r="E680" s="37">
        <f>ROUND(1.005/(1.5*0.6),4)</f>
        <v>1.1167</v>
      </c>
      <c r="F680" s="54" t="s">
        <v>558</v>
      </c>
      <c r="G680" s="54" t="str">
        <f>IF(ISNUMBER(F680),E680*F680,"")</f>
        <v/>
      </c>
      <c r="H680" s="73"/>
      <c r="I680" s="74"/>
      <c r="J680" s="155">
        <v>0</v>
      </c>
    </row>
    <row r="681" spans="1:10" ht="15.75" hidden="1" thickBot="1" x14ac:dyDescent="0.3">
      <c r="A681" s="200"/>
      <c r="B681" s="202"/>
      <c r="C681" s="36" t="s">
        <v>3609</v>
      </c>
      <c r="D681" s="36" t="s">
        <v>938</v>
      </c>
      <c r="E681" s="37">
        <f>ROUND(0.0211/(1.5*0.6),4)</f>
        <v>2.3400000000000001E-2</v>
      </c>
      <c r="F681" s="54">
        <v>52.8675</v>
      </c>
      <c r="G681" s="54">
        <f>IF(ISNUMBER(F681),E681*F681,"")</f>
        <v>1.2370995</v>
      </c>
      <c r="H681" s="73"/>
      <c r="I681" s="74"/>
      <c r="J681" s="155">
        <v>0</v>
      </c>
    </row>
    <row r="682" spans="1:10" ht="26.25" hidden="1" thickBot="1" x14ac:dyDescent="0.3">
      <c r="A682" s="200"/>
      <c r="B682" s="202"/>
      <c r="C682" s="36" t="s">
        <v>3448</v>
      </c>
      <c r="D682" s="36" t="s">
        <v>292</v>
      </c>
      <c r="E682" s="37">
        <f>ROUND(2/(1.5*0.6),4)</f>
        <v>2.2222</v>
      </c>
      <c r="F682" s="54">
        <v>23.065999999999999</v>
      </c>
      <c r="G682" s="54">
        <f>IF(ISNUMBER(F682),E682*F682,"")</f>
        <v>51.257265199999999</v>
      </c>
      <c r="H682" s="73"/>
      <c r="I682" s="74"/>
      <c r="J682" s="155">
        <v>0</v>
      </c>
    </row>
    <row r="683" spans="1:10" ht="15.75" hidden="1" thickBot="1" x14ac:dyDescent="0.3">
      <c r="A683" s="200"/>
      <c r="B683" s="202"/>
      <c r="C683" s="36" t="s">
        <v>3311</v>
      </c>
      <c r="D683" s="36" t="s">
        <v>742</v>
      </c>
      <c r="E683" s="37">
        <f>ROUND(1.4944/(1.5*0.6),4)</f>
        <v>1.6604000000000001</v>
      </c>
      <c r="F683" s="54">
        <v>18.9145</v>
      </c>
      <c r="G683" s="54">
        <f>IF(ISNUMBER(F683),E683*F683,"")</f>
        <v>31.405635800000002</v>
      </c>
      <c r="H683" s="73"/>
      <c r="I683" s="74"/>
      <c r="J683" s="155">
        <v>0</v>
      </c>
    </row>
    <row r="684" spans="1:10" ht="15.75" hidden="1" thickBot="1" x14ac:dyDescent="0.3">
      <c r="A684" s="200"/>
      <c r="B684" s="202"/>
      <c r="C684" s="36" t="s">
        <v>743</v>
      </c>
      <c r="D684" s="36" t="s">
        <v>742</v>
      </c>
      <c r="E684" s="37">
        <f>ROUND(0.9834/(1.5*0.6),4)</f>
        <v>1.0927</v>
      </c>
      <c r="F684" s="54">
        <v>16.729499999999998</v>
      </c>
      <c r="G684" s="54">
        <f>IF(ISNUMBER(F684),E684*F684,"")</f>
        <v>18.280324649999997</v>
      </c>
      <c r="H684" s="73"/>
      <c r="I684" s="74"/>
      <c r="J684" s="155">
        <v>0</v>
      </c>
    </row>
    <row r="685" spans="1:10" ht="15.75" hidden="1" thickBot="1" x14ac:dyDescent="0.3">
      <c r="A685" s="200"/>
      <c r="B685" s="202"/>
      <c r="C685" s="36"/>
      <c r="D685" s="36"/>
      <c r="E685" s="37"/>
      <c r="F685" s="31" t="s">
        <v>558</v>
      </c>
      <c r="G685" s="34" t="str">
        <f>IF(ISNUMBER(F685),E685*F685,"")</f>
        <v/>
      </c>
      <c r="H685" s="35"/>
      <c r="I685" s="31"/>
      <c r="J685" s="155">
        <v>0</v>
      </c>
    </row>
    <row r="686" spans="1:10" ht="15.75" hidden="1" thickBot="1" x14ac:dyDescent="0.3">
      <c r="A686" s="180" t="s">
        <v>257</v>
      </c>
      <c r="B686" s="186" t="str">
        <f>INDEX(Orçamentária!A:B,MATCH(Composições!A686,Orçamentária!A:A,0),2)</f>
        <v>Granito Cinza Andorinha 20mm para divisória</v>
      </c>
      <c r="C686" s="41"/>
      <c r="D686" s="26" t="str">
        <f>TRIM(INDEX(Orçamentária!C:C,MATCH(Composições!A686,Orçamentária!A:A,0),1))</f>
        <v>m2</v>
      </c>
      <c r="E686" s="27"/>
      <c r="F686" s="42" t="s">
        <v>558</v>
      </c>
      <c r="G686" s="28" t="str">
        <f>IF(ISNUMBER(F686),E686*F686,"")</f>
        <v/>
      </c>
      <c r="H686" s="29"/>
      <c r="I686" s="30"/>
      <c r="J686" s="155">
        <v>0</v>
      </c>
    </row>
    <row r="687" spans="1:10" ht="15.75" hidden="1" thickBot="1" x14ac:dyDescent="0.3">
      <c r="A687" s="200"/>
      <c r="B687" s="202"/>
      <c r="C687" s="32"/>
      <c r="D687" s="32"/>
      <c r="E687" s="33"/>
      <c r="F687" s="43" t="s">
        <v>558</v>
      </c>
      <c r="G687" s="31" t="str">
        <f>IF(ISNUMBER(F687),E687*F687,"")</f>
        <v/>
      </c>
      <c r="H687" s="35"/>
      <c r="I687" s="31"/>
      <c r="J687" s="155">
        <v>0</v>
      </c>
    </row>
    <row r="688" spans="1:10" ht="26.25" hidden="1" thickBot="1" x14ac:dyDescent="0.3">
      <c r="A688" s="200"/>
      <c r="B688" s="202"/>
      <c r="C688" s="36" t="s">
        <v>815</v>
      </c>
      <c r="D688" s="36" t="s">
        <v>938</v>
      </c>
      <c r="E688" s="37">
        <v>0.53</v>
      </c>
      <c r="F688" s="34">
        <v>40.403500000000001</v>
      </c>
      <c r="G688" s="34">
        <f>IF(ISNUMBER(F688),E688*F688,"")</f>
        <v>21.413855000000002</v>
      </c>
      <c r="H688" s="39">
        <f>SUM(G688:G694)</f>
        <v>86.363872999999998</v>
      </c>
      <c r="I688" s="40"/>
      <c r="J688" s="155">
        <v>0</v>
      </c>
    </row>
    <row r="689" spans="1:10" ht="26.25" hidden="1" thickBot="1" x14ac:dyDescent="0.3">
      <c r="A689" s="200"/>
      <c r="B689" s="202"/>
      <c r="C689" s="36" t="s">
        <v>6489</v>
      </c>
      <c r="D689" s="36" t="s">
        <v>1034</v>
      </c>
      <c r="E689" s="37">
        <v>1.05</v>
      </c>
      <c r="F689" s="34" t="s">
        <v>558</v>
      </c>
      <c r="G689" s="34" t="str">
        <f>IF(ISNUMBER(F689),E689*F689,"")</f>
        <v/>
      </c>
      <c r="H689" s="35"/>
      <c r="I689" s="31"/>
      <c r="J689" s="155">
        <v>0</v>
      </c>
    </row>
    <row r="690" spans="1:10" ht="15.75" hidden="1" thickBot="1" x14ac:dyDescent="0.3">
      <c r="A690" s="200"/>
      <c r="B690" s="202"/>
      <c r="C690" s="36" t="s">
        <v>3599</v>
      </c>
      <c r="D690" s="36" t="s">
        <v>938</v>
      </c>
      <c r="E690" s="37">
        <v>0.97</v>
      </c>
      <c r="F690" s="31">
        <v>1.5009999999999999</v>
      </c>
      <c r="G690" s="34">
        <f>IF(ISNUMBER(F690),E690*F690,"")</f>
        <v>1.4559699999999998</v>
      </c>
      <c r="H690" s="35"/>
      <c r="I690" s="31"/>
      <c r="J690" s="155">
        <v>0</v>
      </c>
    </row>
    <row r="691" spans="1:10" ht="15.75" hidden="1" thickBot="1" x14ac:dyDescent="0.3">
      <c r="A691" s="200"/>
      <c r="B691" s="202"/>
      <c r="C691" s="36" t="s">
        <v>3311</v>
      </c>
      <c r="D691" s="36" t="s">
        <v>742</v>
      </c>
      <c r="E691" s="37">
        <v>1.405</v>
      </c>
      <c r="F691" s="31">
        <v>18.9145</v>
      </c>
      <c r="G691" s="34">
        <f>IF(ISNUMBER(F691),E691*F691,"")</f>
        <v>26.574872500000001</v>
      </c>
      <c r="H691" s="35"/>
      <c r="I691" s="31"/>
      <c r="J691" s="155">
        <v>0</v>
      </c>
    </row>
    <row r="692" spans="1:10" ht="15.75" hidden="1" thickBot="1" x14ac:dyDescent="0.3">
      <c r="A692" s="200"/>
      <c r="B692" s="202"/>
      <c r="C692" s="36" t="s">
        <v>743</v>
      </c>
      <c r="D692" s="36" t="s">
        <v>742</v>
      </c>
      <c r="E692" s="37">
        <v>0.70199999999999996</v>
      </c>
      <c r="F692" s="31">
        <v>16.729499999999998</v>
      </c>
      <c r="G692" s="34">
        <f>IF(ISNUMBER(F692),E692*F692,"")</f>
        <v>11.744108999999998</v>
      </c>
      <c r="H692" s="35"/>
      <c r="I692" s="31"/>
      <c r="J692" s="155">
        <v>0</v>
      </c>
    </row>
    <row r="693" spans="1:10" ht="26.25" hidden="1" thickBot="1" x14ac:dyDescent="0.3">
      <c r="A693" s="200"/>
      <c r="B693" s="202"/>
      <c r="C693" s="36" t="s">
        <v>1207</v>
      </c>
      <c r="D693" s="36" t="s">
        <v>982</v>
      </c>
      <c r="E693" s="37">
        <v>8.8999999999999996E-2</v>
      </c>
      <c r="F693" s="31">
        <v>19.9025</v>
      </c>
      <c r="G693" s="34">
        <f>IF(ISNUMBER(F693),E693*F693,"")</f>
        <v>1.7713224999999999</v>
      </c>
      <c r="H693" s="35"/>
      <c r="I693" s="31"/>
      <c r="J693" s="155">
        <v>0</v>
      </c>
    </row>
    <row r="694" spans="1:10" ht="26.25" hidden="1" thickBot="1" x14ac:dyDescent="0.3">
      <c r="A694" s="200"/>
      <c r="B694" s="202"/>
      <c r="C694" s="36" t="s">
        <v>1208</v>
      </c>
      <c r="D694" s="36" t="s">
        <v>984</v>
      </c>
      <c r="E694" s="37">
        <v>1.3160000000000001</v>
      </c>
      <c r="F694" s="34">
        <v>17.783999999999999</v>
      </c>
      <c r="G694" s="34">
        <f>IF(ISNUMBER(F694),E694*F694,"")</f>
        <v>23.403744</v>
      </c>
      <c r="H694" s="35"/>
      <c r="I694" s="31"/>
      <c r="J694" s="155">
        <v>0</v>
      </c>
    </row>
    <row r="695" spans="1:10" ht="15.75" hidden="1" thickBot="1" x14ac:dyDescent="0.3">
      <c r="A695" s="200"/>
      <c r="B695" s="202"/>
      <c r="C695" s="36"/>
      <c r="D695" s="36"/>
      <c r="E695" s="37"/>
      <c r="F695" s="34" t="s">
        <v>558</v>
      </c>
      <c r="G695" s="34" t="str">
        <f>IF(ISNUMBER(F695),E695*F695,"")</f>
        <v/>
      </c>
      <c r="H695" s="35"/>
      <c r="I695" s="31"/>
      <c r="J695" s="155">
        <v>0</v>
      </c>
    </row>
    <row r="696" spans="1:10" ht="15.75" hidden="1" thickBot="1" x14ac:dyDescent="0.3">
      <c r="A696" s="180" t="s">
        <v>259</v>
      </c>
      <c r="B696" s="186" t="str">
        <f>INDEX(Orçamentária!A:B,MATCH(Composições!A696,Orçamentária!A:A,0),2)</f>
        <v>Granito Preto São Gabriel 20mm para rodabancada</v>
      </c>
      <c r="C696" s="41"/>
      <c r="D696" s="26" t="str">
        <f>TRIM(INDEX(Orçamentária!C:C,MATCH(Composições!A696,Orçamentária!A:A,0),1))</f>
        <v>m2</v>
      </c>
      <c r="E696" s="27"/>
      <c r="F696" s="42" t="s">
        <v>558</v>
      </c>
      <c r="G696" s="28" t="str">
        <f>IF(ISNUMBER(F696),E696*F696,"")</f>
        <v/>
      </c>
      <c r="H696" s="29"/>
      <c r="I696" s="30"/>
      <c r="J696" s="155">
        <v>0</v>
      </c>
    </row>
    <row r="697" spans="1:10" ht="15.75" hidden="1" thickBot="1" x14ac:dyDescent="0.3">
      <c r="A697" s="200"/>
      <c r="B697" s="202"/>
      <c r="C697" s="32"/>
      <c r="D697" s="32"/>
      <c r="E697" s="33"/>
      <c r="F697" s="43" t="s">
        <v>558</v>
      </c>
      <c r="G697" s="31" t="str">
        <f>IF(ISNUMBER(F697),E697*F697,"")</f>
        <v/>
      </c>
      <c r="H697" s="35"/>
      <c r="I697" s="31"/>
      <c r="J697" s="155">
        <v>0</v>
      </c>
    </row>
    <row r="698" spans="1:10" ht="26.25" hidden="1" thickBot="1" x14ac:dyDescent="0.3">
      <c r="A698" s="200"/>
      <c r="B698" s="202"/>
      <c r="C698" s="36" t="s">
        <v>260</v>
      </c>
      <c r="D698" s="36" t="s">
        <v>93</v>
      </c>
      <c r="E698" s="37">
        <f>ROUND(1.04/0.15,4)</f>
        <v>6.9333</v>
      </c>
      <c r="F698" s="34" t="s">
        <v>558</v>
      </c>
      <c r="G698" s="31" t="str">
        <f>IF(ISNUMBER(F698),E698*F698,"")</f>
        <v/>
      </c>
      <c r="H698" s="39">
        <f>SUM(G698:G702)</f>
        <v>63.966852549999999</v>
      </c>
      <c r="I698" s="40"/>
      <c r="J698" s="155">
        <v>0</v>
      </c>
    </row>
    <row r="699" spans="1:10" ht="15.75" hidden="1" thickBot="1" x14ac:dyDescent="0.3">
      <c r="A699" s="200"/>
      <c r="B699" s="202"/>
      <c r="C699" s="36" t="s">
        <v>3619</v>
      </c>
      <c r="D699" s="36" t="s">
        <v>42</v>
      </c>
      <c r="E699" s="37">
        <f>ROUND(0.8614/0.15,4)</f>
        <v>5.7427000000000001</v>
      </c>
      <c r="F699" s="34">
        <v>1.3109999999999999</v>
      </c>
      <c r="G699" s="34">
        <f>IF(ISNUMBER(F699),E699*F699,"")</f>
        <v>7.5286796999999996</v>
      </c>
      <c r="H699" s="35"/>
      <c r="I699" s="31"/>
      <c r="J699" s="155">
        <v>0</v>
      </c>
    </row>
    <row r="700" spans="1:10" ht="15.75" hidden="1" thickBot="1" x14ac:dyDescent="0.3">
      <c r="A700" s="200"/>
      <c r="B700" s="202"/>
      <c r="C700" s="36" t="s">
        <v>54</v>
      </c>
      <c r="D700" s="36" t="s">
        <v>12</v>
      </c>
      <c r="E700" s="37">
        <f>ROUND(0.299/0.15,4)</f>
        <v>1.9933000000000001</v>
      </c>
      <c r="F700" s="34">
        <v>18.9145</v>
      </c>
      <c r="G700" s="34">
        <f>IF(ISNUMBER(F700),E700*F700,"")</f>
        <v>37.70227285</v>
      </c>
      <c r="H700" s="35"/>
      <c r="I700" s="31"/>
      <c r="J700" s="155">
        <v>0</v>
      </c>
    </row>
    <row r="701" spans="1:10" ht="15.75" hidden="1" thickBot="1" x14ac:dyDescent="0.3">
      <c r="A701" s="200"/>
      <c r="B701" s="202"/>
      <c r="C701" s="36" t="s">
        <v>23</v>
      </c>
      <c r="D701" s="36" t="s">
        <v>12</v>
      </c>
      <c r="E701" s="37">
        <f>0.15/0.15</f>
        <v>1</v>
      </c>
      <c r="F701" s="34">
        <v>16.729499999999998</v>
      </c>
      <c r="G701" s="34">
        <f>IF(ISNUMBER(F701),E701*F701,"")</f>
        <v>16.729499999999998</v>
      </c>
      <c r="H701" s="35"/>
      <c r="I701" s="31"/>
      <c r="J701" s="155">
        <v>0</v>
      </c>
    </row>
    <row r="702" spans="1:10" ht="15.75" hidden="1" thickBot="1" x14ac:dyDescent="0.3">
      <c r="A702" s="200"/>
      <c r="B702" s="202"/>
      <c r="C702" s="36" t="s">
        <v>3618</v>
      </c>
      <c r="D702" s="36" t="s">
        <v>42</v>
      </c>
      <c r="E702" s="37">
        <f>0.12/0.15</f>
        <v>0.8</v>
      </c>
      <c r="F702" s="34">
        <v>2.508</v>
      </c>
      <c r="G702" s="34">
        <f>IF(ISNUMBER(F702),E702*F702,"")</f>
        <v>2.0064000000000002</v>
      </c>
      <c r="H702" s="35"/>
      <c r="I702" s="31"/>
      <c r="J702" s="155">
        <v>0</v>
      </c>
    </row>
    <row r="703" spans="1:10" ht="15.75" hidden="1" thickBot="1" x14ac:dyDescent="0.3">
      <c r="A703" s="200"/>
      <c r="B703" s="202"/>
      <c r="C703" s="36"/>
      <c r="D703" s="36"/>
      <c r="E703" s="37"/>
      <c r="F703" s="34" t="s">
        <v>558</v>
      </c>
      <c r="G703" s="34" t="str">
        <f>IF(ISNUMBER(F703),E703*F703,"")</f>
        <v/>
      </c>
      <c r="H703" s="35"/>
      <c r="I703" s="31"/>
      <c r="J703" s="155">
        <v>0</v>
      </c>
    </row>
    <row r="704" spans="1:10" ht="15.75" hidden="1" thickBot="1" x14ac:dyDescent="0.3">
      <c r="A704" s="180" t="s">
        <v>261</v>
      </c>
      <c r="B704" s="186" t="str">
        <f>INDEX(Orçamentária!A:B,MATCH(Composições!A704,Orçamentária!A:A,0),2)</f>
        <v>Granito Preto São Gabriel 20mm para bancadas</v>
      </c>
      <c r="C704" s="41"/>
      <c r="D704" s="26" t="str">
        <f>TRIM(INDEX(Orçamentária!C:C,MATCH(Composições!A704,Orçamentária!A:A,0),1))</f>
        <v>m2</v>
      </c>
      <c r="E704" s="27"/>
      <c r="F704" s="42" t="s">
        <v>558</v>
      </c>
      <c r="G704" s="28" t="str">
        <f>IF(ISNUMBER(F704),E704*F704,"")</f>
        <v/>
      </c>
      <c r="H704" s="29"/>
      <c r="I704" s="30"/>
      <c r="J704" s="155">
        <v>0</v>
      </c>
    </row>
    <row r="705" spans="1:10" ht="15.75" hidden="1" thickBot="1" x14ac:dyDescent="0.3">
      <c r="A705" s="200"/>
      <c r="B705" s="202"/>
      <c r="C705" s="32"/>
      <c r="D705" s="32"/>
      <c r="E705" s="33"/>
      <c r="F705" s="43" t="s">
        <v>558</v>
      </c>
      <c r="G705" s="31" t="str">
        <f>IF(ISNUMBER(F705),E705*F705,"")</f>
        <v/>
      </c>
      <c r="H705" s="35"/>
      <c r="I705" s="31"/>
      <c r="J705" s="155">
        <v>0</v>
      </c>
    </row>
    <row r="706" spans="1:10" ht="15.75" hidden="1" thickBot="1" x14ac:dyDescent="0.3">
      <c r="A706" s="200"/>
      <c r="B706" s="202"/>
      <c r="C706" s="36" t="s">
        <v>3428</v>
      </c>
      <c r="D706" s="36" t="s">
        <v>938</v>
      </c>
      <c r="E706" s="37">
        <f>ROUND(0.5228/(1.5*0.6),4)</f>
        <v>0.58089999999999997</v>
      </c>
      <c r="F706" s="54">
        <v>24.671499999999998</v>
      </c>
      <c r="G706" s="54">
        <f>IF(ISNUMBER(F706),E706*F706,"")</f>
        <v>14.331674349999998</v>
      </c>
      <c r="H706" s="39">
        <f>SUM(G706:G712)</f>
        <v>122.71869719999999</v>
      </c>
      <c r="I706" s="40"/>
      <c r="J706" s="155">
        <v>0</v>
      </c>
    </row>
    <row r="707" spans="1:10" ht="39" hidden="1" thickBot="1" x14ac:dyDescent="0.3">
      <c r="A707" s="200"/>
      <c r="B707" s="202"/>
      <c r="C707" s="36" t="s">
        <v>1180</v>
      </c>
      <c r="D707" s="36" t="s">
        <v>292</v>
      </c>
      <c r="E707" s="37">
        <f>ROUND(6/(1.5*0.6),4)</f>
        <v>6.6666999999999996</v>
      </c>
      <c r="F707" s="54">
        <v>0.93099999999999994</v>
      </c>
      <c r="G707" s="54">
        <f>IF(ISNUMBER(F707),E707*F707,"")</f>
        <v>6.2066976999999994</v>
      </c>
      <c r="H707" s="73"/>
      <c r="I707" s="74"/>
      <c r="J707" s="155">
        <v>0</v>
      </c>
    </row>
    <row r="708" spans="1:10" ht="26.25" hidden="1" thickBot="1" x14ac:dyDescent="0.3">
      <c r="A708" s="200"/>
      <c r="B708" s="202"/>
      <c r="C708" s="36" t="s">
        <v>262</v>
      </c>
      <c r="D708" s="36" t="s">
        <v>1034</v>
      </c>
      <c r="E708" s="37">
        <f>ROUND(1.005/(1.5*0.6),4)</f>
        <v>1.1167</v>
      </c>
      <c r="F708" s="54" t="s">
        <v>558</v>
      </c>
      <c r="G708" s="54" t="str">
        <f>IF(ISNUMBER(F708),E708*F708,"")</f>
        <v/>
      </c>
      <c r="H708" s="73"/>
      <c r="I708" s="74"/>
      <c r="J708" s="155">
        <v>0</v>
      </c>
    </row>
    <row r="709" spans="1:10" ht="15.75" hidden="1" thickBot="1" x14ac:dyDescent="0.3">
      <c r="A709" s="200"/>
      <c r="B709" s="202"/>
      <c r="C709" s="36" t="s">
        <v>3609</v>
      </c>
      <c r="D709" s="36" t="s">
        <v>938</v>
      </c>
      <c r="E709" s="37">
        <f>ROUND(0.0211/(1.5*0.6),4)</f>
        <v>2.3400000000000001E-2</v>
      </c>
      <c r="F709" s="54">
        <v>52.8675</v>
      </c>
      <c r="G709" s="54">
        <f>IF(ISNUMBER(F709),E709*F709,"")</f>
        <v>1.2370995</v>
      </c>
      <c r="H709" s="73"/>
      <c r="I709" s="74"/>
      <c r="J709" s="155">
        <v>0</v>
      </c>
    </row>
    <row r="710" spans="1:10" ht="26.25" hidden="1" thickBot="1" x14ac:dyDescent="0.3">
      <c r="A710" s="200"/>
      <c r="B710" s="202"/>
      <c r="C710" s="36" t="s">
        <v>3448</v>
      </c>
      <c r="D710" s="36" t="s">
        <v>292</v>
      </c>
      <c r="E710" s="37">
        <f>ROUND(2/(1.5*0.6),4)</f>
        <v>2.2222</v>
      </c>
      <c r="F710" s="54">
        <v>23.065999999999999</v>
      </c>
      <c r="G710" s="54">
        <f>IF(ISNUMBER(F710),E710*F710,"")</f>
        <v>51.257265199999999</v>
      </c>
      <c r="H710" s="73"/>
      <c r="I710" s="74"/>
      <c r="J710" s="155">
        <v>0</v>
      </c>
    </row>
    <row r="711" spans="1:10" ht="15.75" hidden="1" thickBot="1" x14ac:dyDescent="0.3">
      <c r="A711" s="200"/>
      <c r="B711" s="202"/>
      <c r="C711" s="36" t="s">
        <v>3311</v>
      </c>
      <c r="D711" s="36" t="s">
        <v>742</v>
      </c>
      <c r="E711" s="37">
        <f>ROUND(1.4944/(1.5*0.6),4)</f>
        <v>1.6604000000000001</v>
      </c>
      <c r="F711" s="54">
        <v>18.9145</v>
      </c>
      <c r="G711" s="54">
        <f>IF(ISNUMBER(F711),E711*F711,"")</f>
        <v>31.405635800000002</v>
      </c>
      <c r="H711" s="73"/>
      <c r="I711" s="74"/>
      <c r="J711" s="155">
        <v>0</v>
      </c>
    </row>
    <row r="712" spans="1:10" ht="15.75" hidden="1" thickBot="1" x14ac:dyDescent="0.3">
      <c r="A712" s="200"/>
      <c r="B712" s="202"/>
      <c r="C712" s="36" t="s">
        <v>743</v>
      </c>
      <c r="D712" s="36" t="s">
        <v>742</v>
      </c>
      <c r="E712" s="37">
        <f>ROUND(0.9834/(1.5*0.6),4)</f>
        <v>1.0927</v>
      </c>
      <c r="F712" s="54">
        <v>16.729499999999998</v>
      </c>
      <c r="G712" s="54">
        <f>IF(ISNUMBER(F712),E712*F712,"")</f>
        <v>18.280324649999997</v>
      </c>
      <c r="H712" s="73"/>
      <c r="I712" s="74"/>
      <c r="J712" s="155">
        <v>0</v>
      </c>
    </row>
    <row r="713" spans="1:10" ht="15.75" hidden="1" thickBot="1" x14ac:dyDescent="0.3">
      <c r="A713" s="200"/>
      <c r="B713" s="202"/>
      <c r="C713" s="36"/>
      <c r="D713" s="36"/>
      <c r="E713" s="37"/>
      <c r="F713" s="31" t="s">
        <v>558</v>
      </c>
      <c r="G713" s="34" t="str">
        <f>IF(ISNUMBER(F713),E713*F713,"")</f>
        <v/>
      </c>
      <c r="H713" s="35"/>
      <c r="I713" s="31"/>
      <c r="J713" s="155">
        <v>0</v>
      </c>
    </row>
    <row r="714" spans="1:10" ht="15.75" hidden="1" thickBot="1" x14ac:dyDescent="0.3">
      <c r="A714" s="180" t="s">
        <v>263</v>
      </c>
      <c r="B714" s="186" t="str">
        <f>INDEX(Orçamentária!A:B,MATCH(Composições!A714,Orçamentária!A:A,0),2)</f>
        <v>Instalação de bancada de granito ou mármore reaproveitada</v>
      </c>
      <c r="C714" s="41"/>
      <c r="D714" s="26" t="str">
        <f>TRIM(INDEX(Orçamentária!C:C,MATCH(Composições!A714,Orçamentária!A:A,0),1))</f>
        <v>m2</v>
      </c>
      <c r="E714" s="27"/>
      <c r="F714" s="42" t="s">
        <v>558</v>
      </c>
      <c r="G714" s="28" t="str">
        <f>IF(ISNUMBER(F714),E714*F714,"")</f>
        <v/>
      </c>
      <c r="H714" s="29"/>
      <c r="I714" s="30"/>
      <c r="J714" s="155">
        <v>0</v>
      </c>
    </row>
    <row r="715" spans="1:10" ht="15.75" hidden="1" thickBot="1" x14ac:dyDescent="0.3">
      <c r="A715" s="200"/>
      <c r="B715" s="202"/>
      <c r="C715" s="32"/>
      <c r="D715" s="32"/>
      <c r="E715" s="33"/>
      <c r="F715" s="43" t="s">
        <v>558</v>
      </c>
      <c r="G715" s="31" t="str">
        <f>IF(ISNUMBER(F715),E715*F715,"")</f>
        <v/>
      </c>
      <c r="H715" s="35"/>
      <c r="I715" s="31"/>
      <c r="J715" s="155">
        <v>0</v>
      </c>
    </row>
    <row r="716" spans="1:10" ht="15.75" hidden="1" thickBot="1" x14ac:dyDescent="0.3">
      <c r="A716" s="200"/>
      <c r="B716" s="202"/>
      <c r="C716" s="36" t="s">
        <v>3428</v>
      </c>
      <c r="D716" s="36" t="s">
        <v>938</v>
      </c>
      <c r="E716" s="37">
        <f>ROUND(0.5228/(1.5*0.6),4)</f>
        <v>0.58089999999999997</v>
      </c>
      <c r="F716" s="54">
        <v>24.671499999999998</v>
      </c>
      <c r="G716" s="54">
        <f>IF(ISNUMBER(F716),E716*F716,"")</f>
        <v>14.331674349999998</v>
      </c>
      <c r="H716" s="39">
        <f>SUM(G716:G721)</f>
        <v>122.71869719999999</v>
      </c>
      <c r="I716" s="40"/>
      <c r="J716" s="155">
        <v>0</v>
      </c>
    </row>
    <row r="717" spans="1:10" ht="39" hidden="1" thickBot="1" x14ac:dyDescent="0.3">
      <c r="A717" s="200"/>
      <c r="B717" s="202"/>
      <c r="C717" s="36" t="s">
        <v>1180</v>
      </c>
      <c r="D717" s="36" t="s">
        <v>292</v>
      </c>
      <c r="E717" s="37">
        <f>ROUND(6/(1.5*0.6),4)</f>
        <v>6.6666999999999996</v>
      </c>
      <c r="F717" s="54">
        <v>0.93099999999999994</v>
      </c>
      <c r="G717" s="54">
        <f>IF(ISNUMBER(F717),E717*F717,"")</f>
        <v>6.2066976999999994</v>
      </c>
      <c r="H717" s="73"/>
      <c r="I717" s="74"/>
      <c r="J717" s="155">
        <v>0</v>
      </c>
    </row>
    <row r="718" spans="1:10" ht="15.75" hidden="1" thickBot="1" x14ac:dyDescent="0.3">
      <c r="A718" s="200"/>
      <c r="B718" s="202"/>
      <c r="C718" s="36" t="s">
        <v>3609</v>
      </c>
      <c r="D718" s="36" t="s">
        <v>938</v>
      </c>
      <c r="E718" s="37">
        <f>ROUND(0.0211/(1.5*0.6),4)</f>
        <v>2.3400000000000001E-2</v>
      </c>
      <c r="F718" s="54">
        <v>52.8675</v>
      </c>
      <c r="G718" s="54">
        <f>IF(ISNUMBER(F718),E718*F718,"")</f>
        <v>1.2370995</v>
      </c>
      <c r="H718" s="73"/>
      <c r="I718" s="74"/>
      <c r="J718" s="155">
        <v>0</v>
      </c>
    </row>
    <row r="719" spans="1:10" ht="26.25" hidden="1" thickBot="1" x14ac:dyDescent="0.3">
      <c r="A719" s="200"/>
      <c r="B719" s="202"/>
      <c r="C719" s="36" t="s">
        <v>3448</v>
      </c>
      <c r="D719" s="36" t="s">
        <v>292</v>
      </c>
      <c r="E719" s="37">
        <f>ROUND(2/(1.5*0.6),4)</f>
        <v>2.2222</v>
      </c>
      <c r="F719" s="54">
        <v>23.065999999999999</v>
      </c>
      <c r="G719" s="54">
        <f>IF(ISNUMBER(F719),E719*F719,"")</f>
        <v>51.257265199999999</v>
      </c>
      <c r="H719" s="73"/>
      <c r="I719" s="74"/>
      <c r="J719" s="155">
        <v>0</v>
      </c>
    </row>
    <row r="720" spans="1:10" ht="15.75" hidden="1" thickBot="1" x14ac:dyDescent="0.3">
      <c r="A720" s="200"/>
      <c r="B720" s="202"/>
      <c r="C720" s="36" t="s">
        <v>3311</v>
      </c>
      <c r="D720" s="36" t="s">
        <v>742</v>
      </c>
      <c r="E720" s="37">
        <f>ROUND(1.4944/(1.5*0.6),4)</f>
        <v>1.6604000000000001</v>
      </c>
      <c r="F720" s="54">
        <v>18.9145</v>
      </c>
      <c r="G720" s="54">
        <f>IF(ISNUMBER(F720),E720*F720,"")</f>
        <v>31.405635800000002</v>
      </c>
      <c r="H720" s="73"/>
      <c r="I720" s="74"/>
      <c r="J720" s="155">
        <v>0</v>
      </c>
    </row>
    <row r="721" spans="1:10" ht="15.75" hidden="1" thickBot="1" x14ac:dyDescent="0.3">
      <c r="A721" s="200"/>
      <c r="B721" s="202"/>
      <c r="C721" s="36" t="s">
        <v>743</v>
      </c>
      <c r="D721" s="36" t="s">
        <v>742</v>
      </c>
      <c r="E721" s="37">
        <f>ROUND(0.9834/(1.5*0.6),4)</f>
        <v>1.0927</v>
      </c>
      <c r="F721" s="54">
        <v>16.729499999999998</v>
      </c>
      <c r="G721" s="54">
        <f>IF(ISNUMBER(F721),E721*F721,"")</f>
        <v>18.280324649999997</v>
      </c>
      <c r="H721" s="73"/>
      <c r="I721" s="74"/>
      <c r="J721" s="155">
        <v>0</v>
      </c>
    </row>
    <row r="722" spans="1:10" ht="15.75" hidden="1" thickBot="1" x14ac:dyDescent="0.3">
      <c r="A722" s="201"/>
      <c r="B722" s="188"/>
      <c r="C722" s="36"/>
      <c r="D722" s="36"/>
      <c r="E722" s="37"/>
      <c r="F722" s="31" t="s">
        <v>558</v>
      </c>
      <c r="G722" s="31" t="str">
        <f>IF(ISNUMBER(F722),E722*F722,"")</f>
        <v/>
      </c>
      <c r="H722" s="35"/>
      <c r="I722" s="31"/>
      <c r="J722" s="155">
        <v>0</v>
      </c>
    </row>
    <row r="723" spans="1:10" ht="15.75" hidden="1" thickBot="1" x14ac:dyDescent="0.3">
      <c r="A723" s="180" t="s">
        <v>264</v>
      </c>
      <c r="B723" s="186" t="str">
        <f>INDEX(Orçamentária!A:B,MATCH(Composições!A723,Orçamentária!A:A,0),2)</f>
        <v>Instalação de rodapé/rodabanca reaproveitado(a), de mármore ou granito</v>
      </c>
      <c r="C723" s="41"/>
      <c r="D723" s="26" t="str">
        <f>TRIM(INDEX(Orçamentária!C:C,MATCH(Composições!A723,Orçamentária!A:A,0),1))</f>
        <v>m2</v>
      </c>
      <c r="E723" s="27"/>
      <c r="F723" s="42" t="s">
        <v>558</v>
      </c>
      <c r="G723" s="28" t="str">
        <f>IF(ISNUMBER(F723),E723*F723,"")</f>
        <v/>
      </c>
      <c r="H723" s="29"/>
      <c r="I723" s="30"/>
      <c r="J723" s="155">
        <v>0</v>
      </c>
    </row>
    <row r="724" spans="1:10" ht="15.75" hidden="1" thickBot="1" x14ac:dyDescent="0.3">
      <c r="A724" s="200"/>
      <c r="B724" s="202"/>
      <c r="C724" s="32"/>
      <c r="D724" s="32"/>
      <c r="E724" s="33"/>
      <c r="F724" s="43" t="s">
        <v>558</v>
      </c>
      <c r="G724" s="31" t="str">
        <f>IF(ISNUMBER(F724),E724*F724,"")</f>
        <v/>
      </c>
      <c r="H724" s="35"/>
      <c r="I724" s="31"/>
      <c r="J724" s="155">
        <v>0</v>
      </c>
    </row>
    <row r="725" spans="1:10" ht="15.75" hidden="1" thickBot="1" x14ac:dyDescent="0.3">
      <c r="A725" s="200"/>
      <c r="B725" s="202"/>
      <c r="C725" s="36" t="s">
        <v>3619</v>
      </c>
      <c r="D725" s="36" t="s">
        <v>42</v>
      </c>
      <c r="E725" s="37">
        <f>0.8614</f>
        <v>0.86140000000000005</v>
      </c>
      <c r="F725" s="34">
        <v>1.3109999999999999</v>
      </c>
      <c r="G725" s="34">
        <f>IF(ISNUMBER(F725),E725*F725,"")</f>
        <v>1.1292953999999999</v>
      </c>
      <c r="H725" s="39">
        <f>SUM(G725:G728)</f>
        <v>9.5951158999999997</v>
      </c>
      <c r="I725" s="40"/>
      <c r="J725" s="155">
        <v>0</v>
      </c>
    </row>
    <row r="726" spans="1:10" ht="15.75" hidden="1" thickBot="1" x14ac:dyDescent="0.3">
      <c r="A726" s="200"/>
      <c r="B726" s="202"/>
      <c r="C726" s="36" t="s">
        <v>54</v>
      </c>
      <c r="D726" s="36" t="s">
        <v>12</v>
      </c>
      <c r="E726" s="37">
        <f>0.299</f>
        <v>0.29899999999999999</v>
      </c>
      <c r="F726" s="31">
        <v>18.9145</v>
      </c>
      <c r="G726" s="34">
        <f>IF(ISNUMBER(F726),E726*F726,"")</f>
        <v>5.6554355000000003</v>
      </c>
      <c r="H726" s="35"/>
      <c r="I726" s="31"/>
      <c r="J726" s="155">
        <v>0</v>
      </c>
    </row>
    <row r="727" spans="1:10" ht="15.75" hidden="1" thickBot="1" x14ac:dyDescent="0.3">
      <c r="A727" s="200"/>
      <c r="B727" s="202"/>
      <c r="C727" s="36" t="s">
        <v>23</v>
      </c>
      <c r="D727" s="36" t="s">
        <v>12</v>
      </c>
      <c r="E727" s="37">
        <f>0.15</f>
        <v>0.15</v>
      </c>
      <c r="F727" s="31">
        <v>16.729499999999998</v>
      </c>
      <c r="G727" s="34">
        <f>IF(ISNUMBER(F727),E727*F727,"")</f>
        <v>2.5094249999999998</v>
      </c>
      <c r="H727" s="35"/>
      <c r="I727" s="31"/>
      <c r="J727" s="155">
        <v>0</v>
      </c>
    </row>
    <row r="728" spans="1:10" ht="15.75" hidden="1" thickBot="1" x14ac:dyDescent="0.3">
      <c r="A728" s="200"/>
      <c r="B728" s="202"/>
      <c r="C728" s="36" t="s">
        <v>3618</v>
      </c>
      <c r="D728" s="36" t="s">
        <v>42</v>
      </c>
      <c r="E728" s="37">
        <f>0.12</f>
        <v>0.12</v>
      </c>
      <c r="F728" s="34">
        <v>2.508</v>
      </c>
      <c r="G728" s="34">
        <f>IF(ISNUMBER(F728),E728*F728,"")</f>
        <v>0.30096000000000001</v>
      </c>
      <c r="H728" s="35"/>
      <c r="I728" s="31"/>
      <c r="J728" s="155">
        <v>0</v>
      </c>
    </row>
    <row r="729" spans="1:10" ht="15.75" hidden="1" thickBot="1" x14ac:dyDescent="0.3">
      <c r="A729" s="201"/>
      <c r="B729" s="188"/>
      <c r="C729" s="36"/>
      <c r="D729" s="36"/>
      <c r="E729" s="37"/>
      <c r="F729" s="31" t="s">
        <v>558</v>
      </c>
      <c r="G729" s="31" t="str">
        <f>IF(ISNUMBER(F729),E729*F729,"")</f>
        <v/>
      </c>
      <c r="H729" s="35"/>
      <c r="I729" s="31"/>
      <c r="J729" s="155">
        <v>0</v>
      </c>
    </row>
    <row r="730" spans="1:10" ht="15.75" hidden="1" thickBot="1" x14ac:dyDescent="0.3">
      <c r="A730" s="180" t="s">
        <v>265</v>
      </c>
      <c r="B730" s="186" t="str">
        <f>INDEX(Orçamentária!A:B,MATCH(Composições!A730,Orçamentária!A:A,0),2)</f>
        <v>Instalação de soleira ou peitoril, de mármore ou granito, reaproveitados</v>
      </c>
      <c r="C730" s="41"/>
      <c r="D730" s="26" t="str">
        <f>TRIM(INDEX(Orçamentária!C:C,MATCH(Composições!A730,Orçamentária!A:A,0),1))</f>
        <v>m2</v>
      </c>
      <c r="E730" s="27"/>
      <c r="F730" s="42" t="s">
        <v>558</v>
      </c>
      <c r="G730" s="28" t="str">
        <f>IF(ISNUMBER(F730),E730*F730,"")</f>
        <v/>
      </c>
      <c r="H730" s="29"/>
      <c r="I730" s="30"/>
      <c r="J730" s="155">
        <v>0</v>
      </c>
    </row>
    <row r="731" spans="1:10" ht="15.75" hidden="1" thickBot="1" x14ac:dyDescent="0.3">
      <c r="A731" s="200"/>
      <c r="B731" s="202"/>
      <c r="C731" s="32"/>
      <c r="D731" s="32"/>
      <c r="E731" s="33"/>
      <c r="F731" s="43" t="s">
        <v>558</v>
      </c>
      <c r="G731" s="31" t="str">
        <f>IF(ISNUMBER(F731),E731*F731,"")</f>
        <v/>
      </c>
      <c r="H731" s="35"/>
      <c r="I731" s="31"/>
      <c r="J731" s="155">
        <v>0</v>
      </c>
    </row>
    <row r="732" spans="1:10" ht="15.75" hidden="1" thickBot="1" x14ac:dyDescent="0.3">
      <c r="A732" s="200"/>
      <c r="B732" s="202"/>
      <c r="C732" s="36" t="s">
        <v>54</v>
      </c>
      <c r="D732" s="36" t="s">
        <v>12</v>
      </c>
      <c r="E732" s="37">
        <v>1.1879999999999999</v>
      </c>
      <c r="F732" s="31">
        <v>18.9145</v>
      </c>
      <c r="G732" s="34">
        <f>IF(ISNUMBER(F732),E732*F732,"")</f>
        <v>22.470426</v>
      </c>
      <c r="H732" s="39">
        <f>SUM(G732:G734)</f>
        <v>43.708568999999997</v>
      </c>
      <c r="I732" s="40"/>
      <c r="J732" s="155">
        <v>0</v>
      </c>
    </row>
    <row r="733" spans="1:10" ht="15.75" hidden="1" thickBot="1" x14ac:dyDescent="0.3">
      <c r="A733" s="200"/>
      <c r="B733" s="202"/>
      <c r="C733" s="36" t="s">
        <v>23</v>
      </c>
      <c r="D733" s="36" t="s">
        <v>12</v>
      </c>
      <c r="E733" s="37">
        <v>0.59399999999999997</v>
      </c>
      <c r="F733" s="31">
        <v>16.729499999999998</v>
      </c>
      <c r="G733" s="34">
        <f>IF(ISNUMBER(F733),E733*F733,"")</f>
        <v>9.9373229999999992</v>
      </c>
      <c r="H733" s="35"/>
      <c r="I733" s="31"/>
      <c r="J733" s="155">
        <v>0</v>
      </c>
    </row>
    <row r="734" spans="1:10" ht="15.75" hidden="1" thickBot="1" x14ac:dyDescent="0.3">
      <c r="A734" s="200"/>
      <c r="B734" s="202"/>
      <c r="C734" s="36" t="s">
        <v>3619</v>
      </c>
      <c r="D734" s="36" t="s">
        <v>42</v>
      </c>
      <c r="E734" s="37">
        <v>8.6199999999999992</v>
      </c>
      <c r="F734" s="34">
        <v>1.3109999999999999</v>
      </c>
      <c r="G734" s="34">
        <f>IF(ISNUMBER(F734),E734*F734,"")</f>
        <v>11.300819999999998</v>
      </c>
      <c r="H734" s="35"/>
      <c r="I734" s="31"/>
      <c r="J734" s="155">
        <v>0</v>
      </c>
    </row>
    <row r="735" spans="1:10" ht="15.75" hidden="1" thickBot="1" x14ac:dyDescent="0.3">
      <c r="A735" s="201"/>
      <c r="B735" s="188"/>
      <c r="C735" s="36"/>
      <c r="D735" s="36"/>
      <c r="E735" s="37"/>
      <c r="F735" s="31" t="s">
        <v>558</v>
      </c>
      <c r="G735" s="31" t="str">
        <f>IF(ISNUMBER(F735),E735*F735,"")</f>
        <v/>
      </c>
      <c r="H735" s="35"/>
      <c r="I735" s="31"/>
      <c r="J735" s="155">
        <v>0</v>
      </c>
    </row>
    <row r="736" spans="1:10" ht="15.75" hidden="1" thickBot="1" x14ac:dyDescent="0.3">
      <c r="A736" s="180" t="s">
        <v>266</v>
      </c>
      <c r="B736" s="186" t="str">
        <f>INDEX(Orçamentária!A:B,MATCH(Composições!A736,Orçamentária!A:A,0),2)</f>
        <v>Mármore Branco Especial 20mm para rodabancada</v>
      </c>
      <c r="C736" s="41"/>
      <c r="D736" s="26" t="str">
        <f>TRIM(INDEX(Orçamentária!C:C,MATCH(Composições!A736,Orçamentária!A:A,0),1))</f>
        <v>m2</v>
      </c>
      <c r="E736" s="27"/>
      <c r="F736" s="42" t="s">
        <v>558</v>
      </c>
      <c r="G736" s="28" t="str">
        <f>IF(ISNUMBER(F736),E736*F736,"")</f>
        <v/>
      </c>
      <c r="H736" s="29"/>
      <c r="I736" s="30"/>
      <c r="J736" s="155">
        <v>0</v>
      </c>
    </row>
    <row r="737" spans="1:10" ht="15.75" hidden="1" thickBot="1" x14ac:dyDescent="0.3">
      <c r="A737" s="200"/>
      <c r="B737" s="202"/>
      <c r="C737" s="32"/>
      <c r="D737" s="32"/>
      <c r="E737" s="33"/>
      <c r="F737" s="43" t="s">
        <v>558</v>
      </c>
      <c r="G737" s="31" t="str">
        <f>IF(ISNUMBER(F737),E737*F737,"")</f>
        <v/>
      </c>
      <c r="H737" s="35"/>
      <c r="I737" s="31"/>
      <c r="J737" s="155">
        <v>0</v>
      </c>
    </row>
    <row r="738" spans="1:10" ht="26.25" hidden="1" thickBot="1" x14ac:dyDescent="0.3">
      <c r="A738" s="200"/>
      <c r="B738" s="202"/>
      <c r="C738" s="36" t="s">
        <v>267</v>
      </c>
      <c r="D738" s="36" t="s">
        <v>93</v>
      </c>
      <c r="E738" s="37">
        <f>ROUND(1.04/0.15,4)</f>
        <v>6.9333</v>
      </c>
      <c r="F738" s="34" t="s">
        <v>558</v>
      </c>
      <c r="G738" s="34" t="str">
        <f>IF(ISNUMBER(F738),E738*F738,"")</f>
        <v/>
      </c>
      <c r="H738" s="39">
        <f>SUM(G738:G742)</f>
        <v>44.059688999999999</v>
      </c>
      <c r="I738" s="40"/>
      <c r="J738" s="155">
        <v>0</v>
      </c>
    </row>
    <row r="739" spans="1:10" ht="15.75" hidden="1" thickBot="1" x14ac:dyDescent="0.3">
      <c r="A739" s="200"/>
      <c r="B739" s="202"/>
      <c r="C739" s="36" t="s">
        <v>3619</v>
      </c>
      <c r="D739" s="36" t="s">
        <v>42</v>
      </c>
      <c r="E739" s="37">
        <v>8.6199999999999992</v>
      </c>
      <c r="F739" s="34">
        <v>1.3109999999999999</v>
      </c>
      <c r="G739" s="34">
        <f>IF(ISNUMBER(F739),E739*F739,"")</f>
        <v>11.300819999999998</v>
      </c>
      <c r="H739" s="35"/>
      <c r="I739" s="31"/>
      <c r="J739" s="155">
        <v>0</v>
      </c>
    </row>
    <row r="740" spans="1:10" ht="15.75" hidden="1" thickBot="1" x14ac:dyDescent="0.3">
      <c r="A740" s="200"/>
      <c r="B740" s="202"/>
      <c r="C740" s="36" t="s">
        <v>54</v>
      </c>
      <c r="D740" s="36" t="s">
        <v>12</v>
      </c>
      <c r="E740" s="37">
        <v>1.1879999999999999</v>
      </c>
      <c r="F740" s="31">
        <v>18.9145</v>
      </c>
      <c r="G740" s="34">
        <f>IF(ISNUMBER(F740),E740*F740,"")</f>
        <v>22.470426</v>
      </c>
      <c r="H740" s="35"/>
      <c r="I740" s="31"/>
      <c r="J740" s="155">
        <v>0</v>
      </c>
    </row>
    <row r="741" spans="1:10" ht="15.75" hidden="1" thickBot="1" x14ac:dyDescent="0.3">
      <c r="A741" s="200"/>
      <c r="B741" s="202"/>
      <c r="C741" s="36" t="s">
        <v>23</v>
      </c>
      <c r="D741" s="36" t="s">
        <v>12</v>
      </c>
      <c r="E741" s="37">
        <v>0.59399999999999997</v>
      </c>
      <c r="F741" s="31">
        <v>16.729499999999998</v>
      </c>
      <c r="G741" s="34">
        <f>IF(ISNUMBER(F741),E741*F741,"")</f>
        <v>9.9373229999999992</v>
      </c>
      <c r="H741" s="35"/>
      <c r="I741" s="31"/>
      <c r="J741" s="155">
        <v>0</v>
      </c>
    </row>
    <row r="742" spans="1:10" ht="15.75" hidden="1" thickBot="1" x14ac:dyDescent="0.3">
      <c r="A742" s="200"/>
      <c r="B742" s="202"/>
      <c r="C742" s="36" t="s">
        <v>3618</v>
      </c>
      <c r="D742" s="36" t="s">
        <v>42</v>
      </c>
      <c r="E742" s="37">
        <v>0.14000000000000001</v>
      </c>
      <c r="F742" s="34">
        <v>2.508</v>
      </c>
      <c r="G742" s="34">
        <f>IF(ISNUMBER(F742),E742*F742,"")</f>
        <v>0.35112000000000004</v>
      </c>
      <c r="H742" s="35"/>
      <c r="I742" s="31"/>
      <c r="J742" s="155">
        <v>0</v>
      </c>
    </row>
    <row r="743" spans="1:10" ht="15.75" hidden="1" thickBot="1" x14ac:dyDescent="0.3">
      <c r="A743" s="200"/>
      <c r="B743" s="202"/>
      <c r="C743" s="36"/>
      <c r="D743" s="36"/>
      <c r="E743" s="37"/>
      <c r="F743" s="34" t="s">
        <v>558</v>
      </c>
      <c r="G743" s="34" t="str">
        <f>IF(ISNUMBER(F743),E743*F743,"")</f>
        <v/>
      </c>
      <c r="H743" s="35"/>
      <c r="I743" s="31"/>
      <c r="J743" s="155">
        <v>0</v>
      </c>
    </row>
    <row r="744" spans="1:10" ht="15.75" hidden="1" thickBot="1" x14ac:dyDescent="0.3">
      <c r="A744" s="180" t="s">
        <v>268</v>
      </c>
      <c r="B744" s="186" t="str">
        <f>INDEX(Orçamentária!A:B,MATCH(Composições!A744,Orçamentária!A:A,0),2)</f>
        <v>Instalação de divisória e porta de divisória com dobradiça reaproveitadas</v>
      </c>
      <c r="C744" s="41"/>
      <c r="D744" s="26" t="str">
        <f>TRIM(INDEX(Orçamentária!C:C,MATCH(Composições!A744,Orçamentária!A:A,0),1))</f>
        <v>m2</v>
      </c>
      <c r="E744" s="27"/>
      <c r="F744" s="42" t="s">
        <v>558</v>
      </c>
      <c r="G744" s="28" t="str">
        <f>IF(ISNUMBER(F744),E744*F744,"")</f>
        <v/>
      </c>
      <c r="H744" s="29"/>
      <c r="I744" s="30"/>
      <c r="J744" s="155">
        <v>0</v>
      </c>
    </row>
    <row r="745" spans="1:10" ht="15.75" hidden="1" thickBot="1" x14ac:dyDescent="0.3">
      <c r="A745" s="200"/>
      <c r="B745" s="202"/>
      <c r="C745" s="32"/>
      <c r="D745" s="32"/>
      <c r="E745" s="33"/>
      <c r="F745" s="43" t="s">
        <v>558</v>
      </c>
      <c r="G745" s="31" t="str">
        <f>IF(ISNUMBER(F745),E745*F745,"")</f>
        <v/>
      </c>
      <c r="H745" s="35"/>
      <c r="I745" s="31"/>
      <c r="J745" s="155">
        <v>0</v>
      </c>
    </row>
    <row r="746" spans="1:10" ht="26.25" hidden="1" thickBot="1" x14ac:dyDescent="0.3">
      <c r="A746" s="200"/>
      <c r="B746" s="202"/>
      <c r="C746" s="36" t="s">
        <v>269</v>
      </c>
      <c r="D746" s="47" t="s">
        <v>95</v>
      </c>
      <c r="E746" s="37">
        <v>1</v>
      </c>
      <c r="F746" s="31">
        <v>0.95</v>
      </c>
      <c r="G746" s="34">
        <f>IF(ISNUMBER(F746),E746*F746,"")</f>
        <v>0.95</v>
      </c>
      <c r="H746" s="39">
        <f>SUM(G746:G746)</f>
        <v>0.95</v>
      </c>
      <c r="I746" s="40"/>
      <c r="J746" s="155">
        <v>0</v>
      </c>
    </row>
    <row r="747" spans="1:10" ht="15.75" hidden="1" thickBot="1" x14ac:dyDescent="0.3">
      <c r="A747" s="201"/>
      <c r="B747" s="188"/>
      <c r="C747" s="36"/>
      <c r="D747" s="36"/>
      <c r="E747" s="37"/>
      <c r="F747" s="31" t="s">
        <v>558</v>
      </c>
      <c r="G747" s="31" t="str">
        <f>IF(ISNUMBER(F747),E747*F747,"")</f>
        <v/>
      </c>
      <c r="H747" s="35"/>
      <c r="I747" s="31"/>
      <c r="J747" s="155">
        <v>0</v>
      </c>
    </row>
    <row r="748" spans="1:10" ht="15.75" hidden="1" thickBot="1" x14ac:dyDescent="0.3">
      <c r="A748" s="180" t="s">
        <v>270</v>
      </c>
      <c r="B748" s="186" t="str">
        <f>INDEX(Orçamentária!A:B,MATCH(Composições!A748,Orçamentária!A:A,0),2)</f>
        <v>Alçapão em forro de gesso acartonado</v>
      </c>
      <c r="C748" s="41"/>
      <c r="D748" s="26" t="str">
        <f>TRIM(INDEX(Orçamentária!C:C,MATCH(Composições!A748,Orçamentária!A:A,0),1))</f>
        <v>m2</v>
      </c>
      <c r="E748" s="27"/>
      <c r="F748" s="42" t="s">
        <v>558</v>
      </c>
      <c r="G748" s="28" t="str">
        <f>IF(ISNUMBER(F748),E748*F748,"")</f>
        <v/>
      </c>
      <c r="H748" s="29"/>
      <c r="I748" s="30"/>
      <c r="J748" s="155">
        <v>0</v>
      </c>
    </row>
    <row r="749" spans="1:10" ht="15.75" hidden="1" thickBot="1" x14ac:dyDescent="0.3">
      <c r="A749" s="200"/>
      <c r="B749" s="202"/>
      <c r="C749" s="32"/>
      <c r="D749" s="32"/>
      <c r="E749" s="33"/>
      <c r="F749" s="43" t="s">
        <v>558</v>
      </c>
      <c r="G749" s="31" t="str">
        <f>IF(ISNUMBER(F749),E749*F749,"")</f>
        <v/>
      </c>
      <c r="H749" s="35"/>
      <c r="I749" s="31"/>
      <c r="J749" s="155">
        <v>0</v>
      </c>
    </row>
    <row r="750" spans="1:10" ht="26.25" hidden="1" thickBot="1" x14ac:dyDescent="0.3">
      <c r="A750" s="200"/>
      <c r="B750" s="202"/>
      <c r="C750" s="36" t="s">
        <v>271</v>
      </c>
      <c r="D750" s="47" t="s">
        <v>93</v>
      </c>
      <c r="E750" s="37">
        <f>2*(1.5+0.67)</f>
        <v>4.34</v>
      </c>
      <c r="F750" s="34">
        <v>4.9874999999999998</v>
      </c>
      <c r="G750" s="34">
        <f>IF(ISNUMBER(F750),E750*F750,"")</f>
        <v>21.64575</v>
      </c>
      <c r="H750" s="39">
        <f>SUM(G750:G753)</f>
        <v>60.966250000000002</v>
      </c>
      <c r="I750" s="40"/>
      <c r="J750" s="155">
        <v>0</v>
      </c>
    </row>
    <row r="751" spans="1:10" ht="15.75" hidden="1" thickBot="1" x14ac:dyDescent="0.3">
      <c r="A751" s="200"/>
      <c r="B751" s="202"/>
      <c r="C751" s="36" t="s">
        <v>272</v>
      </c>
      <c r="D751" s="47" t="s">
        <v>95</v>
      </c>
      <c r="E751" s="37">
        <f>0.36/0.6/0.6</f>
        <v>1</v>
      </c>
      <c r="F751" s="34" t="s">
        <v>558</v>
      </c>
      <c r="G751" s="34" t="str">
        <f>IF(ISNUMBER(F751),E751*F751,"")</f>
        <v/>
      </c>
      <c r="H751" s="35"/>
      <c r="I751" s="31"/>
      <c r="J751" s="155">
        <v>0</v>
      </c>
    </row>
    <row r="752" spans="1:10" ht="15.75" hidden="1" thickBot="1" x14ac:dyDescent="0.3">
      <c r="A752" s="200"/>
      <c r="B752" s="202"/>
      <c r="C752" s="36" t="s">
        <v>184</v>
      </c>
      <c r="D752" s="47" t="s">
        <v>12</v>
      </c>
      <c r="E752" s="37">
        <v>1</v>
      </c>
      <c r="F752" s="31">
        <v>22.591000000000001</v>
      </c>
      <c r="G752" s="34">
        <f>IF(ISNUMBER(F752),E752*F752,"")</f>
        <v>22.591000000000001</v>
      </c>
      <c r="H752" s="35"/>
      <c r="I752" s="31"/>
      <c r="J752" s="155">
        <v>0</v>
      </c>
    </row>
    <row r="753" spans="1:10" ht="15.75" hidden="1" thickBot="1" x14ac:dyDescent="0.3">
      <c r="A753" s="200"/>
      <c r="B753" s="202"/>
      <c r="C753" s="36" t="s">
        <v>23</v>
      </c>
      <c r="D753" s="47" t="s">
        <v>12</v>
      </c>
      <c r="E753" s="37">
        <v>1</v>
      </c>
      <c r="F753" s="31">
        <v>16.729499999999998</v>
      </c>
      <c r="G753" s="34">
        <f>IF(ISNUMBER(F753),E753*F753,"")</f>
        <v>16.729499999999998</v>
      </c>
      <c r="H753" s="35"/>
      <c r="I753" s="31"/>
      <c r="J753" s="155">
        <v>0</v>
      </c>
    </row>
    <row r="754" spans="1:10" ht="15.75" hidden="1" thickBot="1" x14ac:dyDescent="0.3">
      <c r="A754" s="201"/>
      <c r="B754" s="188"/>
      <c r="C754" s="36"/>
      <c r="D754" s="36"/>
      <c r="E754" s="37"/>
      <c r="F754" s="31" t="s">
        <v>558</v>
      </c>
      <c r="G754" s="31" t="str">
        <f>IF(ISNUMBER(F754),E754*F754,"")</f>
        <v/>
      </c>
      <c r="H754" s="35"/>
      <c r="I754" s="31"/>
      <c r="J754" s="155">
        <v>0</v>
      </c>
    </row>
    <row r="755" spans="1:10" ht="15.75" hidden="1" thickBot="1" x14ac:dyDescent="0.3">
      <c r="A755" s="180" t="s">
        <v>273</v>
      </c>
      <c r="B755" s="186" t="str">
        <f>INDEX(Orçamentária!A:B,MATCH(Composições!A755,Orçamentária!A:A,0),2)</f>
        <v>Forro de PVC em réguas de 100 x 6000mm</v>
      </c>
      <c r="C755" s="41"/>
      <c r="D755" s="26" t="str">
        <f>TRIM(INDEX(Orçamentária!C:C,MATCH(Composições!A755,Orçamentária!A:A,0),1))</f>
        <v>m2</v>
      </c>
      <c r="E755" s="27"/>
      <c r="F755" s="42" t="s">
        <v>558</v>
      </c>
      <c r="G755" s="28" t="str">
        <f>IF(ISNUMBER(F755),E755*F755,"")</f>
        <v/>
      </c>
      <c r="H755" s="29"/>
      <c r="I755" s="30"/>
      <c r="J755" s="155">
        <v>0</v>
      </c>
    </row>
    <row r="756" spans="1:10" ht="15.75" hidden="1" thickBot="1" x14ac:dyDescent="0.3">
      <c r="A756" s="200"/>
      <c r="B756" s="202"/>
      <c r="C756" s="32"/>
      <c r="D756" s="32"/>
      <c r="E756" s="33"/>
      <c r="F756" s="43" t="s">
        <v>558</v>
      </c>
      <c r="G756" s="31" t="str">
        <f>IF(ISNUMBER(F756),E756*F756,"")</f>
        <v/>
      </c>
      <c r="H756" s="35"/>
      <c r="I756" s="31"/>
      <c r="J756" s="155">
        <v>0</v>
      </c>
    </row>
    <row r="757" spans="1:10" ht="26.25" hidden="1" thickBot="1" x14ac:dyDescent="0.3">
      <c r="A757" s="200"/>
      <c r="B757" s="202"/>
      <c r="C757" s="36" t="s">
        <v>274</v>
      </c>
      <c r="D757" s="47" t="s">
        <v>42</v>
      </c>
      <c r="E757" s="37">
        <v>4.2599999999999999E-2</v>
      </c>
      <c r="F757" s="34">
        <v>25.27</v>
      </c>
      <c r="G757" s="31">
        <f>IF(ISNUMBER(F757),E757*F757,"")</f>
        <v>1.0765019999999998</v>
      </c>
      <c r="H757" s="39">
        <f>SUM(G757:G764)</f>
        <v>66.217537449999995</v>
      </c>
      <c r="I757" s="40"/>
      <c r="J757" s="155">
        <v>0</v>
      </c>
    </row>
    <row r="758" spans="1:10" ht="26.25" hidden="1" thickBot="1" x14ac:dyDescent="0.3">
      <c r="A758" s="200"/>
      <c r="B758" s="202"/>
      <c r="C758" s="36" t="s">
        <v>275</v>
      </c>
      <c r="D758" s="47" t="s">
        <v>95</v>
      </c>
      <c r="E758" s="37">
        <v>1.0955999999999999</v>
      </c>
      <c r="F758" s="34">
        <v>26.599999999999998</v>
      </c>
      <c r="G758" s="31">
        <f>IF(ISNUMBER(F758),E758*F758,"")</f>
        <v>29.142959999999995</v>
      </c>
      <c r="H758" s="35"/>
      <c r="I758" s="31"/>
      <c r="J758" s="155">
        <v>0</v>
      </c>
    </row>
    <row r="759" spans="1:10" ht="26.25" hidden="1" thickBot="1" x14ac:dyDescent="0.3">
      <c r="A759" s="200"/>
      <c r="B759" s="202"/>
      <c r="C759" s="36" t="s">
        <v>276</v>
      </c>
      <c r="D759" s="47" t="s">
        <v>93</v>
      </c>
      <c r="E759" s="37">
        <v>3.8498999999999999</v>
      </c>
      <c r="F759" s="34">
        <v>5.9375</v>
      </c>
      <c r="G759" s="31">
        <f>IF(ISNUMBER(F759),E759*F759,"")</f>
        <v>22.85878125</v>
      </c>
      <c r="H759" s="35"/>
      <c r="I759" s="31"/>
      <c r="J759" s="155">
        <v>0</v>
      </c>
    </row>
    <row r="760" spans="1:10" ht="26.25" hidden="1" thickBot="1" x14ac:dyDescent="0.3">
      <c r="A760" s="200"/>
      <c r="B760" s="202"/>
      <c r="C760" s="36" t="s">
        <v>277</v>
      </c>
      <c r="D760" s="47" t="s">
        <v>20</v>
      </c>
      <c r="E760" s="37">
        <v>1.3265</v>
      </c>
      <c r="F760" s="34">
        <v>2.2324999999999999</v>
      </c>
      <c r="G760" s="31">
        <f>IF(ISNUMBER(F760),E760*F760,"")</f>
        <v>2.9614112499999998</v>
      </c>
      <c r="H760" s="35"/>
      <c r="I760" s="31"/>
      <c r="J760" s="155">
        <v>0</v>
      </c>
    </row>
    <row r="761" spans="1:10" ht="26.25" hidden="1" thickBot="1" x14ac:dyDescent="0.3">
      <c r="A761" s="200"/>
      <c r="B761" s="202"/>
      <c r="C761" s="36" t="s">
        <v>165</v>
      </c>
      <c r="D761" s="47" t="s">
        <v>20</v>
      </c>
      <c r="E761" s="37">
        <v>2.1911999999999998</v>
      </c>
      <c r="F761" s="34">
        <v>0.152</v>
      </c>
      <c r="G761" s="31">
        <f>IF(ISNUMBER(F761),E761*F761,"")</f>
        <v>0.33306239999999998</v>
      </c>
      <c r="H761" s="35"/>
      <c r="I761" s="31"/>
      <c r="J761" s="155">
        <v>0</v>
      </c>
    </row>
    <row r="762" spans="1:10" ht="26.25" hidden="1" thickBot="1" x14ac:dyDescent="0.3">
      <c r="A762" s="200"/>
      <c r="B762" s="202"/>
      <c r="C762" s="36" t="s">
        <v>278</v>
      </c>
      <c r="D762" s="47" t="s">
        <v>156</v>
      </c>
      <c r="E762" s="37">
        <v>1.32E-2</v>
      </c>
      <c r="F762" s="34">
        <v>17.147500000000001</v>
      </c>
      <c r="G762" s="31">
        <f>IF(ISNUMBER(F762),E762*F762,"")</f>
        <v>0.22634700000000002</v>
      </c>
      <c r="H762" s="35"/>
      <c r="I762" s="31"/>
      <c r="J762" s="155">
        <v>0</v>
      </c>
    </row>
    <row r="763" spans="1:10" ht="26.25" hidden="1" thickBot="1" x14ac:dyDescent="0.3">
      <c r="A763" s="200"/>
      <c r="B763" s="202"/>
      <c r="C763" s="36" t="s">
        <v>279</v>
      </c>
      <c r="D763" s="47" t="s">
        <v>156</v>
      </c>
      <c r="E763" s="37">
        <v>3.3300000000000003E-2</v>
      </c>
      <c r="F763" s="34">
        <v>29.402499999999996</v>
      </c>
      <c r="G763" s="31">
        <f>IF(ISNUMBER(F763),E763*F763,"")</f>
        <v>0.97910324999999998</v>
      </c>
      <c r="H763" s="35"/>
      <c r="I763" s="31"/>
      <c r="J763" s="155">
        <v>0</v>
      </c>
    </row>
    <row r="764" spans="1:10" ht="15.75" hidden="1" thickBot="1" x14ac:dyDescent="0.3">
      <c r="A764" s="200"/>
      <c r="B764" s="202"/>
      <c r="C764" s="36" t="s">
        <v>27</v>
      </c>
      <c r="D764" s="47" t="s">
        <v>12</v>
      </c>
      <c r="E764" s="37">
        <v>0.49940000000000001</v>
      </c>
      <c r="F764" s="31">
        <v>17.299499999999998</v>
      </c>
      <c r="G764" s="31">
        <f>IF(ISNUMBER(F764),E764*F764,"")</f>
        <v>8.6393702999999995</v>
      </c>
      <c r="H764" s="35"/>
      <c r="I764" s="31"/>
      <c r="J764" s="155">
        <v>0</v>
      </c>
    </row>
    <row r="765" spans="1:10" ht="15.75" hidden="1" thickBot="1" x14ac:dyDescent="0.3">
      <c r="A765" s="201"/>
      <c r="B765" s="188"/>
      <c r="C765" s="36"/>
      <c r="D765" s="36"/>
      <c r="E765" s="37"/>
      <c r="F765" s="31" t="s">
        <v>558</v>
      </c>
      <c r="G765" s="31" t="str">
        <f>IF(ISNUMBER(F765),E765*F765,"")</f>
        <v/>
      </c>
      <c r="H765" s="35"/>
      <c r="I765" s="31"/>
      <c r="J765" s="155">
        <v>0</v>
      </c>
    </row>
    <row r="766" spans="1:10" ht="15.75" hidden="1" thickBot="1" x14ac:dyDescent="0.3">
      <c r="A766" s="180" t="s">
        <v>280</v>
      </c>
      <c r="B766" s="186" t="str">
        <f>INDEX(Orçamentária!A:B,MATCH(Composições!A766,Orçamentária!A:A,0),2)</f>
        <v>Forro de PVC em réguas de 100 x 6000mm, sem estrutura</v>
      </c>
      <c r="C766" s="41"/>
      <c r="D766" s="26" t="str">
        <f>TRIM(INDEX(Orçamentária!C:C,MATCH(Composições!A766,Orçamentária!A:A,0),1))</f>
        <v>m2</v>
      </c>
      <c r="E766" s="27"/>
      <c r="F766" s="42" t="s">
        <v>558</v>
      </c>
      <c r="G766" s="28" t="str">
        <f>IF(ISNUMBER(F766),E766*F766,"")</f>
        <v/>
      </c>
      <c r="H766" s="29"/>
      <c r="I766" s="30"/>
      <c r="J766" s="155">
        <v>0</v>
      </c>
    </row>
    <row r="767" spans="1:10" ht="15.75" hidden="1" thickBot="1" x14ac:dyDescent="0.3">
      <c r="A767" s="200"/>
      <c r="B767" s="202"/>
      <c r="C767" s="32"/>
      <c r="D767" s="32"/>
      <c r="E767" s="33"/>
      <c r="F767" s="43" t="s">
        <v>558</v>
      </c>
      <c r="G767" s="31" t="str">
        <f>IF(ISNUMBER(F767),E767*F767,"")</f>
        <v/>
      </c>
      <c r="H767" s="35"/>
      <c r="I767" s="31"/>
      <c r="J767" s="155">
        <v>0</v>
      </c>
    </row>
    <row r="768" spans="1:10" ht="26.25" hidden="1" thickBot="1" x14ac:dyDescent="0.3">
      <c r="A768" s="200"/>
      <c r="B768" s="202"/>
      <c r="C768" s="36" t="s">
        <v>275</v>
      </c>
      <c r="D768" s="47" t="s">
        <v>95</v>
      </c>
      <c r="E768" s="37">
        <v>1.0955999999999999</v>
      </c>
      <c r="F768" s="34">
        <v>26.599999999999998</v>
      </c>
      <c r="G768" s="31">
        <f>IF(ISNUMBER(F768),E768*F768,"")</f>
        <v>29.142959999999995</v>
      </c>
      <c r="H768" s="39">
        <f>SUM(G768:G770)</f>
        <v>32.067487499999991</v>
      </c>
      <c r="I768" s="40"/>
      <c r="J768" s="155">
        <v>0</v>
      </c>
    </row>
    <row r="769" spans="1:10" ht="26.25" hidden="1" thickBot="1" x14ac:dyDescent="0.3">
      <c r="A769" s="200"/>
      <c r="B769" s="202"/>
      <c r="C769" s="36" t="s">
        <v>165</v>
      </c>
      <c r="D769" s="47" t="s">
        <v>20</v>
      </c>
      <c r="E769" s="37">
        <v>2.1911999999999998</v>
      </c>
      <c r="F769" s="34">
        <v>0.152</v>
      </c>
      <c r="G769" s="34">
        <f>IF(ISNUMBER(F769),E769*F769,"")</f>
        <v>0.33306239999999998</v>
      </c>
      <c r="H769" s="44"/>
      <c r="I769" s="40"/>
      <c r="J769" s="155">
        <v>0</v>
      </c>
    </row>
    <row r="770" spans="1:10" ht="15.75" hidden="1" thickBot="1" x14ac:dyDescent="0.3">
      <c r="A770" s="200"/>
      <c r="B770" s="202"/>
      <c r="C770" s="36" t="s">
        <v>27</v>
      </c>
      <c r="D770" s="47" t="s">
        <v>12</v>
      </c>
      <c r="E770" s="37">
        <f>ROUND(0.4994*0.3,4)</f>
        <v>0.14979999999999999</v>
      </c>
      <c r="F770" s="31">
        <v>17.299499999999998</v>
      </c>
      <c r="G770" s="34">
        <f>IF(ISNUMBER(F770),E770*F770,"")</f>
        <v>2.5914650999999997</v>
      </c>
      <c r="H770" s="35"/>
      <c r="I770" s="31"/>
      <c r="J770" s="155">
        <v>0</v>
      </c>
    </row>
    <row r="771" spans="1:10" ht="15.75" hidden="1" thickBot="1" x14ac:dyDescent="0.3">
      <c r="A771" s="201"/>
      <c r="B771" s="188"/>
      <c r="C771" s="36"/>
      <c r="D771" s="36"/>
      <c r="E771" s="37"/>
      <c r="F771" s="31" t="s">
        <v>558</v>
      </c>
      <c r="G771" s="31" t="str">
        <f>IF(ISNUMBER(F771),E771*F771,"")</f>
        <v/>
      </c>
      <c r="H771" s="35"/>
      <c r="I771" s="31"/>
      <c r="J771" s="155">
        <v>0</v>
      </c>
    </row>
    <row r="772" spans="1:10" ht="15.75" hidden="1" thickBot="1" x14ac:dyDescent="0.3">
      <c r="A772" s="180" t="s">
        <v>281</v>
      </c>
      <c r="B772" s="186" t="str">
        <f>INDEX(Orçamentária!A:B,MATCH(Composições!A772,Orçamentária!A:A,0),2)</f>
        <v>Forro de PVC modular em placas</v>
      </c>
      <c r="C772" s="41"/>
      <c r="D772" s="26" t="str">
        <f>TRIM(INDEX(Orçamentária!C:C,MATCH(Composições!A772,Orçamentária!A:A,0),1))</f>
        <v>m2</v>
      </c>
      <c r="E772" s="27"/>
      <c r="F772" s="42" t="s">
        <v>558</v>
      </c>
      <c r="G772" s="28" t="str">
        <f>IF(ISNUMBER(F772),E772*F772,"")</f>
        <v/>
      </c>
      <c r="H772" s="29"/>
      <c r="I772" s="30"/>
      <c r="J772" s="155">
        <v>0</v>
      </c>
    </row>
    <row r="773" spans="1:10" ht="15.75" hidden="1" thickBot="1" x14ac:dyDescent="0.3">
      <c r="A773" s="181"/>
      <c r="B773" s="202"/>
      <c r="C773" s="32"/>
      <c r="D773" s="32"/>
      <c r="E773" s="33"/>
      <c r="F773" s="43" t="s">
        <v>558</v>
      </c>
      <c r="G773" s="31" t="str">
        <f>IF(ISNUMBER(F773),E773*F773,"")</f>
        <v/>
      </c>
      <c r="H773" s="35"/>
      <c r="I773" s="31"/>
      <c r="J773" s="155">
        <v>0</v>
      </c>
    </row>
    <row r="774" spans="1:10" ht="26.25" hidden="1" thickBot="1" x14ac:dyDescent="0.3">
      <c r="A774" s="181"/>
      <c r="B774" s="202"/>
      <c r="C774" s="36" t="s">
        <v>274</v>
      </c>
      <c r="D774" s="47" t="s">
        <v>42</v>
      </c>
      <c r="E774" s="37">
        <v>4.2599999999999999E-2</v>
      </c>
      <c r="F774" s="34">
        <v>25.27</v>
      </c>
      <c r="G774" s="31">
        <f>IF(ISNUMBER(F774),E774*F774,"")</f>
        <v>1.0765019999999998</v>
      </c>
      <c r="H774" s="39">
        <f>SUM(G774:G781)</f>
        <v>37.074577450000007</v>
      </c>
      <c r="I774" s="40"/>
      <c r="J774" s="155">
        <v>0</v>
      </c>
    </row>
    <row r="775" spans="1:10" ht="15.75" hidden="1" thickBot="1" x14ac:dyDescent="0.3">
      <c r="A775" s="181"/>
      <c r="B775" s="202"/>
      <c r="C775" s="36" t="s">
        <v>282</v>
      </c>
      <c r="D775" s="47" t="s">
        <v>95</v>
      </c>
      <c r="E775" s="37">
        <v>1.0955999999999999</v>
      </c>
      <c r="F775" s="34" t="s">
        <v>558</v>
      </c>
      <c r="G775" s="31" t="str">
        <f>IF(ISNUMBER(F775),E775*F775,"")</f>
        <v/>
      </c>
      <c r="H775" s="35"/>
      <c r="I775" s="31"/>
      <c r="J775" s="155">
        <v>0</v>
      </c>
    </row>
    <row r="776" spans="1:10" ht="26.25" hidden="1" thickBot="1" x14ac:dyDescent="0.3">
      <c r="A776" s="181"/>
      <c r="B776" s="202"/>
      <c r="C776" s="36" t="s">
        <v>276</v>
      </c>
      <c r="D776" s="47" t="s">
        <v>93</v>
      </c>
      <c r="E776" s="37">
        <v>3.8498999999999999</v>
      </c>
      <c r="F776" s="34">
        <v>5.9375</v>
      </c>
      <c r="G776" s="31">
        <f>IF(ISNUMBER(F776),E776*F776,"")</f>
        <v>22.85878125</v>
      </c>
      <c r="H776" s="35"/>
      <c r="I776" s="31"/>
      <c r="J776" s="155">
        <v>0</v>
      </c>
    </row>
    <row r="777" spans="1:10" ht="26.25" hidden="1" thickBot="1" x14ac:dyDescent="0.3">
      <c r="A777" s="181"/>
      <c r="B777" s="202"/>
      <c r="C777" s="36" t="s">
        <v>277</v>
      </c>
      <c r="D777" s="47" t="s">
        <v>20</v>
      </c>
      <c r="E777" s="37">
        <v>1.3265</v>
      </c>
      <c r="F777" s="34">
        <v>2.2324999999999999</v>
      </c>
      <c r="G777" s="31">
        <f>IF(ISNUMBER(F777),E777*F777,"")</f>
        <v>2.9614112499999998</v>
      </c>
      <c r="H777" s="35"/>
      <c r="I777" s="31"/>
      <c r="J777" s="155">
        <v>0</v>
      </c>
    </row>
    <row r="778" spans="1:10" ht="26.25" hidden="1" thickBot="1" x14ac:dyDescent="0.3">
      <c r="A778" s="181"/>
      <c r="B778" s="202"/>
      <c r="C778" s="36" t="s">
        <v>165</v>
      </c>
      <c r="D778" s="47" t="s">
        <v>20</v>
      </c>
      <c r="E778" s="37">
        <v>2.1911999999999998</v>
      </c>
      <c r="F778" s="34">
        <v>0.152</v>
      </c>
      <c r="G778" s="31">
        <f>IF(ISNUMBER(F778),E778*F778,"")</f>
        <v>0.33306239999999998</v>
      </c>
      <c r="H778" s="35"/>
      <c r="I778" s="31"/>
      <c r="J778" s="155">
        <v>0</v>
      </c>
    </row>
    <row r="779" spans="1:10" ht="26.25" hidden="1" thickBot="1" x14ac:dyDescent="0.3">
      <c r="A779" s="181"/>
      <c r="B779" s="202"/>
      <c r="C779" s="36" t="s">
        <v>278</v>
      </c>
      <c r="D779" s="47" t="s">
        <v>156</v>
      </c>
      <c r="E779" s="37">
        <v>1.32E-2</v>
      </c>
      <c r="F779" s="34">
        <v>17.147500000000001</v>
      </c>
      <c r="G779" s="31">
        <f>IF(ISNUMBER(F779),E779*F779,"")</f>
        <v>0.22634700000000002</v>
      </c>
      <c r="H779" s="35"/>
      <c r="I779" s="31"/>
      <c r="J779" s="155">
        <v>0</v>
      </c>
    </row>
    <row r="780" spans="1:10" ht="26.25" hidden="1" thickBot="1" x14ac:dyDescent="0.3">
      <c r="A780" s="181"/>
      <c r="B780" s="202"/>
      <c r="C780" s="36" t="s">
        <v>279</v>
      </c>
      <c r="D780" s="47" t="s">
        <v>156</v>
      </c>
      <c r="E780" s="37">
        <v>3.3300000000000003E-2</v>
      </c>
      <c r="F780" s="34">
        <v>29.402499999999996</v>
      </c>
      <c r="G780" s="31">
        <f>IF(ISNUMBER(F780),E780*F780,"")</f>
        <v>0.97910324999999998</v>
      </c>
      <c r="H780" s="35"/>
      <c r="I780" s="31"/>
      <c r="J780" s="155">
        <v>0</v>
      </c>
    </row>
    <row r="781" spans="1:10" ht="15.75" hidden="1" thickBot="1" x14ac:dyDescent="0.3">
      <c r="A781" s="181"/>
      <c r="B781" s="202"/>
      <c r="C781" s="36" t="s">
        <v>27</v>
      </c>
      <c r="D781" s="47" t="s">
        <v>12</v>
      </c>
      <c r="E781" s="37">
        <v>0.49940000000000001</v>
      </c>
      <c r="F781" s="31">
        <v>17.299499999999998</v>
      </c>
      <c r="G781" s="31">
        <f>IF(ISNUMBER(F781),E781*F781,"")</f>
        <v>8.6393702999999995</v>
      </c>
      <c r="H781" s="35"/>
      <c r="I781" s="31"/>
      <c r="J781" s="155">
        <v>0</v>
      </c>
    </row>
    <row r="782" spans="1:10" ht="15.75" hidden="1" thickBot="1" x14ac:dyDescent="0.3">
      <c r="A782" s="182"/>
      <c r="B782" s="188"/>
      <c r="C782" s="36"/>
      <c r="D782" s="36"/>
      <c r="E782" s="37"/>
      <c r="F782" s="31" t="s">
        <v>558</v>
      </c>
      <c r="G782" s="31" t="str">
        <f>IF(ISNUMBER(F782),E782*F782,"")</f>
        <v/>
      </c>
      <c r="H782" s="35"/>
      <c r="I782" s="31"/>
      <c r="J782" s="155">
        <v>0</v>
      </c>
    </row>
    <row r="783" spans="1:10" ht="15.75" hidden="1" thickBot="1" x14ac:dyDescent="0.3">
      <c r="A783" s="180" t="s">
        <v>283</v>
      </c>
      <c r="B783" s="186" t="str">
        <f>INDEX(Orçamentária!A:B,MATCH(Composições!A783,Orçamentária!A:A,0),2)</f>
        <v>Forro em chapas metálicas</v>
      </c>
      <c r="C783" s="41"/>
      <c r="D783" s="26" t="str">
        <f>TRIM(INDEX(Orçamentária!C:C,MATCH(Composições!A783,Orçamentária!A:A,0),1))</f>
        <v>m2</v>
      </c>
      <c r="E783" s="27"/>
      <c r="F783" s="42" t="s">
        <v>558</v>
      </c>
      <c r="G783" s="28" t="str">
        <f>IF(ISNUMBER(F783),E783*F783,"")</f>
        <v/>
      </c>
      <c r="H783" s="29"/>
      <c r="I783" s="30"/>
      <c r="J783" s="155">
        <v>0</v>
      </c>
    </row>
    <row r="784" spans="1:10" ht="15.75" hidden="1" thickBot="1" x14ac:dyDescent="0.3">
      <c r="A784" s="181"/>
      <c r="B784" s="202"/>
      <c r="C784" s="32"/>
      <c r="D784" s="32"/>
      <c r="E784" s="33"/>
      <c r="F784" s="43" t="s">
        <v>558</v>
      </c>
      <c r="G784" s="31" t="str">
        <f>IF(ISNUMBER(F784),E784*F784,"")</f>
        <v/>
      </c>
      <c r="H784" s="35"/>
      <c r="I784" s="31"/>
      <c r="J784" s="155">
        <v>0</v>
      </c>
    </row>
    <row r="785" spans="1:10" ht="15.75" hidden="1" thickBot="1" x14ac:dyDescent="0.3">
      <c r="A785" s="181"/>
      <c r="B785" s="202"/>
      <c r="C785" s="36" t="s">
        <v>52</v>
      </c>
      <c r="D785" s="47" t="s">
        <v>12</v>
      </c>
      <c r="E785" s="37">
        <v>0.5</v>
      </c>
      <c r="F785" s="34">
        <v>17.898</v>
      </c>
      <c r="G785" s="31">
        <f>IF(ISNUMBER(F785),E785*F785,"")</f>
        <v>8.9489999999999998</v>
      </c>
      <c r="H785" s="39">
        <f>SUM(G785:G788)</f>
        <v>17.598749999999999</v>
      </c>
      <c r="I785" s="40"/>
      <c r="J785" s="155">
        <v>0</v>
      </c>
    </row>
    <row r="786" spans="1:10" ht="15.75" hidden="1" thickBot="1" x14ac:dyDescent="0.3">
      <c r="A786" s="181"/>
      <c r="B786" s="202"/>
      <c r="C786" s="36" t="s">
        <v>27</v>
      </c>
      <c r="D786" s="47" t="s">
        <v>12</v>
      </c>
      <c r="E786" s="37">
        <v>0.5</v>
      </c>
      <c r="F786" s="34">
        <v>17.299499999999998</v>
      </c>
      <c r="G786" s="31">
        <f>IF(ISNUMBER(F786),E786*F786,"")</f>
        <v>8.6497499999999992</v>
      </c>
      <c r="H786" s="35"/>
      <c r="I786" s="31"/>
      <c r="J786" s="155">
        <v>0</v>
      </c>
    </row>
    <row r="787" spans="1:10" ht="15.75" hidden="1" thickBot="1" x14ac:dyDescent="0.3">
      <c r="A787" s="181"/>
      <c r="B787" s="202"/>
      <c r="C787" s="38" t="s">
        <v>284</v>
      </c>
      <c r="D787" s="36" t="s">
        <v>95</v>
      </c>
      <c r="E787" s="37">
        <v>1</v>
      </c>
      <c r="F787" s="34" t="s">
        <v>558</v>
      </c>
      <c r="G787" s="31" t="str">
        <f>IF(ISNUMBER(F787),E787*F787,"")</f>
        <v/>
      </c>
      <c r="H787" s="35"/>
      <c r="I787" s="31"/>
      <c r="J787" s="155">
        <v>0</v>
      </c>
    </row>
    <row r="788" spans="1:10" ht="15.75" hidden="1" thickBot="1" x14ac:dyDescent="0.3">
      <c r="A788" s="181"/>
      <c r="B788" s="202"/>
      <c r="C788" s="38" t="s">
        <v>285</v>
      </c>
      <c r="D788" s="36" t="s">
        <v>95</v>
      </c>
      <c r="E788" s="37">
        <v>1</v>
      </c>
      <c r="F788" s="34" t="s">
        <v>558</v>
      </c>
      <c r="G788" s="31" t="str">
        <f>IF(ISNUMBER(F788),E788*F788,"")</f>
        <v/>
      </c>
      <c r="H788" s="35"/>
      <c r="I788" s="31"/>
      <c r="J788" s="155">
        <v>0</v>
      </c>
    </row>
    <row r="789" spans="1:10" ht="15.75" hidden="1" thickBot="1" x14ac:dyDescent="0.3">
      <c r="A789" s="182"/>
      <c r="B789" s="188"/>
      <c r="C789" s="36"/>
      <c r="D789" s="36"/>
      <c r="E789" s="37"/>
      <c r="F789" s="31" t="s">
        <v>558</v>
      </c>
      <c r="G789" s="31" t="str">
        <f>IF(ISNUMBER(F789),E789*F789,"")</f>
        <v/>
      </c>
      <c r="H789" s="35"/>
      <c r="I789" s="31"/>
      <c r="J789" s="155">
        <v>0</v>
      </c>
    </row>
    <row r="790" spans="1:10" ht="15.75" hidden="1" thickBot="1" x14ac:dyDescent="0.3">
      <c r="A790" s="180" t="s">
        <v>286</v>
      </c>
      <c r="B790" s="186" t="str">
        <f>INDEX(Orçamentária!A:B,MATCH(Composições!A790,Orçamentária!A:A,0),2)</f>
        <v>Forro em gesso acartonado monolítico</v>
      </c>
      <c r="C790" s="41"/>
      <c r="D790" s="26" t="str">
        <f>TRIM(INDEX(Orçamentária!C:C,MATCH(Composições!A790,Orçamentária!A:A,0),1))</f>
        <v>m2</v>
      </c>
      <c r="E790" s="27"/>
      <c r="F790" s="42" t="s">
        <v>558</v>
      </c>
      <c r="G790" s="28" t="str">
        <f>IF(ISNUMBER(F790),E790*F790,"")</f>
        <v/>
      </c>
      <c r="H790" s="29"/>
      <c r="I790" s="30"/>
      <c r="J790" s="155">
        <v>0</v>
      </c>
    </row>
    <row r="791" spans="1:10" ht="15.75" hidden="1" thickBot="1" x14ac:dyDescent="0.3">
      <c r="A791" s="200"/>
      <c r="B791" s="202"/>
      <c r="C791" s="32"/>
      <c r="D791" s="32"/>
      <c r="E791" s="33"/>
      <c r="F791" s="43" t="s">
        <v>558</v>
      </c>
      <c r="G791" s="31" t="str">
        <f>IF(ISNUMBER(F791),E791*F791,"")</f>
        <v/>
      </c>
      <c r="H791" s="35"/>
      <c r="I791" s="31"/>
      <c r="J791" s="155">
        <v>0</v>
      </c>
    </row>
    <row r="792" spans="1:10" ht="26.25" hidden="1" thickBot="1" x14ac:dyDescent="0.3">
      <c r="A792" s="200"/>
      <c r="B792" s="202"/>
      <c r="C792" s="36" t="s">
        <v>274</v>
      </c>
      <c r="D792" s="47" t="s">
        <v>42</v>
      </c>
      <c r="E792" s="37">
        <v>4.2599999999999999E-2</v>
      </c>
      <c r="F792" s="34">
        <v>25.27</v>
      </c>
      <c r="G792" s="34">
        <f>IF(ISNUMBER(F792),E792*F792,"")</f>
        <v>1.0765019999999998</v>
      </c>
      <c r="H792" s="39">
        <f>SUM(G792:G802)</f>
        <v>58.4827315</v>
      </c>
      <c r="I792" s="40"/>
      <c r="J792" s="155">
        <v>0</v>
      </c>
    </row>
    <row r="793" spans="1:10" ht="26.25" hidden="1" thickBot="1" x14ac:dyDescent="0.3">
      <c r="A793" s="200"/>
      <c r="B793" s="202"/>
      <c r="C793" s="36" t="s">
        <v>3790</v>
      </c>
      <c r="D793" s="47" t="s">
        <v>95</v>
      </c>
      <c r="E793" s="37">
        <v>1.0966</v>
      </c>
      <c r="F793" s="34">
        <v>12.891499999999999</v>
      </c>
      <c r="G793" s="34">
        <f>IF(ISNUMBER(F793),E793*F793,"")</f>
        <v>14.1368189</v>
      </c>
      <c r="H793" s="45"/>
      <c r="I793" s="46"/>
      <c r="J793" s="155">
        <v>0</v>
      </c>
    </row>
    <row r="794" spans="1:10" ht="26.25" hidden="1" thickBot="1" x14ac:dyDescent="0.3">
      <c r="A794" s="200"/>
      <c r="B794" s="202"/>
      <c r="C794" s="36" t="s">
        <v>276</v>
      </c>
      <c r="D794" s="47" t="s">
        <v>93</v>
      </c>
      <c r="E794" s="37">
        <v>3.851</v>
      </c>
      <c r="F794" s="34">
        <v>5.9375</v>
      </c>
      <c r="G794" s="34">
        <f>IF(ISNUMBER(F794),E794*F794,"")</f>
        <v>22.865312499999998</v>
      </c>
      <c r="H794" s="45"/>
      <c r="I794" s="46"/>
      <c r="J794" s="155">
        <v>0</v>
      </c>
    </row>
    <row r="795" spans="1:10" ht="26.25" hidden="1" thickBot="1" x14ac:dyDescent="0.3">
      <c r="A795" s="200"/>
      <c r="B795" s="202"/>
      <c r="C795" s="36" t="s">
        <v>277</v>
      </c>
      <c r="D795" s="47" t="s">
        <v>20</v>
      </c>
      <c r="E795" s="37">
        <v>1.3265</v>
      </c>
      <c r="F795" s="34">
        <v>2.2324999999999999</v>
      </c>
      <c r="G795" s="34">
        <f>IF(ISNUMBER(F795),E795*F795,"")</f>
        <v>2.9614112499999998</v>
      </c>
      <c r="H795" s="45"/>
      <c r="I795" s="46"/>
      <c r="J795" s="155">
        <v>0</v>
      </c>
    </row>
    <row r="796" spans="1:10" ht="26.25" hidden="1" thickBot="1" x14ac:dyDescent="0.3">
      <c r="A796" s="200"/>
      <c r="B796" s="202"/>
      <c r="C796" s="36" t="s">
        <v>163</v>
      </c>
      <c r="D796" s="47" t="s">
        <v>93</v>
      </c>
      <c r="E796" s="37">
        <v>1.4395</v>
      </c>
      <c r="F796" s="34">
        <v>1.9094999999999998</v>
      </c>
      <c r="G796" s="34">
        <f>IF(ISNUMBER(F796),E796*F796,"")</f>
        <v>2.7487252499999997</v>
      </c>
      <c r="H796" s="45"/>
      <c r="I796" s="46"/>
      <c r="J796" s="155">
        <v>0</v>
      </c>
    </row>
    <row r="797" spans="1:10" ht="39" hidden="1" thickBot="1" x14ac:dyDescent="0.3">
      <c r="A797" s="200"/>
      <c r="B797" s="202"/>
      <c r="C797" s="36" t="s">
        <v>3787</v>
      </c>
      <c r="D797" s="47" t="s">
        <v>42</v>
      </c>
      <c r="E797" s="37">
        <v>0.5202</v>
      </c>
      <c r="F797" s="34">
        <v>2.5649999999999999</v>
      </c>
      <c r="G797" s="34">
        <f>IF(ISNUMBER(F797),E797*F797,"")</f>
        <v>1.3343129999999999</v>
      </c>
      <c r="H797" s="45"/>
      <c r="I797" s="46"/>
      <c r="J797" s="155">
        <v>0</v>
      </c>
    </row>
    <row r="798" spans="1:10" ht="26.25" hidden="1" thickBot="1" x14ac:dyDescent="0.3">
      <c r="A798" s="200"/>
      <c r="B798" s="202"/>
      <c r="C798" s="36" t="s">
        <v>164</v>
      </c>
      <c r="D798" s="47" t="s">
        <v>20</v>
      </c>
      <c r="E798" s="37">
        <v>7.9740000000000002</v>
      </c>
      <c r="F798" s="34">
        <v>5.6999999999999995E-2</v>
      </c>
      <c r="G798" s="34">
        <f>IF(ISNUMBER(F798),E798*F798,"")</f>
        <v>0.45451799999999998</v>
      </c>
      <c r="H798" s="45"/>
      <c r="I798" s="46"/>
      <c r="J798" s="155">
        <v>0</v>
      </c>
    </row>
    <row r="799" spans="1:10" ht="26.25" hidden="1" thickBot="1" x14ac:dyDescent="0.3">
      <c r="A799" s="200"/>
      <c r="B799" s="202"/>
      <c r="C799" s="36" t="s">
        <v>165</v>
      </c>
      <c r="D799" s="47" t="s">
        <v>20</v>
      </c>
      <c r="E799" s="37">
        <v>2.1911999999999998</v>
      </c>
      <c r="F799" s="34">
        <v>0.152</v>
      </c>
      <c r="G799" s="34">
        <f>IF(ISNUMBER(F799),E799*F799,"")</f>
        <v>0.33306239999999998</v>
      </c>
      <c r="H799" s="45"/>
      <c r="I799" s="46"/>
      <c r="J799" s="155">
        <v>0</v>
      </c>
    </row>
    <row r="800" spans="1:10" ht="26.25" hidden="1" thickBot="1" x14ac:dyDescent="0.3">
      <c r="A800" s="200"/>
      <c r="B800" s="202"/>
      <c r="C800" s="36" t="s">
        <v>278</v>
      </c>
      <c r="D800" s="47" t="s">
        <v>156</v>
      </c>
      <c r="E800" s="37">
        <v>1.32E-2</v>
      </c>
      <c r="F800" s="34">
        <v>17.147500000000001</v>
      </c>
      <c r="G800" s="34">
        <f>IF(ISNUMBER(F800),E800*F800,"")</f>
        <v>0.22634700000000002</v>
      </c>
      <c r="H800" s="45"/>
      <c r="I800" s="46"/>
      <c r="J800" s="155">
        <v>0</v>
      </c>
    </row>
    <row r="801" spans="1:10" ht="15.75" hidden="1" thickBot="1" x14ac:dyDescent="0.3">
      <c r="A801" s="200"/>
      <c r="B801" s="202"/>
      <c r="C801" s="36" t="s">
        <v>27</v>
      </c>
      <c r="D801" s="47" t="s">
        <v>12</v>
      </c>
      <c r="E801" s="37">
        <v>0.36280000000000001</v>
      </c>
      <c r="F801" s="31">
        <v>17.299499999999998</v>
      </c>
      <c r="G801" s="34">
        <f>IF(ISNUMBER(F801),E801*F801,"")</f>
        <v>6.2762585999999994</v>
      </c>
      <c r="H801" s="45"/>
      <c r="I801" s="46"/>
      <c r="J801" s="155">
        <v>0</v>
      </c>
    </row>
    <row r="802" spans="1:10" ht="15.75" hidden="1" thickBot="1" x14ac:dyDescent="0.3">
      <c r="A802" s="200"/>
      <c r="B802" s="202"/>
      <c r="C802" s="36" t="s">
        <v>23</v>
      </c>
      <c r="D802" s="36" t="s">
        <v>12</v>
      </c>
      <c r="E802" s="37">
        <v>0.36280000000000001</v>
      </c>
      <c r="F802" s="31">
        <v>16.729499999999998</v>
      </c>
      <c r="G802" s="34">
        <f>IF(ISNUMBER(F802),E802*F802,"")</f>
        <v>6.0694625999999996</v>
      </c>
      <c r="H802" s="45"/>
      <c r="I802" s="46"/>
      <c r="J802" s="155">
        <v>0</v>
      </c>
    </row>
    <row r="803" spans="1:10" ht="15.75" hidden="1" thickBot="1" x14ac:dyDescent="0.3">
      <c r="A803" s="201"/>
      <c r="B803" s="188"/>
      <c r="C803" s="36"/>
      <c r="D803" s="36"/>
      <c r="E803" s="37"/>
      <c r="F803" s="31" t="s">
        <v>558</v>
      </c>
      <c r="G803" s="31" t="str">
        <f>IF(ISNUMBER(F803),E803*F803,"")</f>
        <v/>
      </c>
      <c r="H803" s="35"/>
      <c r="I803" s="31"/>
      <c r="J803" s="155">
        <v>0</v>
      </c>
    </row>
    <row r="804" spans="1:10" ht="15.75" hidden="1" thickBot="1" x14ac:dyDescent="0.3">
      <c r="A804" s="180" t="s">
        <v>287</v>
      </c>
      <c r="B804" s="186" t="str">
        <f>INDEX(Orçamentária!A:B,MATCH(Composições!A804,Orçamentária!A:A,0),2)</f>
        <v>Forro em gesso acartonado monolítico, sem estrutura</v>
      </c>
      <c r="C804" s="41"/>
      <c r="D804" s="26" t="str">
        <f>TRIM(INDEX(Orçamentária!C:C,MATCH(Composições!A804,Orçamentária!A:A,0),1))</f>
        <v>m2</v>
      </c>
      <c r="E804" s="27"/>
      <c r="F804" s="42" t="s">
        <v>558</v>
      </c>
      <c r="G804" s="28" t="str">
        <f>IF(ISNUMBER(F804),E804*F804,"")</f>
        <v/>
      </c>
      <c r="H804" s="29"/>
      <c r="I804" s="30"/>
      <c r="J804" s="155">
        <v>0</v>
      </c>
    </row>
    <row r="805" spans="1:10" ht="15.75" hidden="1" thickBot="1" x14ac:dyDescent="0.3">
      <c r="A805" s="200"/>
      <c r="B805" s="202"/>
      <c r="C805" s="32"/>
      <c r="D805" s="32"/>
      <c r="E805" s="33"/>
      <c r="F805" s="43" t="s">
        <v>558</v>
      </c>
      <c r="G805" s="31" t="str">
        <f>IF(ISNUMBER(F805),E805*F805,"")</f>
        <v/>
      </c>
      <c r="H805" s="35"/>
      <c r="I805" s="31"/>
      <c r="J805" s="155">
        <v>0</v>
      </c>
    </row>
    <row r="806" spans="1:10" ht="26.25" hidden="1" thickBot="1" x14ac:dyDescent="0.3">
      <c r="A806" s="200"/>
      <c r="B806" s="202"/>
      <c r="C806" s="36" t="s">
        <v>3790</v>
      </c>
      <c r="D806" s="47" t="s">
        <v>95</v>
      </c>
      <c r="E806" s="37">
        <v>1.0966</v>
      </c>
      <c r="F806" s="34">
        <v>12.891499999999999</v>
      </c>
      <c r="G806" s="34">
        <f>IF(ISNUMBER(F806),E806*F806,"")</f>
        <v>14.1368189</v>
      </c>
      <c r="H806" s="39">
        <f>SUM(G806:G812)</f>
        <v>31.353158749999999</v>
      </c>
      <c r="I806" s="40"/>
      <c r="J806" s="155">
        <v>0</v>
      </c>
    </row>
    <row r="807" spans="1:10" ht="26.25" hidden="1" thickBot="1" x14ac:dyDescent="0.3">
      <c r="A807" s="200"/>
      <c r="B807" s="202"/>
      <c r="C807" s="36" t="s">
        <v>163</v>
      </c>
      <c r="D807" s="47" t="s">
        <v>93</v>
      </c>
      <c r="E807" s="37">
        <v>1.4395</v>
      </c>
      <c r="F807" s="34">
        <v>1.9094999999999998</v>
      </c>
      <c r="G807" s="34">
        <f>IF(ISNUMBER(F807),E807*F807,"")</f>
        <v>2.7487252499999997</v>
      </c>
      <c r="H807" s="45"/>
      <c r="I807" s="46"/>
      <c r="J807" s="155">
        <v>0</v>
      </c>
    </row>
    <row r="808" spans="1:10" ht="39" hidden="1" thickBot="1" x14ac:dyDescent="0.3">
      <c r="A808" s="200"/>
      <c r="B808" s="202"/>
      <c r="C808" s="36" t="s">
        <v>3787</v>
      </c>
      <c r="D808" s="47" t="s">
        <v>42</v>
      </c>
      <c r="E808" s="37">
        <v>0.5202</v>
      </c>
      <c r="F808" s="34">
        <v>2.5649999999999999</v>
      </c>
      <c r="G808" s="34">
        <f>IF(ISNUMBER(F808),E808*F808,"")</f>
        <v>1.3343129999999999</v>
      </c>
      <c r="H808" s="45"/>
      <c r="I808" s="46"/>
      <c r="J808" s="155">
        <v>0</v>
      </c>
    </row>
    <row r="809" spans="1:10" ht="26.25" hidden="1" thickBot="1" x14ac:dyDescent="0.3">
      <c r="A809" s="200"/>
      <c r="B809" s="202"/>
      <c r="C809" s="36" t="s">
        <v>164</v>
      </c>
      <c r="D809" s="47" t="s">
        <v>20</v>
      </c>
      <c r="E809" s="37">
        <v>7.9740000000000002</v>
      </c>
      <c r="F809" s="34">
        <v>5.6999999999999995E-2</v>
      </c>
      <c r="G809" s="34">
        <f>IF(ISNUMBER(F809),E809*F809,"")</f>
        <v>0.45451799999999998</v>
      </c>
      <c r="H809" s="45"/>
      <c r="I809" s="46"/>
      <c r="J809" s="155">
        <v>0</v>
      </c>
    </row>
    <row r="810" spans="1:10" ht="26.25" hidden="1" thickBot="1" x14ac:dyDescent="0.3">
      <c r="A810" s="200"/>
      <c r="B810" s="202"/>
      <c r="C810" s="36" t="s">
        <v>165</v>
      </c>
      <c r="D810" s="47" t="s">
        <v>20</v>
      </c>
      <c r="E810" s="37">
        <v>2.1911999999999998</v>
      </c>
      <c r="F810" s="34">
        <v>0.152</v>
      </c>
      <c r="G810" s="34">
        <f>IF(ISNUMBER(F810),E810*F810,"")</f>
        <v>0.33306239999999998</v>
      </c>
      <c r="H810" s="45"/>
      <c r="I810" s="46"/>
      <c r="J810" s="155">
        <v>0</v>
      </c>
    </row>
    <row r="811" spans="1:10" ht="15.75" hidden="1" thickBot="1" x14ac:dyDescent="0.3">
      <c r="A811" s="200"/>
      <c r="B811" s="202"/>
      <c r="C811" s="36" t="s">
        <v>27</v>
      </c>
      <c r="D811" s="47" t="s">
        <v>12</v>
      </c>
      <c r="E811" s="37">
        <v>0.36280000000000001</v>
      </c>
      <c r="F811" s="31">
        <v>17.299499999999998</v>
      </c>
      <c r="G811" s="34">
        <f>IF(ISNUMBER(F811),E811*F811,"")</f>
        <v>6.2762585999999994</v>
      </c>
      <c r="H811" s="45"/>
      <c r="I811" s="46"/>
      <c r="J811" s="155">
        <v>0</v>
      </c>
    </row>
    <row r="812" spans="1:10" ht="15.75" hidden="1" thickBot="1" x14ac:dyDescent="0.3">
      <c r="A812" s="200"/>
      <c r="B812" s="202"/>
      <c r="C812" s="36" t="s">
        <v>23</v>
      </c>
      <c r="D812" s="36" t="s">
        <v>12</v>
      </c>
      <c r="E812" s="37">
        <v>0.36280000000000001</v>
      </c>
      <c r="F812" s="31">
        <v>16.729499999999998</v>
      </c>
      <c r="G812" s="34">
        <f>IF(ISNUMBER(F812),E812*F812,"")</f>
        <v>6.0694625999999996</v>
      </c>
      <c r="H812" s="45"/>
      <c r="I812" s="46"/>
      <c r="J812" s="155">
        <v>0</v>
      </c>
    </row>
    <row r="813" spans="1:10" ht="15.75" hidden="1" thickBot="1" x14ac:dyDescent="0.3">
      <c r="A813" s="201"/>
      <c r="B813" s="188"/>
      <c r="C813" s="36"/>
      <c r="D813" s="36"/>
      <c r="E813" s="37"/>
      <c r="F813" s="31" t="s">
        <v>558</v>
      </c>
      <c r="G813" s="31" t="str">
        <f>IF(ISNUMBER(F813),E813*F813,"")</f>
        <v/>
      </c>
      <c r="H813" s="35"/>
      <c r="I813" s="31"/>
      <c r="J813" s="155">
        <v>0</v>
      </c>
    </row>
    <row r="814" spans="1:10" ht="15.75" hidden="1" thickBot="1" x14ac:dyDescent="0.3">
      <c r="A814" s="180" t="s">
        <v>288</v>
      </c>
      <c r="B814" s="186" t="str">
        <f>INDEX(Orçamentária!A:B,MATCH(Composições!A814,Orçamentária!A:A,0),2)</f>
        <v>Forro mineral modulado</v>
      </c>
      <c r="C814" s="41"/>
      <c r="D814" s="26" t="str">
        <f>TRIM(INDEX(Orçamentária!C:C,MATCH(Composições!A814,Orçamentária!A:A,0),1))</f>
        <v>m2</v>
      </c>
      <c r="E814" s="27"/>
      <c r="F814" s="42" t="s">
        <v>558</v>
      </c>
      <c r="G814" s="28" t="str">
        <f>IF(ISNUMBER(F814),E814*F814,"")</f>
        <v/>
      </c>
      <c r="H814" s="29"/>
      <c r="I814" s="30"/>
      <c r="J814" s="155">
        <v>0</v>
      </c>
    </row>
    <row r="815" spans="1:10" ht="15.75" hidden="1" thickBot="1" x14ac:dyDescent="0.3">
      <c r="A815" s="200"/>
      <c r="B815" s="202"/>
      <c r="C815" s="32"/>
      <c r="D815" s="32"/>
      <c r="E815" s="33"/>
      <c r="F815" s="43" t="s">
        <v>558</v>
      </c>
      <c r="G815" s="31" t="str">
        <f>IF(ISNUMBER(F815),E815*F815,"")</f>
        <v/>
      </c>
      <c r="H815" s="35"/>
      <c r="I815" s="31"/>
      <c r="J815" s="155">
        <v>0</v>
      </c>
    </row>
    <row r="816" spans="1:10" ht="39" hidden="1" thickBot="1" x14ac:dyDescent="0.3">
      <c r="A816" s="200"/>
      <c r="B816" s="202"/>
      <c r="C816" s="36" t="s">
        <v>289</v>
      </c>
      <c r="D816" s="47" t="s">
        <v>95</v>
      </c>
      <c r="E816" s="37">
        <v>1</v>
      </c>
      <c r="F816" s="34">
        <v>120.08949999999999</v>
      </c>
      <c r="G816" s="34">
        <f>IF(ISNUMBER(F816),E816*F816,"")</f>
        <v>120.08949999999999</v>
      </c>
      <c r="H816" s="39">
        <f>SUM(G816:G816)</f>
        <v>120.08949999999999</v>
      </c>
      <c r="I816" s="40"/>
      <c r="J816" s="155">
        <v>0</v>
      </c>
    </row>
    <row r="817" spans="1:10" ht="15.75" hidden="1" thickBot="1" x14ac:dyDescent="0.3">
      <c r="A817" s="201"/>
      <c r="B817" s="188"/>
      <c r="C817" s="36"/>
      <c r="D817" s="36"/>
      <c r="E817" s="37"/>
      <c r="F817" s="31" t="s">
        <v>558</v>
      </c>
      <c r="G817" s="31" t="str">
        <f>IF(ISNUMBER(F817),E817*F817,"")</f>
        <v/>
      </c>
      <c r="H817" s="35"/>
      <c r="I817" s="31"/>
      <c r="J817" s="155">
        <v>0</v>
      </c>
    </row>
    <row r="818" spans="1:10" ht="15.75" hidden="1" thickBot="1" x14ac:dyDescent="0.3">
      <c r="A818" s="180" t="s">
        <v>290</v>
      </c>
      <c r="B818" s="186" t="str">
        <f>INDEX(Orçamentária!A:B,MATCH(Composições!A818,Orçamentária!A:A,0),2)</f>
        <v>Forro mineral modulado, sem estrutura</v>
      </c>
      <c r="C818" s="41"/>
      <c r="D818" s="26" t="str">
        <f>TRIM(INDEX(Orçamentária!C:C,MATCH(Composições!A818,Orçamentária!A:A,0),1))</f>
        <v>m2</v>
      </c>
      <c r="E818" s="27"/>
      <c r="F818" s="42" t="s">
        <v>558</v>
      </c>
      <c r="G818" s="28" t="str">
        <f>IF(ISNUMBER(F818),E818*F818,"")</f>
        <v/>
      </c>
      <c r="H818" s="29"/>
      <c r="I818" s="30"/>
      <c r="J818" s="155">
        <v>0</v>
      </c>
    </row>
    <row r="819" spans="1:10" ht="15.75" hidden="1" thickBot="1" x14ac:dyDescent="0.3">
      <c r="A819" s="200"/>
      <c r="B819" s="202"/>
      <c r="C819" s="32"/>
      <c r="D819" s="32"/>
      <c r="E819" s="33"/>
      <c r="F819" s="43" t="s">
        <v>558</v>
      </c>
      <c r="G819" s="31" t="str">
        <f>IF(ISNUMBER(F819),E819*F819,"")</f>
        <v/>
      </c>
      <c r="H819" s="35"/>
      <c r="I819" s="31"/>
      <c r="J819" s="155">
        <v>0</v>
      </c>
    </row>
    <row r="820" spans="1:10" ht="15.75" hidden="1" thickBot="1" x14ac:dyDescent="0.3">
      <c r="A820" s="200"/>
      <c r="B820" s="202"/>
      <c r="C820" s="36" t="s">
        <v>50</v>
      </c>
      <c r="D820" s="36" t="s">
        <v>12</v>
      </c>
      <c r="E820" s="37">
        <f>1.2/4</f>
        <v>0.3</v>
      </c>
      <c r="F820" s="31">
        <v>19.911999999999999</v>
      </c>
      <c r="G820" s="31">
        <f>IF(ISNUMBER(F820),E820*F820,"")</f>
        <v>5.9735999999999994</v>
      </c>
      <c r="H820" s="39">
        <f>SUM(G820:G821)</f>
        <v>32.7256</v>
      </c>
      <c r="I820" s="40"/>
      <c r="J820" s="155">
        <v>0</v>
      </c>
    </row>
    <row r="821" spans="1:10" ht="26.25" hidden="1" thickBot="1" x14ac:dyDescent="0.3">
      <c r="A821" s="200"/>
      <c r="B821" s="202"/>
      <c r="C821" s="36" t="s">
        <v>291</v>
      </c>
      <c r="D821" s="36" t="s">
        <v>292</v>
      </c>
      <c r="E821" s="37">
        <v>1</v>
      </c>
      <c r="F821" s="34">
        <v>26.751999999999999</v>
      </c>
      <c r="G821" s="31">
        <f>IF(ISNUMBER(F821),E821*F821,"")</f>
        <v>26.751999999999999</v>
      </c>
      <c r="H821" s="35"/>
      <c r="I821" s="31"/>
      <c r="J821" s="155">
        <v>0</v>
      </c>
    </row>
    <row r="822" spans="1:10" ht="15.75" hidden="1" thickBot="1" x14ac:dyDescent="0.3">
      <c r="A822" s="201"/>
      <c r="B822" s="188"/>
      <c r="C822" s="36"/>
      <c r="D822" s="36"/>
      <c r="E822" s="37"/>
      <c r="F822" s="31" t="s">
        <v>558</v>
      </c>
      <c r="G822" s="31" t="str">
        <f>IF(ISNUMBER(F822),E822*F822,"")</f>
        <v/>
      </c>
      <c r="H822" s="35"/>
      <c r="I822" s="31"/>
      <c r="J822" s="155">
        <v>0</v>
      </c>
    </row>
    <row r="823" spans="1:10" ht="15.75" hidden="1" thickBot="1" x14ac:dyDescent="0.3">
      <c r="A823" s="180" t="s">
        <v>293</v>
      </c>
      <c r="B823" s="186" t="str">
        <f>INDEX(Orçamentária!A:B,MATCH(Composições!A823,Orçamentária!A:A,0),2)</f>
        <v>Instalação de forro de PVC reaproveitado</v>
      </c>
      <c r="C823" s="41"/>
      <c r="D823" s="26" t="str">
        <f>TRIM(INDEX(Orçamentária!C:C,MATCH(Composições!A823,Orçamentária!A:A,0),1))</f>
        <v>m2</v>
      </c>
      <c r="E823" s="27"/>
      <c r="F823" s="42" t="s">
        <v>558</v>
      </c>
      <c r="G823" s="28" t="str">
        <f>IF(ISNUMBER(F823),E823*F823,"")</f>
        <v/>
      </c>
      <c r="H823" s="29"/>
      <c r="I823" s="30"/>
      <c r="J823" s="155">
        <v>0</v>
      </c>
    </row>
    <row r="824" spans="1:10" ht="15.75" hidden="1" thickBot="1" x14ac:dyDescent="0.3">
      <c r="A824" s="200"/>
      <c r="B824" s="202"/>
      <c r="C824" s="32"/>
      <c r="D824" s="32"/>
      <c r="E824" s="33"/>
      <c r="F824" s="43" t="s">
        <v>558</v>
      </c>
      <c r="G824" s="31" t="str">
        <f>IF(ISNUMBER(F824),E824*F824,"")</f>
        <v/>
      </c>
      <c r="H824" s="35"/>
      <c r="I824" s="31"/>
      <c r="J824" s="155">
        <v>0</v>
      </c>
    </row>
    <row r="825" spans="1:10" ht="15.75" hidden="1" thickBot="1" x14ac:dyDescent="0.3">
      <c r="A825" s="200"/>
      <c r="B825" s="202"/>
      <c r="C825" s="36" t="s">
        <v>27</v>
      </c>
      <c r="D825" s="47" t="s">
        <v>12</v>
      </c>
      <c r="E825" s="37">
        <f>ROUND(0.4994*0.3,4)</f>
        <v>0.14979999999999999</v>
      </c>
      <c r="F825" s="31">
        <v>17.299499999999998</v>
      </c>
      <c r="G825" s="31">
        <f>IF(ISNUMBER(F825),E825*F825,"")</f>
        <v>2.5914650999999997</v>
      </c>
      <c r="H825" s="39">
        <f>SUM(G825:G825)</f>
        <v>2.5914650999999997</v>
      </c>
      <c r="I825" s="40"/>
      <c r="J825" s="155">
        <v>0</v>
      </c>
    </row>
    <row r="826" spans="1:10" ht="15.75" hidden="1" thickBot="1" x14ac:dyDescent="0.3">
      <c r="A826" s="201"/>
      <c r="B826" s="188"/>
      <c r="C826" s="36"/>
      <c r="D826" s="36"/>
      <c r="E826" s="37"/>
      <c r="F826" s="31" t="s">
        <v>558</v>
      </c>
      <c r="G826" s="31" t="str">
        <f>IF(ISNUMBER(F826),E826*F826,"")</f>
        <v/>
      </c>
      <c r="H826" s="35"/>
      <c r="I826" s="31"/>
      <c r="J826" s="155">
        <v>0</v>
      </c>
    </row>
    <row r="827" spans="1:10" ht="15.75" hidden="1" thickBot="1" x14ac:dyDescent="0.3">
      <c r="A827" s="180" t="s">
        <v>294</v>
      </c>
      <c r="B827" s="186" t="str">
        <f>INDEX(Orçamentária!A:B,MATCH(Composições!A827,Orçamentária!A:A,0),2)</f>
        <v>Instalação de forro mineral reaproveitado</v>
      </c>
      <c r="C827" s="41"/>
      <c r="D827" s="26" t="str">
        <f>TRIM(INDEX(Orçamentária!C:C,MATCH(Composições!A827,Orçamentária!A:A,0),1))</f>
        <v>m2</v>
      </c>
      <c r="E827" s="27"/>
      <c r="F827" s="42" t="s">
        <v>558</v>
      </c>
      <c r="G827" s="28" t="str">
        <f>IF(ISNUMBER(F827),E827*F827,"")</f>
        <v/>
      </c>
      <c r="H827" s="29"/>
      <c r="I827" s="30"/>
      <c r="J827" s="155">
        <v>0</v>
      </c>
    </row>
    <row r="828" spans="1:10" ht="15.75" hidden="1" thickBot="1" x14ac:dyDescent="0.3">
      <c r="A828" s="200"/>
      <c r="B828" s="202"/>
      <c r="C828" s="32"/>
      <c r="D828" s="32"/>
      <c r="E828" s="33"/>
      <c r="F828" s="43" t="s">
        <v>558</v>
      </c>
      <c r="G828" s="31" t="str">
        <f>IF(ISNUMBER(F828),E828*F828,"")</f>
        <v/>
      </c>
      <c r="H828" s="35"/>
      <c r="I828" s="31"/>
      <c r="J828" s="155">
        <v>0</v>
      </c>
    </row>
    <row r="829" spans="1:10" ht="15.75" hidden="1" thickBot="1" x14ac:dyDescent="0.3">
      <c r="A829" s="200"/>
      <c r="B829" s="202"/>
      <c r="C829" s="36" t="s">
        <v>50</v>
      </c>
      <c r="D829" s="47" t="s">
        <v>12</v>
      </c>
      <c r="E829" s="37">
        <v>1.2</v>
      </c>
      <c r="F829" s="31">
        <v>19.911999999999999</v>
      </c>
      <c r="G829" s="31">
        <f>IF(ISNUMBER(F829),E829*F829,"")</f>
        <v>23.894399999999997</v>
      </c>
      <c r="H829" s="39">
        <f>SUM(G829:G830)</f>
        <v>44.65379999999999</v>
      </c>
      <c r="I829" s="40"/>
      <c r="J829" s="155">
        <v>0</v>
      </c>
    </row>
    <row r="830" spans="1:10" ht="15.75" hidden="1" thickBot="1" x14ac:dyDescent="0.3">
      <c r="A830" s="200"/>
      <c r="B830" s="202"/>
      <c r="C830" s="36" t="s">
        <v>27</v>
      </c>
      <c r="D830" s="47" t="s">
        <v>12</v>
      </c>
      <c r="E830" s="37">
        <v>1.2</v>
      </c>
      <c r="F830" s="31">
        <v>17.299499999999998</v>
      </c>
      <c r="G830" s="31">
        <f>IF(ISNUMBER(F830),E830*F830,"")</f>
        <v>20.759399999999996</v>
      </c>
      <c r="H830" s="35"/>
      <c r="I830" s="31"/>
      <c r="J830" s="155">
        <v>0</v>
      </c>
    </row>
    <row r="831" spans="1:10" ht="15.75" hidden="1" thickBot="1" x14ac:dyDescent="0.3">
      <c r="A831" s="201"/>
      <c r="B831" s="188"/>
      <c r="C831" s="36"/>
      <c r="D831" s="36"/>
      <c r="E831" s="37"/>
      <c r="F831" s="31" t="s">
        <v>558</v>
      </c>
      <c r="G831" s="31" t="str">
        <f>IF(ISNUMBER(F831),E831*F831,"")</f>
        <v/>
      </c>
      <c r="H831" s="35"/>
      <c r="I831" s="31"/>
      <c r="J831" s="155">
        <v>0</v>
      </c>
    </row>
    <row r="832" spans="1:10" ht="15.75" hidden="1" thickBot="1" x14ac:dyDescent="0.3">
      <c r="A832" s="180" t="s">
        <v>295</v>
      </c>
      <c r="B832" s="186" t="str">
        <f>INDEX(Orçamentária!A:B,MATCH(Composições!A832,Orçamentária!A:A,0),2)</f>
        <v>Tabica metálica em forro de gesso acartonado</v>
      </c>
      <c r="C832" s="41"/>
      <c r="D832" s="26" t="str">
        <f>TRIM(INDEX(Orçamentária!C:C,MATCH(Composições!A832,Orçamentária!A:A,0),1))</f>
        <v>m</v>
      </c>
      <c r="E832" s="27"/>
      <c r="F832" s="42" t="s">
        <v>558</v>
      </c>
      <c r="G832" s="28" t="str">
        <f>IF(ISNUMBER(F832),E832*F832,"")</f>
        <v/>
      </c>
      <c r="H832" s="29"/>
      <c r="I832" s="30"/>
      <c r="J832" s="155">
        <v>0</v>
      </c>
    </row>
    <row r="833" spans="1:10" ht="15.75" hidden="1" thickBot="1" x14ac:dyDescent="0.3">
      <c r="A833" s="200"/>
      <c r="B833" s="202"/>
      <c r="C833" s="32"/>
      <c r="D833" s="32"/>
      <c r="E833" s="33"/>
      <c r="F833" s="43" t="s">
        <v>558</v>
      </c>
      <c r="G833" s="31" t="str">
        <f>IF(ISNUMBER(F833),E833*F833,"")</f>
        <v/>
      </c>
      <c r="H833" s="35"/>
      <c r="I833" s="31"/>
      <c r="J833" s="155">
        <v>0</v>
      </c>
    </row>
    <row r="834" spans="1:10" ht="26.25" hidden="1" thickBot="1" x14ac:dyDescent="0.3">
      <c r="A834" s="200"/>
      <c r="B834" s="202"/>
      <c r="C834" s="36" t="s">
        <v>296</v>
      </c>
      <c r="D834" s="36" t="s">
        <v>93</v>
      </c>
      <c r="E834" s="37">
        <v>1.1512</v>
      </c>
      <c r="F834" s="34">
        <v>5.7569999999999997</v>
      </c>
      <c r="G834" s="34">
        <f>IF(ISNUMBER(F834),E834*F834,"")</f>
        <v>6.6274583999999992</v>
      </c>
      <c r="H834" s="39">
        <f>SUM(G834:G837)</f>
        <v>11.45793385</v>
      </c>
      <c r="I834" s="40"/>
      <c r="J834" s="155">
        <v>0</v>
      </c>
    </row>
    <row r="835" spans="1:10" ht="26.25" hidden="1" thickBot="1" x14ac:dyDescent="0.3">
      <c r="A835" s="200"/>
      <c r="B835" s="202"/>
      <c r="C835" s="36" t="s">
        <v>165</v>
      </c>
      <c r="D835" s="36" t="s">
        <v>20</v>
      </c>
      <c r="E835" s="37">
        <v>0.58330000000000004</v>
      </c>
      <c r="F835" s="34">
        <v>0.152</v>
      </c>
      <c r="G835" s="34">
        <f>IF(ISNUMBER(F835),E835*F835,"")</f>
        <v>8.8661600000000007E-2</v>
      </c>
      <c r="H835" s="56"/>
      <c r="I835" s="57"/>
      <c r="J835" s="155">
        <v>0</v>
      </c>
    </row>
    <row r="836" spans="1:10" ht="26.25" hidden="1" thickBot="1" x14ac:dyDescent="0.3">
      <c r="A836" s="200"/>
      <c r="B836" s="202"/>
      <c r="C836" s="36" t="s">
        <v>279</v>
      </c>
      <c r="D836" s="36" t="s">
        <v>156</v>
      </c>
      <c r="E836" s="37">
        <v>7.4899999999999994E-2</v>
      </c>
      <c r="F836" s="34">
        <v>29.402499999999996</v>
      </c>
      <c r="G836" s="34">
        <f>IF(ISNUMBER(F836),E836*F836,"")</f>
        <v>2.2022472499999997</v>
      </c>
      <c r="H836" s="56"/>
      <c r="I836" s="57"/>
      <c r="J836" s="155">
        <v>0</v>
      </c>
    </row>
    <row r="837" spans="1:10" ht="15.75" hidden="1" thickBot="1" x14ac:dyDescent="0.3">
      <c r="A837" s="200"/>
      <c r="B837" s="202"/>
      <c r="C837" s="36" t="s">
        <v>27</v>
      </c>
      <c r="D837" s="36" t="s">
        <v>12</v>
      </c>
      <c r="E837" s="37">
        <v>0.14680000000000001</v>
      </c>
      <c r="F837" s="31">
        <v>17.299499999999998</v>
      </c>
      <c r="G837" s="34">
        <f>IF(ISNUMBER(F837),E837*F837,"")</f>
        <v>2.5395666000000001</v>
      </c>
      <c r="H837" s="56"/>
      <c r="I837" s="57"/>
      <c r="J837" s="155">
        <v>0</v>
      </c>
    </row>
    <row r="838" spans="1:10" ht="15.75" hidden="1" thickBot="1" x14ac:dyDescent="0.3">
      <c r="A838" s="201"/>
      <c r="B838" s="188"/>
      <c r="C838" s="36"/>
      <c r="D838" s="36"/>
      <c r="E838" s="37"/>
      <c r="F838" s="31" t="s">
        <v>558</v>
      </c>
      <c r="G838" s="34" t="str">
        <f>IF(ISNUMBER(F838),E838*F838,"")</f>
        <v/>
      </c>
      <c r="H838" s="35"/>
      <c r="I838" s="31"/>
      <c r="J838" s="155">
        <v>0</v>
      </c>
    </row>
    <row r="839" spans="1:10" ht="15.75" hidden="1" thickBot="1" x14ac:dyDescent="0.3">
      <c r="A839" s="180" t="s">
        <v>297</v>
      </c>
      <c r="B839" s="186" t="str">
        <f>INDEX(Orçamentária!A:B,MATCH(Composições!A839,Orçamentária!A:A,0),2)</f>
        <v>Instalação de revestimento de piso têxtil (carpete) reaproveitado</v>
      </c>
      <c r="C839" s="41"/>
      <c r="D839" s="26" t="str">
        <f>TRIM(INDEX(Orçamentária!C:C,MATCH(Composições!A839,Orçamentária!A:A,0),1))</f>
        <v>m2</v>
      </c>
      <c r="E839" s="27"/>
      <c r="F839" s="42" t="s">
        <v>558</v>
      </c>
      <c r="G839" s="28" t="str">
        <f>IF(ISNUMBER(F839),E839*F839,"")</f>
        <v/>
      </c>
      <c r="H839" s="29"/>
      <c r="I839" s="30"/>
      <c r="J839" s="155">
        <v>0</v>
      </c>
    </row>
    <row r="840" spans="1:10" ht="15.75" hidden="1" thickBot="1" x14ac:dyDescent="0.3">
      <c r="A840" s="200"/>
      <c r="B840" s="202"/>
      <c r="C840" s="32"/>
      <c r="D840" s="32"/>
      <c r="E840" s="33"/>
      <c r="F840" s="43" t="s">
        <v>558</v>
      </c>
      <c r="G840" s="31" t="str">
        <f>IF(ISNUMBER(F840),E840*F840,"")</f>
        <v/>
      </c>
      <c r="H840" s="35"/>
      <c r="I840" s="31"/>
      <c r="J840" s="155">
        <v>0</v>
      </c>
    </row>
    <row r="841" spans="1:10" ht="15.75" hidden="1" thickBot="1" x14ac:dyDescent="0.3">
      <c r="A841" s="200"/>
      <c r="B841" s="202"/>
      <c r="C841" s="36" t="s">
        <v>23</v>
      </c>
      <c r="D841" s="36" t="s">
        <v>12</v>
      </c>
      <c r="E841" s="37">
        <v>0.1</v>
      </c>
      <c r="F841" s="31">
        <v>16.729499999999998</v>
      </c>
      <c r="G841" s="34">
        <f>IF(ISNUMBER(F841),E841*F841,"")</f>
        <v>1.6729499999999999</v>
      </c>
      <c r="H841" s="39">
        <f>SUM(G841:G843)</f>
        <v>6.4913499999999997</v>
      </c>
      <c r="I841" s="40"/>
      <c r="J841" s="155">
        <v>0</v>
      </c>
    </row>
    <row r="842" spans="1:10" ht="15.75" hidden="1" thickBot="1" x14ac:dyDescent="0.3">
      <c r="A842" s="200"/>
      <c r="B842" s="202"/>
      <c r="C842" s="36" t="s">
        <v>22</v>
      </c>
      <c r="D842" s="36" t="s">
        <v>12</v>
      </c>
      <c r="E842" s="37">
        <v>0.1</v>
      </c>
      <c r="F842" s="31">
        <v>22.704999999999998</v>
      </c>
      <c r="G842" s="34">
        <f>IF(ISNUMBER(F842),E842*F842,"")</f>
        <v>2.2704999999999997</v>
      </c>
      <c r="H842" s="35"/>
      <c r="I842" s="31"/>
      <c r="J842" s="155">
        <v>0</v>
      </c>
    </row>
    <row r="843" spans="1:10" ht="15.75" hidden="1" thickBot="1" x14ac:dyDescent="0.3">
      <c r="A843" s="200"/>
      <c r="B843" s="202"/>
      <c r="C843" s="36" t="s">
        <v>298</v>
      </c>
      <c r="D843" s="36" t="s">
        <v>42</v>
      </c>
      <c r="E843" s="37">
        <v>0.1</v>
      </c>
      <c r="F843" s="34">
        <v>25.478999999999999</v>
      </c>
      <c r="G843" s="31">
        <f>IF(ISNUMBER(F843),E843*F843,"")</f>
        <v>2.5479000000000003</v>
      </c>
      <c r="H843" s="35"/>
      <c r="I843" s="31"/>
      <c r="J843" s="155">
        <v>0</v>
      </c>
    </row>
    <row r="844" spans="1:10" ht="15.75" hidden="1" thickBot="1" x14ac:dyDescent="0.3">
      <c r="A844" s="201"/>
      <c r="B844" s="188"/>
      <c r="C844" s="36"/>
      <c r="D844" s="36"/>
      <c r="E844" s="37"/>
      <c r="F844" s="31" t="s">
        <v>558</v>
      </c>
      <c r="G844" s="31" t="str">
        <f>IF(ISNUMBER(F844),E844*F844,"")</f>
        <v/>
      </c>
      <c r="H844" s="35"/>
      <c r="I844" s="31"/>
      <c r="J844" s="155">
        <v>0</v>
      </c>
    </row>
    <row r="845" spans="1:10" ht="15.75" hidden="1" thickBot="1" x14ac:dyDescent="0.3">
      <c r="A845" s="180" t="s">
        <v>299</v>
      </c>
      <c r="B845" s="186" t="str">
        <f>INDEX(Orçamentária!A:B,MATCH(Composições!A845,Orçamentária!A:A,0),2)</f>
        <v>Baguetes metálicos</v>
      </c>
      <c r="C845" s="41"/>
      <c r="D845" s="26" t="str">
        <f>TRIM(INDEX(Orçamentária!C:C,MATCH(Composições!A845,Orçamentária!A:A,0),1))</f>
        <v>m</v>
      </c>
      <c r="E845" s="27"/>
      <c r="F845" s="42" t="s">
        <v>558</v>
      </c>
      <c r="G845" s="28" t="str">
        <f>IF(ISNUMBER(F845),E845*F845,"")</f>
        <v/>
      </c>
      <c r="H845" s="29"/>
      <c r="I845" s="30"/>
      <c r="J845" s="155">
        <v>0</v>
      </c>
    </row>
    <row r="846" spans="1:10" ht="15.75" hidden="1" thickBot="1" x14ac:dyDescent="0.3">
      <c r="A846" s="181"/>
      <c r="B846" s="202"/>
      <c r="C846" s="32"/>
      <c r="D846" s="32"/>
      <c r="E846" s="33"/>
      <c r="F846" s="43" t="s">
        <v>558</v>
      </c>
      <c r="G846" s="31" t="str">
        <f>IF(ISNUMBER(F846),E846*F846,"")</f>
        <v/>
      </c>
      <c r="H846" s="35"/>
      <c r="I846" s="31"/>
      <c r="J846" s="155">
        <v>0</v>
      </c>
    </row>
    <row r="847" spans="1:10" ht="15.75" hidden="1" thickBot="1" x14ac:dyDescent="0.3">
      <c r="A847" s="181"/>
      <c r="B847" s="202"/>
      <c r="C847" s="36" t="s">
        <v>68</v>
      </c>
      <c r="D847" s="47" t="s">
        <v>12</v>
      </c>
      <c r="E847" s="37">
        <v>0.25</v>
      </c>
      <c r="F847" s="31">
        <v>21.080500000000001</v>
      </c>
      <c r="G847" s="34">
        <f>IF(ISNUMBER(F847),E847*F847,"")</f>
        <v>5.2701250000000002</v>
      </c>
      <c r="H847" s="39">
        <f>SUM(G847:G848)</f>
        <v>5.2701250000000002</v>
      </c>
      <c r="I847" s="40"/>
      <c r="J847" s="155">
        <v>0</v>
      </c>
    </row>
    <row r="848" spans="1:10" ht="15.75" hidden="1" thickBot="1" x14ac:dyDescent="0.3">
      <c r="A848" s="181"/>
      <c r="B848" s="202"/>
      <c r="C848" s="36" t="s">
        <v>300</v>
      </c>
      <c r="D848" s="47" t="s">
        <v>93</v>
      </c>
      <c r="E848" s="37">
        <v>1.05</v>
      </c>
      <c r="F848" s="34" t="s">
        <v>558</v>
      </c>
      <c r="G848" s="34" t="str">
        <f>IF(ISNUMBER(F848),E848*F848,"")</f>
        <v/>
      </c>
      <c r="H848" s="35"/>
      <c r="I848" s="31"/>
      <c r="J848" s="155">
        <v>0</v>
      </c>
    </row>
    <row r="849" spans="1:10" ht="15.75" hidden="1" thickBot="1" x14ac:dyDescent="0.3">
      <c r="A849" s="182"/>
      <c r="B849" s="188"/>
      <c r="C849" s="36"/>
      <c r="D849" s="47"/>
      <c r="E849" s="37"/>
      <c r="F849" s="34" t="s">
        <v>558</v>
      </c>
      <c r="G849" s="34" t="str">
        <f>IF(ISNUMBER(F849),E849*F849,"")</f>
        <v/>
      </c>
      <c r="H849" s="35"/>
      <c r="I849" s="31"/>
      <c r="J849" s="155">
        <v>0</v>
      </c>
    </row>
    <row r="850" spans="1:10" ht="15.75" hidden="1" thickBot="1" x14ac:dyDescent="0.3">
      <c r="A850" s="180" t="s">
        <v>301</v>
      </c>
      <c r="B850" s="186" t="str">
        <f>INDEX(Orçamentária!A:B,MATCH(Composições!A850,Orçamentária!A:A,0),2)</f>
        <v>Cordão de massa de vidraceiro</v>
      </c>
      <c r="C850" s="41"/>
      <c r="D850" s="26" t="str">
        <f>TRIM(INDEX(Orçamentária!C:C,MATCH(Composições!A850,Orçamentária!A:A,0),1))</f>
        <v>m</v>
      </c>
      <c r="E850" s="27"/>
      <c r="F850" s="42" t="s">
        <v>558</v>
      </c>
      <c r="G850" s="28" t="str">
        <f>IF(ISNUMBER(F850),E850*F850,"")</f>
        <v/>
      </c>
      <c r="H850" s="29"/>
      <c r="I850" s="30"/>
      <c r="J850" s="155">
        <v>0</v>
      </c>
    </row>
    <row r="851" spans="1:10" ht="15.75" hidden="1" thickBot="1" x14ac:dyDescent="0.3">
      <c r="A851" s="181"/>
      <c r="B851" s="202"/>
      <c r="C851" s="32"/>
      <c r="D851" s="32"/>
      <c r="E851" s="33"/>
      <c r="F851" s="43" t="s">
        <v>558</v>
      </c>
      <c r="G851" s="31" t="str">
        <f>IF(ISNUMBER(F851),E851*F851,"")</f>
        <v/>
      </c>
      <c r="H851" s="35"/>
      <c r="I851" s="31"/>
      <c r="J851" s="155">
        <v>0</v>
      </c>
    </row>
    <row r="852" spans="1:10" ht="15.75" hidden="1" thickBot="1" x14ac:dyDescent="0.3">
      <c r="A852" s="181"/>
      <c r="B852" s="202"/>
      <c r="C852" s="36" t="s">
        <v>68</v>
      </c>
      <c r="D852" s="47" t="s">
        <v>12</v>
      </c>
      <c r="E852" s="37">
        <v>0.5</v>
      </c>
      <c r="F852" s="31">
        <v>21.080500000000001</v>
      </c>
      <c r="G852" s="34">
        <f>IF(ISNUMBER(F852),E852*F852,"")</f>
        <v>10.54025</v>
      </c>
      <c r="H852" s="39">
        <f>SUM(G852:G854)</f>
        <v>17.669525</v>
      </c>
      <c r="I852" s="40"/>
      <c r="J852" s="155">
        <v>0</v>
      </c>
    </row>
    <row r="853" spans="1:10" ht="15.75" hidden="1" thickBot="1" x14ac:dyDescent="0.3">
      <c r="A853" s="181"/>
      <c r="B853" s="202"/>
      <c r="C853" s="36" t="s">
        <v>23</v>
      </c>
      <c r="D853" s="47" t="s">
        <v>12</v>
      </c>
      <c r="E853" s="37">
        <f>E852/2</f>
        <v>0.25</v>
      </c>
      <c r="F853" s="34">
        <v>16.729499999999998</v>
      </c>
      <c r="G853" s="31">
        <f>IF(ISNUMBER(F853),E853*F853,"")</f>
        <v>4.1823749999999995</v>
      </c>
      <c r="H853" s="35"/>
      <c r="I853" s="31"/>
      <c r="J853" s="155">
        <v>0</v>
      </c>
    </row>
    <row r="854" spans="1:10" ht="15.75" hidden="1" thickBot="1" x14ac:dyDescent="0.3">
      <c r="A854" s="181"/>
      <c r="B854" s="202"/>
      <c r="C854" s="36" t="s">
        <v>302</v>
      </c>
      <c r="D854" s="36" t="s">
        <v>42</v>
      </c>
      <c r="E854" s="37">
        <v>0.6</v>
      </c>
      <c r="F854" s="34">
        <v>4.9114999999999993</v>
      </c>
      <c r="G854" s="31">
        <f>IF(ISNUMBER(F854),E854*F854,"")</f>
        <v>2.9468999999999994</v>
      </c>
      <c r="H854" s="35"/>
      <c r="I854" s="31"/>
      <c r="J854" s="155">
        <v>0</v>
      </c>
    </row>
    <row r="855" spans="1:10" ht="15.75" hidden="1" thickBot="1" x14ac:dyDescent="0.3">
      <c r="A855" s="182"/>
      <c r="B855" s="188"/>
      <c r="C855" s="36"/>
      <c r="D855" s="36"/>
      <c r="E855" s="37"/>
      <c r="F855" s="31" t="s">
        <v>558</v>
      </c>
      <c r="G855" s="31" t="str">
        <f>IF(ISNUMBER(F855),E855*F855,"")</f>
        <v/>
      </c>
      <c r="H855" s="35"/>
      <c r="I855" s="31"/>
      <c r="J855" s="155">
        <v>0</v>
      </c>
    </row>
    <row r="856" spans="1:10" ht="15.75" hidden="1" thickBot="1" x14ac:dyDescent="0.3">
      <c r="A856" s="180" t="s">
        <v>303</v>
      </c>
      <c r="B856" s="186" t="str">
        <f>INDEX(Orçamentária!A:B,MATCH(Composições!A856,Orçamentária!A:A,0),2)</f>
        <v>Espelho cristal, e=5 mm</v>
      </c>
      <c r="C856" s="41"/>
      <c r="D856" s="26" t="str">
        <f>TRIM(INDEX(Orçamentária!C:C,MATCH(Composições!A856,Orçamentária!A:A,0),1))</f>
        <v>m2</v>
      </c>
      <c r="E856" s="27"/>
      <c r="F856" s="42" t="s">
        <v>558</v>
      </c>
      <c r="G856" s="28" t="str">
        <f>IF(ISNUMBER(F856),E856*F856,"")</f>
        <v/>
      </c>
      <c r="H856" s="29"/>
      <c r="I856" s="30"/>
      <c r="J856" s="155">
        <v>0</v>
      </c>
    </row>
    <row r="857" spans="1:10" ht="15.75" hidden="1" thickBot="1" x14ac:dyDescent="0.3">
      <c r="A857" s="200"/>
      <c r="B857" s="202"/>
      <c r="C857" s="32"/>
      <c r="D857" s="32"/>
      <c r="E857" s="33"/>
      <c r="F857" s="43" t="s">
        <v>558</v>
      </c>
      <c r="G857" s="31" t="str">
        <f>IF(ISNUMBER(F857),E857*F857,"")</f>
        <v/>
      </c>
      <c r="H857" s="35"/>
      <c r="I857" s="31"/>
      <c r="J857" s="155">
        <v>0</v>
      </c>
    </row>
    <row r="858" spans="1:10" ht="15.75" hidden="1" thickBot="1" x14ac:dyDescent="0.3">
      <c r="A858" s="200"/>
      <c r="B858" s="202"/>
      <c r="C858" s="36" t="s">
        <v>304</v>
      </c>
      <c r="D858" s="47" t="s">
        <v>95</v>
      </c>
      <c r="E858" s="37">
        <v>1</v>
      </c>
      <c r="F858" s="31">
        <v>0</v>
      </c>
      <c r="G858" s="34">
        <f>IF(ISNUMBER(F858),E858*F858,"")</f>
        <v>0</v>
      </c>
      <c r="H858" s="39">
        <f>SUM(G858:G860)</f>
        <v>94.525000000000006</v>
      </c>
      <c r="I858" s="40"/>
      <c r="J858" s="155">
        <v>0</v>
      </c>
    </row>
    <row r="859" spans="1:10" ht="15.75" hidden="1" thickBot="1" x14ac:dyDescent="0.3">
      <c r="A859" s="200"/>
      <c r="B859" s="202"/>
      <c r="C859" s="36" t="s">
        <v>23</v>
      </c>
      <c r="D859" s="47" t="s">
        <v>12</v>
      </c>
      <c r="E859" s="37">
        <v>2.5</v>
      </c>
      <c r="F859" s="31">
        <v>16.729499999999998</v>
      </c>
      <c r="G859" s="34">
        <f>IF(ISNUMBER(F859),E859*F859,"")</f>
        <v>41.823749999999997</v>
      </c>
      <c r="H859" s="35"/>
      <c r="I859" s="31"/>
      <c r="J859" s="155">
        <v>0</v>
      </c>
    </row>
    <row r="860" spans="1:10" ht="15.75" hidden="1" thickBot="1" x14ac:dyDescent="0.3">
      <c r="A860" s="200"/>
      <c r="B860" s="202"/>
      <c r="C860" s="36" t="s">
        <v>68</v>
      </c>
      <c r="D860" s="47" t="s">
        <v>12</v>
      </c>
      <c r="E860" s="37">
        <v>2.5</v>
      </c>
      <c r="F860" s="31">
        <v>21.080500000000001</v>
      </c>
      <c r="G860" s="34">
        <f>IF(ISNUMBER(F860),E860*F860,"")</f>
        <v>52.701250000000002</v>
      </c>
      <c r="H860" s="35"/>
      <c r="I860" s="31"/>
      <c r="J860" s="155">
        <v>0</v>
      </c>
    </row>
    <row r="861" spans="1:10" ht="15.75" hidden="1" thickBot="1" x14ac:dyDescent="0.3">
      <c r="A861" s="201"/>
      <c r="B861" s="188"/>
      <c r="C861" s="36"/>
      <c r="D861" s="36"/>
      <c r="E861" s="37"/>
      <c r="F861" s="31" t="s">
        <v>558</v>
      </c>
      <c r="G861" s="31" t="str">
        <f>IF(ISNUMBER(F861),E861*F861,"")</f>
        <v/>
      </c>
      <c r="H861" s="35"/>
      <c r="I861" s="31"/>
      <c r="J861" s="155">
        <v>0</v>
      </c>
    </row>
    <row r="862" spans="1:10" ht="15.75" hidden="1" thickBot="1" x14ac:dyDescent="0.3">
      <c r="A862" s="180" t="s">
        <v>305</v>
      </c>
      <c r="B862" s="186" t="str">
        <f>INDEX(Orçamentária!A:B,MATCH(Composições!A862,Orçamentária!A:A,0),2)</f>
        <v>Instalação de vidro reaproveitado</v>
      </c>
      <c r="C862" s="41"/>
      <c r="D862" s="26" t="str">
        <f>TRIM(INDEX(Orçamentária!C:C,MATCH(Composições!A862,Orçamentária!A:A,0),1))</f>
        <v>m2</v>
      </c>
      <c r="E862" s="27"/>
      <c r="F862" s="42" t="s">
        <v>558</v>
      </c>
      <c r="G862" s="28" t="str">
        <f>IF(ISNUMBER(F862),E862*F862,"")</f>
        <v/>
      </c>
      <c r="H862" s="29"/>
      <c r="I862" s="30"/>
      <c r="J862" s="155">
        <v>0</v>
      </c>
    </row>
    <row r="863" spans="1:10" ht="15.75" hidden="1" thickBot="1" x14ac:dyDescent="0.3">
      <c r="A863" s="200"/>
      <c r="B863" s="202"/>
      <c r="C863" s="32"/>
      <c r="D863" s="32"/>
      <c r="E863" s="33"/>
      <c r="F863" s="43" t="s">
        <v>558</v>
      </c>
      <c r="G863" s="31" t="str">
        <f>IF(ISNUMBER(F863),E863*F863,"")</f>
        <v/>
      </c>
      <c r="H863" s="35"/>
      <c r="I863" s="31"/>
      <c r="J863" s="155">
        <v>0</v>
      </c>
    </row>
    <row r="864" spans="1:10" ht="15.75" hidden="1" thickBot="1" x14ac:dyDescent="0.3">
      <c r="A864" s="200"/>
      <c r="B864" s="202"/>
      <c r="C864" s="36" t="s">
        <v>68</v>
      </c>
      <c r="D864" s="47" t="s">
        <v>12</v>
      </c>
      <c r="E864" s="37">
        <v>1</v>
      </c>
      <c r="F864" s="31">
        <v>21.080500000000001</v>
      </c>
      <c r="G864" s="34">
        <f>IF(ISNUMBER(F864),E864*F864,"")</f>
        <v>21.080500000000001</v>
      </c>
      <c r="H864" s="39">
        <f>SUM(G864:G865)</f>
        <v>30.903500000000001</v>
      </c>
      <c r="I864" s="40"/>
      <c r="J864" s="155">
        <v>0</v>
      </c>
    </row>
    <row r="865" spans="1:10" ht="15.75" hidden="1" thickBot="1" x14ac:dyDescent="0.3">
      <c r="A865" s="200"/>
      <c r="B865" s="202"/>
      <c r="C865" s="36" t="s">
        <v>302</v>
      </c>
      <c r="D865" s="47" t="s">
        <v>42</v>
      </c>
      <c r="E865" s="37">
        <v>2</v>
      </c>
      <c r="F865" s="34">
        <v>4.9114999999999993</v>
      </c>
      <c r="G865" s="34">
        <f>IF(ISNUMBER(F865),E865*F865,"")</f>
        <v>9.8229999999999986</v>
      </c>
      <c r="H865" s="35"/>
      <c r="I865" s="31"/>
      <c r="J865" s="155">
        <v>0</v>
      </c>
    </row>
    <row r="866" spans="1:10" ht="15.75" hidden="1" thickBot="1" x14ac:dyDescent="0.3">
      <c r="A866" s="200"/>
      <c r="B866" s="202"/>
      <c r="C866" s="36"/>
      <c r="D866" s="47"/>
      <c r="E866" s="37"/>
      <c r="F866" s="34" t="s">
        <v>558</v>
      </c>
      <c r="G866" s="34" t="str">
        <f>IF(ISNUMBER(F866),E866*F866,"")</f>
        <v/>
      </c>
      <c r="H866" s="35"/>
      <c r="I866" s="31"/>
      <c r="J866" s="155">
        <v>0</v>
      </c>
    </row>
    <row r="867" spans="1:10" ht="15.75" hidden="1" thickBot="1" x14ac:dyDescent="0.3">
      <c r="A867" s="180" t="s">
        <v>306</v>
      </c>
      <c r="B867" s="186" t="str">
        <f>INDEX(Orçamentária!A:B,MATCH(Composições!A867,Orçamentária!A:A,0),2)</f>
        <v>Substituição da calafetação com selante</v>
      </c>
      <c r="C867" s="41"/>
      <c r="D867" s="26" t="str">
        <f>TRIM(INDEX(Orçamentária!C:C,MATCH(Composições!A867,Orçamentária!A:A,0),1))</f>
        <v>m</v>
      </c>
      <c r="E867" s="27"/>
      <c r="F867" s="42" t="s">
        <v>558</v>
      </c>
      <c r="G867" s="28" t="str">
        <f>IF(ISNUMBER(F867),E867*F867,"")</f>
        <v/>
      </c>
      <c r="H867" s="29"/>
      <c r="I867" s="30"/>
      <c r="J867" s="155">
        <v>0</v>
      </c>
    </row>
    <row r="868" spans="1:10" ht="15.75" hidden="1" thickBot="1" x14ac:dyDescent="0.3">
      <c r="A868" s="181"/>
      <c r="B868" s="202"/>
      <c r="C868" s="32"/>
      <c r="D868" s="32"/>
      <c r="E868" s="33"/>
      <c r="F868" s="43" t="s">
        <v>558</v>
      </c>
      <c r="G868" s="31" t="str">
        <f>IF(ISNUMBER(F868),E868*F868,"")</f>
        <v/>
      </c>
      <c r="H868" s="35"/>
      <c r="I868" s="31"/>
      <c r="J868" s="155">
        <v>0</v>
      </c>
    </row>
    <row r="869" spans="1:10" ht="15.75" hidden="1" thickBot="1" x14ac:dyDescent="0.3">
      <c r="A869" s="181"/>
      <c r="B869" s="202"/>
      <c r="C869" s="36" t="s">
        <v>68</v>
      </c>
      <c r="D869" s="47" t="s">
        <v>12</v>
      </c>
      <c r="E869" s="37">
        <v>0.5</v>
      </c>
      <c r="F869" s="31">
        <v>21.080500000000001</v>
      </c>
      <c r="G869" s="31">
        <f>IF(ISNUMBER(F869),E869*F869,"")</f>
        <v>10.54025</v>
      </c>
      <c r="H869" s="39">
        <f>SUM(G869:G871)</f>
        <v>21.4542851</v>
      </c>
      <c r="I869" s="40"/>
      <c r="J869" s="155">
        <v>0</v>
      </c>
    </row>
    <row r="870" spans="1:10" ht="15.75" hidden="1" thickBot="1" x14ac:dyDescent="0.3">
      <c r="A870" s="181"/>
      <c r="B870" s="202"/>
      <c r="C870" s="36" t="s">
        <v>23</v>
      </c>
      <c r="D870" s="47" t="s">
        <v>12</v>
      </c>
      <c r="E870" s="37">
        <f>E869/2</f>
        <v>0.25</v>
      </c>
      <c r="F870" s="34">
        <v>16.729499999999998</v>
      </c>
      <c r="G870" s="31">
        <f>IF(ISNUMBER(F870),E870*F870,"")</f>
        <v>4.1823749999999995</v>
      </c>
      <c r="H870" s="35"/>
      <c r="I870" s="31"/>
      <c r="J870" s="155">
        <v>0</v>
      </c>
    </row>
    <row r="871" spans="1:10" ht="15.75" hidden="1" thickBot="1" x14ac:dyDescent="0.3">
      <c r="A871" s="181"/>
      <c r="B871" s="202"/>
      <c r="C871" s="36" t="s">
        <v>307</v>
      </c>
      <c r="D871" s="47" t="s">
        <v>20</v>
      </c>
      <c r="E871" s="37">
        <f>ROUND(1/3,4)</f>
        <v>0.33329999999999999</v>
      </c>
      <c r="F871" s="34">
        <v>20.196999999999999</v>
      </c>
      <c r="G871" s="31">
        <f>IF(ISNUMBER(F871),E871*F871,"")</f>
        <v>6.7316600999999991</v>
      </c>
      <c r="H871" s="35"/>
      <c r="I871" s="31"/>
      <c r="J871" s="155">
        <v>0</v>
      </c>
    </row>
    <row r="872" spans="1:10" ht="15.75" hidden="1" thickBot="1" x14ac:dyDescent="0.3">
      <c r="A872" s="181"/>
      <c r="B872" s="202"/>
      <c r="C872" s="36"/>
      <c r="D872" s="47"/>
      <c r="E872" s="37"/>
      <c r="F872" s="31" t="s">
        <v>558</v>
      </c>
      <c r="G872" s="31" t="str">
        <f>IF(ISNUMBER(F872),E872*F872,"")</f>
        <v/>
      </c>
      <c r="H872" s="35"/>
      <c r="I872" s="31"/>
      <c r="J872" s="155">
        <v>0</v>
      </c>
    </row>
    <row r="873" spans="1:10" ht="26.25" hidden="1" thickBot="1" x14ac:dyDescent="0.3">
      <c r="A873" s="181"/>
      <c r="B873" s="202"/>
      <c r="C873" s="58" t="s">
        <v>308</v>
      </c>
      <c r="D873" s="58"/>
      <c r="E873" s="59"/>
      <c r="F873" s="60" t="s">
        <v>558</v>
      </c>
      <c r="G873" s="58" t="str">
        <f>IF(ISNUMBER(F873),E873*F873,"")</f>
        <v/>
      </c>
      <c r="H873" s="61"/>
      <c r="I873" s="58"/>
      <c r="J873" s="155">
        <v>0</v>
      </c>
    </row>
    <row r="874" spans="1:10" ht="15.75" hidden="1" thickBot="1" x14ac:dyDescent="0.3">
      <c r="A874" s="182"/>
      <c r="B874" s="188"/>
      <c r="C874" s="36"/>
      <c r="D874" s="36"/>
      <c r="E874" s="37"/>
      <c r="F874" s="31" t="s">
        <v>558</v>
      </c>
      <c r="G874" s="31" t="str">
        <f>IF(ISNUMBER(F874),E874*F874,"")</f>
        <v/>
      </c>
      <c r="H874" s="35"/>
      <c r="I874" s="31"/>
      <c r="J874" s="155">
        <v>0</v>
      </c>
    </row>
    <row r="875" spans="1:10" ht="15.75" hidden="1" thickBot="1" x14ac:dyDescent="0.3">
      <c r="A875" s="180" t="s">
        <v>309</v>
      </c>
      <c r="B875" s="186" t="str">
        <f>INDEX(Orçamentária!A:B,MATCH(Composições!A875,Orçamentária!A:A,0),2)</f>
        <v>Vidro liso comum transparente 4mm</v>
      </c>
      <c r="C875" s="41"/>
      <c r="D875" s="26" t="str">
        <f>TRIM(INDEX(Orçamentária!C:C,MATCH(Composições!A875,Orçamentária!A:A,0),1))</f>
        <v>m2</v>
      </c>
      <c r="E875" s="27"/>
      <c r="F875" s="42" t="s">
        <v>558</v>
      </c>
      <c r="G875" s="28" t="str">
        <f>IF(ISNUMBER(F875),E875*F875,"")</f>
        <v/>
      </c>
      <c r="H875" s="29"/>
      <c r="I875" s="30"/>
      <c r="J875" s="155">
        <v>0</v>
      </c>
    </row>
    <row r="876" spans="1:10" ht="15.75" hidden="1" thickBot="1" x14ac:dyDescent="0.3">
      <c r="A876" s="181"/>
      <c r="B876" s="202"/>
      <c r="C876" s="32"/>
      <c r="D876" s="32"/>
      <c r="E876" s="33"/>
      <c r="F876" s="43" t="s">
        <v>558</v>
      </c>
      <c r="G876" s="31" t="str">
        <f>IF(ISNUMBER(F876),E876*F876,"")</f>
        <v/>
      </c>
      <c r="H876" s="35"/>
      <c r="I876" s="31"/>
      <c r="J876" s="155">
        <v>0</v>
      </c>
    </row>
    <row r="877" spans="1:10" ht="15.75" hidden="1" thickBot="1" x14ac:dyDescent="0.3">
      <c r="A877" s="181"/>
      <c r="B877" s="202"/>
      <c r="C877" s="36" t="s">
        <v>68</v>
      </c>
      <c r="D877" s="47" t="s">
        <v>12</v>
      </c>
      <c r="E877" s="37">
        <v>1</v>
      </c>
      <c r="F877" s="31">
        <v>21.080500000000001</v>
      </c>
      <c r="G877" s="34">
        <f>IF(ISNUMBER(F877),E877*F877,"")</f>
        <v>21.080500000000001</v>
      </c>
      <c r="H877" s="39">
        <f>SUM(G877:G879)</f>
        <v>108.16699999999999</v>
      </c>
      <c r="I877" s="40"/>
      <c r="J877" s="155">
        <v>0</v>
      </c>
    </row>
    <row r="878" spans="1:10" ht="15.75" hidden="1" thickBot="1" x14ac:dyDescent="0.3">
      <c r="A878" s="181"/>
      <c r="B878" s="202"/>
      <c r="C878" s="36" t="s">
        <v>310</v>
      </c>
      <c r="D878" s="47" t="s">
        <v>95</v>
      </c>
      <c r="E878" s="37">
        <v>1</v>
      </c>
      <c r="F878" s="34">
        <v>77.263499999999993</v>
      </c>
      <c r="G878" s="34">
        <f>IF(ISNUMBER(F878),E878*F878,"")</f>
        <v>77.263499999999993</v>
      </c>
      <c r="H878" s="35"/>
      <c r="I878" s="31"/>
      <c r="J878" s="155">
        <v>0</v>
      </c>
    </row>
    <row r="879" spans="1:10" ht="15.75" hidden="1" thickBot="1" x14ac:dyDescent="0.3">
      <c r="A879" s="181"/>
      <c r="B879" s="202"/>
      <c r="C879" s="36" t="s">
        <v>302</v>
      </c>
      <c r="D879" s="47" t="s">
        <v>42</v>
      </c>
      <c r="E879" s="37">
        <v>2</v>
      </c>
      <c r="F879" s="34">
        <v>4.9114999999999993</v>
      </c>
      <c r="G879" s="34">
        <f>IF(ISNUMBER(F879),E879*F879,"")</f>
        <v>9.8229999999999986</v>
      </c>
      <c r="H879" s="35"/>
      <c r="I879" s="31"/>
      <c r="J879" s="155">
        <v>0</v>
      </c>
    </row>
    <row r="880" spans="1:10" ht="15.75" hidden="1" thickBot="1" x14ac:dyDescent="0.3">
      <c r="A880" s="182"/>
      <c r="B880" s="188"/>
      <c r="C880" s="36"/>
      <c r="D880" s="36"/>
      <c r="E880" s="37"/>
      <c r="F880" s="31" t="s">
        <v>558</v>
      </c>
      <c r="G880" s="31" t="str">
        <f>IF(ISNUMBER(F880),E880*F880,"")</f>
        <v/>
      </c>
      <c r="H880" s="35"/>
      <c r="I880" s="31"/>
      <c r="J880" s="155">
        <v>0</v>
      </c>
    </row>
    <row r="881" spans="1:10" ht="15.75" hidden="1" thickBot="1" x14ac:dyDescent="0.3">
      <c r="A881" s="180" t="s">
        <v>311</v>
      </c>
      <c r="B881" s="186" t="str">
        <f>INDEX(Orçamentária!A:B,MATCH(Composições!A881,Orçamentária!A:A,0),2)</f>
        <v>Vidro liso comum transparente 6mm</v>
      </c>
      <c r="C881" s="41"/>
      <c r="D881" s="26" t="str">
        <f>TRIM(INDEX(Orçamentária!C:C,MATCH(Composições!A881,Orçamentária!A:A,0),1))</f>
        <v>m2</v>
      </c>
      <c r="E881" s="27"/>
      <c r="F881" s="42" t="s">
        <v>558</v>
      </c>
      <c r="G881" s="28" t="str">
        <f>IF(ISNUMBER(F881),E881*F881,"")</f>
        <v/>
      </c>
      <c r="H881" s="29"/>
      <c r="I881" s="30"/>
      <c r="J881" s="155">
        <v>0</v>
      </c>
    </row>
    <row r="882" spans="1:10" ht="15.75" hidden="1" thickBot="1" x14ac:dyDescent="0.3">
      <c r="A882" s="181"/>
      <c r="B882" s="202"/>
      <c r="C882" s="32"/>
      <c r="D882" s="32"/>
      <c r="E882" s="33"/>
      <c r="F882" s="43" t="s">
        <v>558</v>
      </c>
      <c r="G882" s="31" t="str">
        <f>IF(ISNUMBER(F882),E882*F882,"")</f>
        <v/>
      </c>
      <c r="H882" s="35"/>
      <c r="I882" s="31"/>
      <c r="J882" s="155">
        <v>0</v>
      </c>
    </row>
    <row r="883" spans="1:10" ht="15.75" hidden="1" thickBot="1" x14ac:dyDescent="0.3">
      <c r="A883" s="181"/>
      <c r="B883" s="202"/>
      <c r="C883" s="36" t="s">
        <v>68</v>
      </c>
      <c r="D883" s="47" t="s">
        <v>12</v>
      </c>
      <c r="E883" s="37">
        <v>1</v>
      </c>
      <c r="F883" s="31">
        <v>21.080500000000001</v>
      </c>
      <c r="G883" s="31">
        <f>IF(ISNUMBER(F883),E883*F883,"")</f>
        <v>21.080500000000001</v>
      </c>
      <c r="H883" s="39">
        <f>SUM(G883:G885)</f>
        <v>140.36249999999998</v>
      </c>
      <c r="I883" s="40"/>
      <c r="J883" s="155">
        <v>0</v>
      </c>
    </row>
    <row r="884" spans="1:10" ht="15.75" hidden="1" thickBot="1" x14ac:dyDescent="0.3">
      <c r="A884" s="181"/>
      <c r="B884" s="202"/>
      <c r="C884" s="36" t="s">
        <v>312</v>
      </c>
      <c r="D884" s="47" t="s">
        <v>95</v>
      </c>
      <c r="E884" s="37">
        <v>1</v>
      </c>
      <c r="F884" s="34">
        <v>109.45899999999999</v>
      </c>
      <c r="G884" s="31">
        <f>IF(ISNUMBER(F884),E884*F884,"")</f>
        <v>109.45899999999999</v>
      </c>
      <c r="H884" s="35"/>
      <c r="I884" s="31"/>
      <c r="J884" s="155">
        <v>0</v>
      </c>
    </row>
    <row r="885" spans="1:10" ht="15.75" hidden="1" thickBot="1" x14ac:dyDescent="0.3">
      <c r="A885" s="181"/>
      <c r="B885" s="202"/>
      <c r="C885" s="36" t="s">
        <v>302</v>
      </c>
      <c r="D885" s="47" t="s">
        <v>42</v>
      </c>
      <c r="E885" s="37">
        <v>2</v>
      </c>
      <c r="F885" s="34">
        <v>4.9114999999999993</v>
      </c>
      <c r="G885" s="31">
        <f>IF(ISNUMBER(F885),E885*F885,"")</f>
        <v>9.8229999999999986</v>
      </c>
      <c r="H885" s="35"/>
      <c r="I885" s="31"/>
      <c r="J885" s="155">
        <v>0</v>
      </c>
    </row>
    <row r="886" spans="1:10" ht="15.75" hidden="1" thickBot="1" x14ac:dyDescent="0.3">
      <c r="A886" s="182"/>
      <c r="B886" s="188"/>
      <c r="C886" s="36"/>
      <c r="D886" s="36"/>
      <c r="E886" s="37"/>
      <c r="F886" s="31" t="s">
        <v>558</v>
      </c>
      <c r="G886" s="31" t="str">
        <f>IF(ISNUMBER(F886),E886*F886,"")</f>
        <v/>
      </c>
      <c r="H886" s="35"/>
      <c r="I886" s="31"/>
      <c r="J886" s="155">
        <v>0</v>
      </c>
    </row>
    <row r="887" spans="1:10" ht="15.75" hidden="1" thickBot="1" x14ac:dyDescent="0.3">
      <c r="A887" s="180" t="s">
        <v>313</v>
      </c>
      <c r="B887" s="186" t="str">
        <f>INDEX(Orçamentária!A:B,MATCH(Composições!A887,Orçamentária!A:A,0),2)</f>
        <v>Instalação de painéis de vidro temperado reaproveitados</v>
      </c>
      <c r="C887" s="41"/>
      <c r="D887" s="26" t="str">
        <f>TRIM(INDEX(Orçamentária!C:C,MATCH(Composições!A887,Orçamentária!A:A,0),1))</f>
        <v>m2</v>
      </c>
      <c r="E887" s="27"/>
      <c r="F887" s="42" t="s">
        <v>558</v>
      </c>
      <c r="G887" s="28" t="str">
        <f>IF(ISNUMBER(F887),E887*F887,"")</f>
        <v/>
      </c>
      <c r="H887" s="29"/>
      <c r="I887" s="30"/>
      <c r="J887" s="155">
        <v>0</v>
      </c>
    </row>
    <row r="888" spans="1:10" ht="15.75" hidden="1" thickBot="1" x14ac:dyDescent="0.3">
      <c r="A888" s="200"/>
      <c r="B888" s="202"/>
      <c r="C888" s="32"/>
      <c r="D888" s="32"/>
      <c r="E888" s="33"/>
      <c r="F888" s="43" t="s">
        <v>558</v>
      </c>
      <c r="G888" s="31" t="str">
        <f>IF(ISNUMBER(F888),E888*F888,"")</f>
        <v/>
      </c>
      <c r="H888" s="35"/>
      <c r="I888" s="31"/>
      <c r="J888" s="155">
        <v>0</v>
      </c>
    </row>
    <row r="889" spans="1:10" ht="15.75" hidden="1" thickBot="1" x14ac:dyDescent="0.3">
      <c r="A889" s="200"/>
      <c r="B889" s="202"/>
      <c r="C889" s="36" t="s">
        <v>68</v>
      </c>
      <c r="D889" s="36" t="s">
        <v>12</v>
      </c>
      <c r="E889" s="37">
        <f>2.2/2</f>
        <v>1.1000000000000001</v>
      </c>
      <c r="F889" s="31">
        <v>21.080500000000001</v>
      </c>
      <c r="G889" s="34">
        <f>IF(ISNUMBER(F889),E889*F889,"")</f>
        <v>23.188550000000003</v>
      </c>
      <c r="H889" s="39">
        <f>SUM(G889:G890)</f>
        <v>41.591000000000001</v>
      </c>
      <c r="I889" s="40"/>
      <c r="J889" s="155">
        <v>0</v>
      </c>
    </row>
    <row r="890" spans="1:10" ht="15.75" hidden="1" thickBot="1" x14ac:dyDescent="0.3">
      <c r="A890" s="200"/>
      <c r="B890" s="202"/>
      <c r="C890" s="36" t="s">
        <v>23</v>
      </c>
      <c r="D890" s="47" t="s">
        <v>12</v>
      </c>
      <c r="E890" s="37">
        <f>2.2/2</f>
        <v>1.1000000000000001</v>
      </c>
      <c r="F890" s="31">
        <v>16.729499999999998</v>
      </c>
      <c r="G890" s="34">
        <f>IF(ISNUMBER(F890),E890*F890,"")</f>
        <v>18.402449999999998</v>
      </c>
      <c r="H890" s="35"/>
      <c r="I890" s="31"/>
      <c r="J890" s="155">
        <v>0</v>
      </c>
    </row>
    <row r="891" spans="1:10" ht="15.75" hidden="1" thickBot="1" x14ac:dyDescent="0.3">
      <c r="A891" s="201"/>
      <c r="B891" s="188"/>
      <c r="C891" s="36"/>
      <c r="D891" s="36"/>
      <c r="E891" s="37"/>
      <c r="F891" s="31" t="s">
        <v>558</v>
      </c>
      <c r="G891" s="31" t="str">
        <f>IF(ISNUMBER(F891),E891*F891,"")</f>
        <v/>
      </c>
      <c r="H891" s="35"/>
      <c r="I891" s="31"/>
      <c r="J891" s="155">
        <v>0</v>
      </c>
    </row>
    <row r="892" spans="1:10" ht="15.75" hidden="1" thickBot="1" x14ac:dyDescent="0.3">
      <c r="A892" s="180" t="s">
        <v>314</v>
      </c>
      <c r="B892" s="186" t="str">
        <f>INDEX(Orçamentária!A:B,MATCH(Composições!A892,Orçamentária!A:A,0),2)</f>
        <v>Mola hidráulica de piso</v>
      </c>
      <c r="C892" s="41"/>
      <c r="D892" s="26" t="str">
        <f>TRIM(INDEX(Orçamentária!C:C,MATCH(Composições!A892,Orçamentária!A:A,0),1))</f>
        <v>un</v>
      </c>
      <c r="E892" s="27"/>
      <c r="F892" s="42" t="s">
        <v>558</v>
      </c>
      <c r="G892" s="28" t="str">
        <f>IF(ISNUMBER(F892),E892*F892,"")</f>
        <v/>
      </c>
      <c r="H892" s="29"/>
      <c r="I892" s="30"/>
      <c r="J892" s="155">
        <v>0</v>
      </c>
    </row>
    <row r="893" spans="1:10" ht="15.75" hidden="1" thickBot="1" x14ac:dyDescent="0.3">
      <c r="A893" s="200"/>
      <c r="B893" s="202"/>
      <c r="C893" s="32"/>
      <c r="D893" s="32"/>
      <c r="E893" s="33"/>
      <c r="F893" s="43" t="s">
        <v>558</v>
      </c>
      <c r="G893" s="31" t="str">
        <f>IF(ISNUMBER(F893),E893*F893,"")</f>
        <v/>
      </c>
      <c r="H893" s="35"/>
      <c r="I893" s="31"/>
      <c r="J893" s="155">
        <v>0</v>
      </c>
    </row>
    <row r="894" spans="1:10" ht="15.75" hidden="1" thickBot="1" x14ac:dyDescent="0.3">
      <c r="A894" s="200"/>
      <c r="B894" s="202"/>
      <c r="C894" s="36" t="s">
        <v>68</v>
      </c>
      <c r="D894" s="36" t="s">
        <v>12</v>
      </c>
      <c r="E894" s="37">
        <v>1.8180000000000001</v>
      </c>
      <c r="F894" s="31">
        <v>21.080500000000001</v>
      </c>
      <c r="G894" s="34">
        <f>IF(ISNUMBER(F894),E894*F894,"")</f>
        <v>38.324349000000005</v>
      </c>
      <c r="H894" s="39">
        <f>SUM(G894:G897)</f>
        <v>67.885375499999995</v>
      </c>
      <c r="I894" s="40"/>
      <c r="J894" s="155">
        <v>0</v>
      </c>
    </row>
    <row r="895" spans="1:10" ht="15.75" hidden="1" thickBot="1" x14ac:dyDescent="0.3">
      <c r="A895" s="200"/>
      <c r="B895" s="202"/>
      <c r="C895" s="36" t="s">
        <v>23</v>
      </c>
      <c r="D895" s="47" t="s">
        <v>12</v>
      </c>
      <c r="E895" s="37">
        <v>1.7669999999999999</v>
      </c>
      <c r="F895" s="31">
        <v>16.729499999999998</v>
      </c>
      <c r="G895" s="34">
        <f>IF(ISNUMBER(F895),E895*F895,"")</f>
        <v>29.561026499999993</v>
      </c>
      <c r="H895" s="45"/>
      <c r="I895" s="46"/>
      <c r="J895" s="155">
        <v>0</v>
      </c>
    </row>
    <row r="896" spans="1:10" ht="39" hidden="1" thickBot="1" x14ac:dyDescent="0.3">
      <c r="A896" s="200"/>
      <c r="B896" s="202"/>
      <c r="C896" s="36" t="s">
        <v>6495</v>
      </c>
      <c r="D896" s="36" t="s">
        <v>20</v>
      </c>
      <c r="E896" s="37">
        <v>1</v>
      </c>
      <c r="F896" s="31" t="s">
        <v>558</v>
      </c>
      <c r="G896" s="31" t="str">
        <f>IF(ISNUMBER(F896),E896*F896,"")</f>
        <v/>
      </c>
      <c r="H896" s="35"/>
      <c r="I896" s="31"/>
      <c r="J896" s="155">
        <v>0</v>
      </c>
    </row>
    <row r="897" spans="1:10" ht="15.75" hidden="1" thickBot="1" x14ac:dyDescent="0.3">
      <c r="A897" s="200"/>
      <c r="B897" s="202"/>
      <c r="C897" s="36" t="s">
        <v>6496</v>
      </c>
      <c r="D897" s="36" t="s">
        <v>20</v>
      </c>
      <c r="E897" s="37">
        <v>1</v>
      </c>
      <c r="F897" s="31" t="s">
        <v>558</v>
      </c>
      <c r="G897" s="31" t="str">
        <f>IF(ISNUMBER(F897),E897*F897,"")</f>
        <v/>
      </c>
      <c r="H897" s="35"/>
      <c r="I897" s="31"/>
      <c r="J897" s="155">
        <v>0</v>
      </c>
    </row>
    <row r="898" spans="1:10" ht="15.75" hidden="1" thickBot="1" x14ac:dyDescent="0.3">
      <c r="A898" s="201"/>
      <c r="B898" s="188"/>
      <c r="C898" s="36"/>
      <c r="D898" s="36"/>
      <c r="E898" s="37"/>
      <c r="F898" s="31" t="s">
        <v>558</v>
      </c>
      <c r="G898" s="31" t="str">
        <f>IF(ISNUMBER(F898),E898*F898,"")</f>
        <v/>
      </c>
      <c r="H898" s="35"/>
      <c r="I898" s="31"/>
      <c r="J898" s="155">
        <v>0</v>
      </c>
    </row>
    <row r="899" spans="1:10" ht="15.75" hidden="1" thickBot="1" x14ac:dyDescent="0.3">
      <c r="A899" s="180" t="s">
        <v>315</v>
      </c>
      <c r="B899" s="186" t="str">
        <f>INDEX(Orçamentária!A:B,MATCH(Composições!A899,Orçamentária!A:A,0),2)</f>
        <v>Instalação de persianas reaproveitadas</v>
      </c>
      <c r="C899" s="41"/>
      <c r="D899" s="26" t="str">
        <f>TRIM(INDEX(Orçamentária!C:C,MATCH(Composições!A899,Orçamentária!A:A,0),1))</f>
        <v>m</v>
      </c>
      <c r="E899" s="27"/>
      <c r="F899" s="42" t="s">
        <v>558</v>
      </c>
      <c r="G899" s="28" t="str">
        <f>IF(ISNUMBER(F899),E899*F899,"")</f>
        <v/>
      </c>
      <c r="H899" s="29"/>
      <c r="I899" s="30"/>
      <c r="J899" s="155">
        <v>0</v>
      </c>
    </row>
    <row r="900" spans="1:10" ht="15.75" hidden="1" thickBot="1" x14ac:dyDescent="0.3">
      <c r="A900" s="200"/>
      <c r="B900" s="202"/>
      <c r="C900" s="32"/>
      <c r="D900" s="32"/>
      <c r="E900" s="33"/>
      <c r="F900" s="43" t="s">
        <v>558</v>
      </c>
      <c r="G900" s="31" t="str">
        <f>IF(ISNUMBER(F900),E900*F900,"")</f>
        <v/>
      </c>
      <c r="H900" s="35"/>
      <c r="I900" s="31"/>
      <c r="J900" s="155">
        <v>0</v>
      </c>
    </row>
    <row r="901" spans="1:10" ht="15.75" hidden="1" thickBot="1" x14ac:dyDescent="0.3">
      <c r="A901" s="200"/>
      <c r="B901" s="202"/>
      <c r="C901" s="36" t="s">
        <v>50</v>
      </c>
      <c r="D901" s="36" t="s">
        <v>12</v>
      </c>
      <c r="E901" s="37">
        <f>ROUND(1/3,4)</f>
        <v>0.33329999999999999</v>
      </c>
      <c r="F901" s="31">
        <v>19.911999999999999</v>
      </c>
      <c r="G901" s="34">
        <f>IF(ISNUMBER(F901),E901*F901,"")</f>
        <v>6.6366695999999994</v>
      </c>
      <c r="H901" s="39">
        <f>SUM(G901:G901)</f>
        <v>6.6366695999999994</v>
      </c>
      <c r="I901" s="40"/>
      <c r="J901" s="155">
        <v>0</v>
      </c>
    </row>
    <row r="902" spans="1:10" ht="15.75" hidden="1" thickBot="1" x14ac:dyDescent="0.3">
      <c r="A902" s="201"/>
      <c r="B902" s="188"/>
      <c r="C902" s="36"/>
      <c r="D902" s="36"/>
      <c r="E902" s="37"/>
      <c r="F902" s="31" t="s">
        <v>558</v>
      </c>
      <c r="G902" s="31" t="str">
        <f>IF(ISNUMBER(F902),E902*F902,"")</f>
        <v/>
      </c>
      <c r="H902" s="35"/>
      <c r="I902" s="31"/>
      <c r="J902" s="155">
        <v>0</v>
      </c>
    </row>
    <row r="903" spans="1:10" ht="15.75" hidden="1" thickBot="1" x14ac:dyDescent="0.3">
      <c r="A903" s="180" t="s">
        <v>316</v>
      </c>
      <c r="B903" s="186" t="str">
        <f>INDEX(Orçamentária!A:B,MATCH(Composições!A903,Orçamentária!A:A,0),2)</f>
        <v>Tubo de ligação para bacia sanitária</v>
      </c>
      <c r="C903" s="41"/>
      <c r="D903" s="26" t="str">
        <f>TRIM(INDEX(Orçamentária!C:C,MATCH(Composições!A903,Orçamentária!A:A,0),1))</f>
        <v>un</v>
      </c>
      <c r="E903" s="27"/>
      <c r="F903" s="42" t="s">
        <v>558</v>
      </c>
      <c r="G903" s="28" t="str">
        <f>IF(ISNUMBER(F903),E903*F903,"")</f>
        <v/>
      </c>
      <c r="H903" s="29"/>
      <c r="I903" s="30"/>
      <c r="J903" s="155">
        <v>0</v>
      </c>
    </row>
    <row r="904" spans="1:10" ht="15.75" hidden="1" thickBot="1" x14ac:dyDescent="0.3">
      <c r="A904" s="200"/>
      <c r="B904" s="202"/>
      <c r="C904" s="32"/>
      <c r="D904" s="32"/>
      <c r="E904" s="33"/>
      <c r="F904" s="43" t="s">
        <v>558</v>
      </c>
      <c r="G904" s="31" t="str">
        <f>IF(ISNUMBER(F904),E904*F904,"")</f>
        <v/>
      </c>
      <c r="H904" s="35"/>
      <c r="I904" s="31"/>
      <c r="J904" s="155">
        <v>0</v>
      </c>
    </row>
    <row r="905" spans="1:10" ht="15.75" hidden="1" thickBot="1" x14ac:dyDescent="0.3">
      <c r="A905" s="200"/>
      <c r="B905" s="202"/>
      <c r="C905" s="36" t="s">
        <v>39</v>
      </c>
      <c r="D905" s="47" t="s">
        <v>12</v>
      </c>
      <c r="E905" s="37">
        <v>0.2</v>
      </c>
      <c r="F905" s="31">
        <v>22.2395</v>
      </c>
      <c r="G905" s="34">
        <f>IF(ISNUMBER(F905),E905*F905,"")</f>
        <v>4.4478999999999997</v>
      </c>
      <c r="H905" s="39">
        <f>SUM(G905:G907)</f>
        <v>7.2028999999999996</v>
      </c>
      <c r="I905" s="40"/>
      <c r="J905" s="155">
        <v>0</v>
      </c>
    </row>
    <row r="906" spans="1:10" ht="15.75" hidden="1" thickBot="1" x14ac:dyDescent="0.3">
      <c r="A906" s="200"/>
      <c r="B906" s="202"/>
      <c r="C906" s="36" t="s">
        <v>317</v>
      </c>
      <c r="D906" s="47" t="s">
        <v>20</v>
      </c>
      <c r="E906" s="37">
        <v>1</v>
      </c>
      <c r="F906" s="34">
        <v>2.7549999999999999</v>
      </c>
      <c r="G906" s="54">
        <f>IF(ISNUMBER(F906),E906*F906,"")</f>
        <v>2.7549999999999999</v>
      </c>
      <c r="H906" s="35"/>
      <c r="I906" s="31"/>
      <c r="J906" s="155">
        <v>0</v>
      </c>
    </row>
    <row r="907" spans="1:10" ht="26.25" hidden="1" thickBot="1" x14ac:dyDescent="0.3">
      <c r="A907" s="200"/>
      <c r="B907" s="202"/>
      <c r="C907" s="36" t="s">
        <v>318</v>
      </c>
      <c r="D907" s="36" t="s">
        <v>20</v>
      </c>
      <c r="E907" s="37">
        <v>1</v>
      </c>
      <c r="F907" s="34" t="s">
        <v>558</v>
      </c>
      <c r="G907" s="31" t="str">
        <f>IF(ISNUMBER(F907),E907*F907,"")</f>
        <v/>
      </c>
      <c r="H907" s="35"/>
      <c r="I907" s="31"/>
      <c r="J907" s="155">
        <v>0</v>
      </c>
    </row>
    <row r="908" spans="1:10" ht="15.75" hidden="1" thickBot="1" x14ac:dyDescent="0.3">
      <c r="A908" s="201"/>
      <c r="B908" s="188"/>
      <c r="C908" s="36"/>
      <c r="D908" s="36"/>
      <c r="E908" s="37"/>
      <c r="F908" s="31" t="s">
        <v>558</v>
      </c>
      <c r="G908" s="31" t="str">
        <f>IF(ISNUMBER(F908),E908*F908,"")</f>
        <v/>
      </c>
      <c r="H908" s="35"/>
      <c r="I908" s="31"/>
      <c r="J908" s="155">
        <v>0</v>
      </c>
    </row>
    <row r="909" spans="1:10" ht="15.75" hidden="1" thickBot="1" x14ac:dyDescent="0.3">
      <c r="A909" s="180" t="s">
        <v>319</v>
      </c>
      <c r="B909" s="186" t="str">
        <f>INDEX(Orçamentária!A:B,MATCH(Composições!A909,Orçamentária!A:A,0),2)</f>
        <v>Tubo PVC esgoto ou aguas pluviais predial DN 100mm</v>
      </c>
      <c r="C909" s="41"/>
      <c r="D909" s="26" t="str">
        <f>TRIM(INDEX(Orçamentária!C:C,MATCH(Composições!A909,Orçamentária!A:A,0),1))</f>
        <v>m</v>
      </c>
      <c r="E909" s="27"/>
      <c r="F909" s="42" t="s">
        <v>558</v>
      </c>
      <c r="G909" s="28" t="str">
        <f>IF(ISNUMBER(F909),E909*F909,"")</f>
        <v/>
      </c>
      <c r="H909" s="29"/>
      <c r="I909" s="30"/>
      <c r="J909" s="155">
        <v>0</v>
      </c>
    </row>
    <row r="910" spans="1:10" ht="15.75" hidden="1" thickBot="1" x14ac:dyDescent="0.3">
      <c r="A910" s="200"/>
      <c r="B910" s="202"/>
      <c r="C910" s="32"/>
      <c r="D910" s="32"/>
      <c r="E910" s="33"/>
      <c r="F910" s="43" t="s">
        <v>558</v>
      </c>
      <c r="G910" s="31" t="str">
        <f>IF(ISNUMBER(F910),E910*F910,"")</f>
        <v/>
      </c>
      <c r="H910" s="35"/>
      <c r="I910" s="31"/>
      <c r="J910" s="155">
        <v>0</v>
      </c>
    </row>
    <row r="911" spans="1:10" ht="15.75" hidden="1" thickBot="1" x14ac:dyDescent="0.3">
      <c r="A911" s="200"/>
      <c r="B911" s="202"/>
      <c r="C911" s="36" t="s">
        <v>320</v>
      </c>
      <c r="D911" s="47" t="s">
        <v>20</v>
      </c>
      <c r="E911" s="37">
        <v>4.2900000000000001E-2</v>
      </c>
      <c r="F911" s="34">
        <v>75.515499999999989</v>
      </c>
      <c r="G911" s="34">
        <f>IF(ISNUMBER(F911),E911*F911,"")</f>
        <v>3.2396149499999995</v>
      </c>
      <c r="H911" s="39">
        <f>SUM(G911:G916)</f>
        <v>59.45102279999999</v>
      </c>
      <c r="I911" s="40"/>
      <c r="J911" s="155">
        <v>0</v>
      </c>
    </row>
    <row r="912" spans="1:10" ht="26.25" hidden="1" thickBot="1" x14ac:dyDescent="0.3">
      <c r="A912" s="200"/>
      <c r="B912" s="202"/>
      <c r="C912" s="36" t="s">
        <v>3846</v>
      </c>
      <c r="D912" s="47" t="s">
        <v>93</v>
      </c>
      <c r="E912" s="37">
        <v>1.04</v>
      </c>
      <c r="F912" s="34">
        <v>32.404499999999999</v>
      </c>
      <c r="G912" s="34">
        <f>IF(ISNUMBER(F912),E912*F912,"")</f>
        <v>33.700679999999998</v>
      </c>
      <c r="H912" s="45"/>
      <c r="I912" s="46"/>
      <c r="J912" s="155">
        <v>0</v>
      </c>
    </row>
    <row r="913" spans="1:10" ht="15.75" hidden="1" thickBot="1" x14ac:dyDescent="0.3">
      <c r="A913" s="200"/>
      <c r="B913" s="202"/>
      <c r="C913" s="36" t="s">
        <v>321</v>
      </c>
      <c r="D913" s="47" t="s">
        <v>20</v>
      </c>
      <c r="E913" s="37">
        <v>7.0099999999999996E-2</v>
      </c>
      <c r="F913" s="34">
        <v>65.578499999999991</v>
      </c>
      <c r="G913" s="34">
        <f>IF(ISNUMBER(F913),E913*F913,"")</f>
        <v>4.597052849999999</v>
      </c>
      <c r="H913" s="45"/>
      <c r="I913" s="46"/>
      <c r="J913" s="155">
        <v>0</v>
      </c>
    </row>
    <row r="914" spans="1:10" ht="15.75" hidden="1" thickBot="1" x14ac:dyDescent="0.3">
      <c r="A914" s="200"/>
      <c r="B914" s="202"/>
      <c r="C914" s="36" t="s">
        <v>322</v>
      </c>
      <c r="D914" s="47" t="s">
        <v>20</v>
      </c>
      <c r="E914" s="37">
        <v>0.14849999999999999</v>
      </c>
      <c r="F914" s="34">
        <v>2.09</v>
      </c>
      <c r="G914" s="34">
        <f>IF(ISNUMBER(F914),E914*F914,"")</f>
        <v>0.31036499999999995</v>
      </c>
      <c r="H914" s="45"/>
      <c r="I914" s="46"/>
      <c r="J914" s="155">
        <v>0</v>
      </c>
    </row>
    <row r="915" spans="1:10" ht="26.25" hidden="1" thickBot="1" x14ac:dyDescent="0.3">
      <c r="A915" s="200"/>
      <c r="B915" s="202"/>
      <c r="C915" s="36" t="s">
        <v>108</v>
      </c>
      <c r="D915" s="47" t="s">
        <v>12</v>
      </c>
      <c r="E915" s="37">
        <v>0.44500000000000001</v>
      </c>
      <c r="F915" s="31">
        <v>17.3185</v>
      </c>
      <c r="G915" s="34">
        <f>IF(ISNUMBER(F915),E915*F915,"")</f>
        <v>7.7067325000000002</v>
      </c>
      <c r="H915" s="45"/>
      <c r="I915" s="46"/>
      <c r="J915" s="155">
        <v>0</v>
      </c>
    </row>
    <row r="916" spans="1:10" ht="15.75" hidden="1" thickBot="1" x14ac:dyDescent="0.3">
      <c r="A916" s="200"/>
      <c r="B916" s="202"/>
      <c r="C916" s="36" t="s">
        <v>39</v>
      </c>
      <c r="D916" s="47" t="s">
        <v>12</v>
      </c>
      <c r="E916" s="37">
        <v>0.44500000000000001</v>
      </c>
      <c r="F916" s="31">
        <v>22.2395</v>
      </c>
      <c r="G916" s="34">
        <f>IF(ISNUMBER(F916),E916*F916,"")</f>
        <v>9.8965774999999994</v>
      </c>
      <c r="H916" s="45"/>
      <c r="I916" s="46"/>
      <c r="J916" s="155">
        <v>0</v>
      </c>
    </row>
    <row r="917" spans="1:10" ht="15.75" hidden="1" thickBot="1" x14ac:dyDescent="0.3">
      <c r="A917" s="201"/>
      <c r="B917" s="188"/>
      <c r="C917" s="36"/>
      <c r="D917" s="36"/>
      <c r="E917" s="37"/>
      <c r="F917" s="31" t="s">
        <v>558</v>
      </c>
      <c r="G917" s="31" t="str">
        <f>IF(ISNUMBER(F917),E917*F917,"")</f>
        <v/>
      </c>
      <c r="H917" s="35"/>
      <c r="I917" s="31"/>
      <c r="J917" s="155">
        <v>0</v>
      </c>
    </row>
    <row r="918" spans="1:10" ht="15.75" hidden="1" thickBot="1" x14ac:dyDescent="0.3">
      <c r="A918" s="180" t="s">
        <v>323</v>
      </c>
      <c r="B918" s="186" t="str">
        <f>INDEX(Orçamentária!A:B,MATCH(Composições!A918,Orçamentária!A:A,0),2)</f>
        <v>Tubo PVC esgoto ou aguas pluviais predial DN 40mm</v>
      </c>
      <c r="C918" s="41"/>
      <c r="D918" s="26" t="str">
        <f>TRIM(INDEX(Orçamentária!C:C,MATCH(Composições!A918,Orçamentária!A:A,0),1))</f>
        <v>m</v>
      </c>
      <c r="E918" s="27"/>
      <c r="F918" s="42" t="s">
        <v>558</v>
      </c>
      <c r="G918" s="28" t="str">
        <f>IF(ISNUMBER(F918),E918*F918,"")</f>
        <v/>
      </c>
      <c r="H918" s="29"/>
      <c r="I918" s="30"/>
      <c r="J918" s="155">
        <v>0</v>
      </c>
    </row>
    <row r="919" spans="1:10" ht="15.75" hidden="1" thickBot="1" x14ac:dyDescent="0.3">
      <c r="A919" s="200"/>
      <c r="B919" s="202"/>
      <c r="C919" s="32"/>
      <c r="D919" s="32"/>
      <c r="E919" s="33"/>
      <c r="F919" s="43" t="s">
        <v>558</v>
      </c>
      <c r="G919" s="31" t="str">
        <f>IF(ISNUMBER(F919),E919*F919,"")</f>
        <v/>
      </c>
      <c r="H919" s="35"/>
      <c r="I919" s="31"/>
      <c r="J919" s="155">
        <v>0</v>
      </c>
    </row>
    <row r="920" spans="1:10" ht="26.25" hidden="1" thickBot="1" x14ac:dyDescent="0.3">
      <c r="A920" s="200"/>
      <c r="B920" s="202"/>
      <c r="C920" s="36" t="s">
        <v>3848</v>
      </c>
      <c r="D920" s="47" t="s">
        <v>93</v>
      </c>
      <c r="E920" s="37">
        <v>1.04</v>
      </c>
      <c r="F920" s="34">
        <v>11.314499999999999</v>
      </c>
      <c r="G920" s="34">
        <f>IF(ISNUMBER(F920),E920*F920,"")</f>
        <v>11.76708</v>
      </c>
      <c r="H920" s="39">
        <f>SUM(G920:G923)</f>
        <v>18.371480000000002</v>
      </c>
      <c r="I920" s="40"/>
      <c r="J920" s="155">
        <v>0</v>
      </c>
    </row>
    <row r="921" spans="1:10" ht="15.75" hidden="1" thickBot="1" x14ac:dyDescent="0.3">
      <c r="A921" s="200"/>
      <c r="B921" s="202"/>
      <c r="C921" s="36" t="s">
        <v>322</v>
      </c>
      <c r="D921" s="47" t="s">
        <v>20</v>
      </c>
      <c r="E921" s="37">
        <v>3.6999999999999998E-2</v>
      </c>
      <c r="F921" s="34">
        <v>2.09</v>
      </c>
      <c r="G921" s="34">
        <f>IF(ISNUMBER(F921),E921*F921,"")</f>
        <v>7.7329999999999996E-2</v>
      </c>
      <c r="H921" s="35"/>
      <c r="I921" s="31"/>
      <c r="J921" s="155">
        <v>0</v>
      </c>
    </row>
    <row r="922" spans="1:10" ht="26.25" hidden="1" thickBot="1" x14ac:dyDescent="0.3">
      <c r="A922" s="200"/>
      <c r="B922" s="202"/>
      <c r="C922" s="36" t="s">
        <v>108</v>
      </c>
      <c r="D922" s="47" t="s">
        <v>12</v>
      </c>
      <c r="E922" s="37">
        <v>0.16500000000000001</v>
      </c>
      <c r="F922" s="31">
        <v>17.3185</v>
      </c>
      <c r="G922" s="34">
        <f>IF(ISNUMBER(F922),E922*F922,"")</f>
        <v>2.8575525000000002</v>
      </c>
      <c r="H922" s="35"/>
      <c r="I922" s="31"/>
      <c r="J922" s="155">
        <v>0</v>
      </c>
    </row>
    <row r="923" spans="1:10" ht="15.75" hidden="1" thickBot="1" x14ac:dyDescent="0.3">
      <c r="A923" s="200"/>
      <c r="B923" s="202"/>
      <c r="C923" s="36" t="s">
        <v>39</v>
      </c>
      <c r="D923" s="47" t="s">
        <v>12</v>
      </c>
      <c r="E923" s="37">
        <v>0.16500000000000001</v>
      </c>
      <c r="F923" s="31">
        <v>22.2395</v>
      </c>
      <c r="G923" s="34">
        <f>IF(ISNUMBER(F923),E923*F923,"")</f>
        <v>3.6695175</v>
      </c>
      <c r="H923" s="35"/>
      <c r="I923" s="31"/>
      <c r="J923" s="155">
        <v>0</v>
      </c>
    </row>
    <row r="924" spans="1:10" ht="15.75" hidden="1" thickBot="1" x14ac:dyDescent="0.3">
      <c r="A924" s="201"/>
      <c r="B924" s="188"/>
      <c r="C924" s="36"/>
      <c r="D924" s="36"/>
      <c r="E924" s="37"/>
      <c r="F924" s="31" t="s">
        <v>558</v>
      </c>
      <c r="G924" s="31" t="str">
        <f>IF(ISNUMBER(F924),E924*F924,"")</f>
        <v/>
      </c>
      <c r="H924" s="35"/>
      <c r="I924" s="31"/>
      <c r="J924" s="155">
        <v>0</v>
      </c>
    </row>
    <row r="925" spans="1:10" ht="15.75" hidden="1" thickBot="1" x14ac:dyDescent="0.3">
      <c r="A925" s="180" t="s">
        <v>324</v>
      </c>
      <c r="B925" s="186" t="str">
        <f>INDEX(Orçamentária!A:B,MATCH(Composições!A925,Orçamentária!A:A,0),2)</f>
        <v>Tubo PVC esgoto ou aguas pluviais predial DN 50mm</v>
      </c>
      <c r="C925" s="41"/>
      <c r="D925" s="26" t="str">
        <f>TRIM(INDEX(Orçamentária!C:C,MATCH(Composições!A925,Orçamentária!A:A,0),1))</f>
        <v>m</v>
      </c>
      <c r="E925" s="27"/>
      <c r="F925" s="42" t="s">
        <v>558</v>
      </c>
      <c r="G925" s="28" t="str">
        <f>IF(ISNUMBER(F925),E925*F925,"")</f>
        <v/>
      </c>
      <c r="H925" s="29"/>
      <c r="I925" s="30"/>
      <c r="J925" s="155">
        <v>0</v>
      </c>
    </row>
    <row r="926" spans="1:10" ht="15.75" hidden="1" thickBot="1" x14ac:dyDescent="0.3">
      <c r="A926" s="200"/>
      <c r="B926" s="202"/>
      <c r="C926" s="32"/>
      <c r="D926" s="32"/>
      <c r="E926" s="33"/>
      <c r="F926" s="43" t="s">
        <v>558</v>
      </c>
      <c r="G926" s="31" t="str">
        <f>IF(ISNUMBER(F926),E926*F926,"")</f>
        <v/>
      </c>
      <c r="H926" s="35"/>
      <c r="I926" s="31"/>
      <c r="J926" s="155">
        <v>0</v>
      </c>
    </row>
    <row r="927" spans="1:10" ht="15.75" hidden="1" thickBot="1" x14ac:dyDescent="0.3">
      <c r="A927" s="200"/>
      <c r="B927" s="202"/>
      <c r="C927" s="36" t="s">
        <v>320</v>
      </c>
      <c r="D927" s="47" t="s">
        <v>20</v>
      </c>
      <c r="E927" s="37">
        <v>1.2800000000000001E-2</v>
      </c>
      <c r="F927" s="34">
        <v>75.515499999999989</v>
      </c>
      <c r="G927" s="34">
        <f>IF(ISNUMBER(F927),E927*F927,"")</f>
        <v>0.96659839999999986</v>
      </c>
      <c r="H927" s="39">
        <f>SUM(G927:G932)</f>
        <v>25.288573449999998</v>
      </c>
      <c r="I927" s="40"/>
      <c r="J927" s="155">
        <v>0</v>
      </c>
    </row>
    <row r="928" spans="1:10" ht="26.25" hidden="1" thickBot="1" x14ac:dyDescent="0.3">
      <c r="A928" s="200"/>
      <c r="B928" s="202"/>
      <c r="C928" s="36" t="s">
        <v>3849</v>
      </c>
      <c r="D928" s="47" t="s">
        <v>93</v>
      </c>
      <c r="E928" s="37">
        <v>1.04</v>
      </c>
      <c r="F928" s="34">
        <v>14.107499999999998</v>
      </c>
      <c r="G928" s="34">
        <f>IF(ISNUMBER(F928),E928*F928,"")</f>
        <v>14.671799999999999</v>
      </c>
      <c r="H928" s="35"/>
      <c r="I928" s="31"/>
      <c r="J928" s="155">
        <v>0</v>
      </c>
    </row>
    <row r="929" spans="1:10" ht="15.75" hidden="1" thickBot="1" x14ac:dyDescent="0.3">
      <c r="A929" s="200"/>
      <c r="B929" s="202"/>
      <c r="C929" s="36" t="s">
        <v>321</v>
      </c>
      <c r="D929" s="47" t="s">
        <v>20</v>
      </c>
      <c r="E929" s="37">
        <v>1.9300000000000001E-2</v>
      </c>
      <c r="F929" s="34">
        <v>65.578499999999991</v>
      </c>
      <c r="G929" s="34">
        <f>IF(ISNUMBER(F929),E929*F929,"")</f>
        <v>1.26566505</v>
      </c>
      <c r="H929" s="35"/>
      <c r="I929" s="31"/>
      <c r="J929" s="155">
        <v>0</v>
      </c>
    </row>
    <row r="930" spans="1:10" ht="15.75" hidden="1" thickBot="1" x14ac:dyDescent="0.3">
      <c r="A930" s="200"/>
      <c r="B930" s="202"/>
      <c r="C930" s="36" t="s">
        <v>322</v>
      </c>
      <c r="D930" s="47" t="s">
        <v>20</v>
      </c>
      <c r="E930" s="37">
        <v>3.6999999999999998E-2</v>
      </c>
      <c r="F930" s="34">
        <v>2.09</v>
      </c>
      <c r="G930" s="34">
        <f>IF(ISNUMBER(F930),E930*F930,"")</f>
        <v>7.7329999999999996E-2</v>
      </c>
      <c r="H930" s="35"/>
      <c r="I930" s="31"/>
      <c r="J930" s="155">
        <v>0</v>
      </c>
    </row>
    <row r="931" spans="1:10" ht="26.25" hidden="1" thickBot="1" x14ac:dyDescent="0.3">
      <c r="A931" s="200"/>
      <c r="B931" s="202"/>
      <c r="C931" s="36" t="s">
        <v>108</v>
      </c>
      <c r="D931" s="47" t="s">
        <v>12</v>
      </c>
      <c r="E931" s="37">
        <v>0.21</v>
      </c>
      <c r="F931" s="31">
        <v>17.3185</v>
      </c>
      <c r="G931" s="34">
        <f>IF(ISNUMBER(F931),E931*F931,"")</f>
        <v>3.6368849999999999</v>
      </c>
      <c r="H931" s="35"/>
      <c r="I931" s="31"/>
      <c r="J931" s="155">
        <v>0</v>
      </c>
    </row>
    <row r="932" spans="1:10" ht="15.75" hidden="1" thickBot="1" x14ac:dyDescent="0.3">
      <c r="A932" s="200"/>
      <c r="B932" s="202"/>
      <c r="C932" s="36" t="s">
        <v>39</v>
      </c>
      <c r="D932" s="47" t="s">
        <v>12</v>
      </c>
      <c r="E932" s="37">
        <v>0.21</v>
      </c>
      <c r="F932" s="31">
        <v>22.2395</v>
      </c>
      <c r="G932" s="34">
        <f>IF(ISNUMBER(F932),E932*F932,"")</f>
        <v>4.6702949999999994</v>
      </c>
      <c r="H932" s="35"/>
      <c r="I932" s="31"/>
      <c r="J932" s="155">
        <v>0</v>
      </c>
    </row>
    <row r="933" spans="1:10" ht="15.75" hidden="1" thickBot="1" x14ac:dyDescent="0.3">
      <c r="A933" s="201"/>
      <c r="B933" s="188"/>
      <c r="C933" s="36"/>
      <c r="D933" s="36"/>
      <c r="E933" s="37"/>
      <c r="F933" s="31" t="s">
        <v>558</v>
      </c>
      <c r="G933" s="31" t="str">
        <f>IF(ISNUMBER(F933),E933*F933,"")</f>
        <v/>
      </c>
      <c r="H933" s="35"/>
      <c r="I933" s="31"/>
      <c r="J933" s="155">
        <v>0</v>
      </c>
    </row>
    <row r="934" spans="1:10" ht="15.75" hidden="1" thickBot="1" x14ac:dyDescent="0.3">
      <c r="A934" s="180" t="s">
        <v>325</v>
      </c>
      <c r="B934" s="186" t="str">
        <f>INDEX(Orçamentária!A:B,MATCH(Composições!A934,Orçamentária!A:A,0),2)</f>
        <v>Tubo PVC esgoto ou aguas pluviais predial DN 75mm</v>
      </c>
      <c r="C934" s="41"/>
      <c r="D934" s="26" t="str">
        <f>TRIM(INDEX(Orçamentária!C:C,MATCH(Composições!A934,Orçamentária!A:A,0),1))</f>
        <v>m</v>
      </c>
      <c r="E934" s="27"/>
      <c r="F934" s="42" t="s">
        <v>558</v>
      </c>
      <c r="G934" s="28" t="str">
        <f>IF(ISNUMBER(F934),E934*F934,"")</f>
        <v/>
      </c>
      <c r="H934" s="29"/>
      <c r="I934" s="30"/>
      <c r="J934" s="155">
        <v>0</v>
      </c>
    </row>
    <row r="935" spans="1:10" ht="15.75" hidden="1" thickBot="1" x14ac:dyDescent="0.3">
      <c r="A935" s="200"/>
      <c r="B935" s="202"/>
      <c r="C935" s="32"/>
      <c r="D935" s="32"/>
      <c r="E935" s="33"/>
      <c r="F935" s="43" t="s">
        <v>558</v>
      </c>
      <c r="G935" s="31" t="str">
        <f>IF(ISNUMBER(F935),E935*F935,"")</f>
        <v/>
      </c>
      <c r="H935" s="35"/>
      <c r="I935" s="31"/>
      <c r="J935" s="155">
        <v>0</v>
      </c>
    </row>
    <row r="936" spans="1:10" ht="15.75" hidden="1" thickBot="1" x14ac:dyDescent="0.3">
      <c r="A936" s="200"/>
      <c r="B936" s="202"/>
      <c r="C936" s="36" t="s">
        <v>320</v>
      </c>
      <c r="D936" s="47" t="s">
        <v>20</v>
      </c>
      <c r="E936" s="37">
        <v>2.93E-2</v>
      </c>
      <c r="F936" s="34">
        <v>75.515499999999989</v>
      </c>
      <c r="G936" s="34">
        <f>IF(ISNUMBER(F936),E936*F936,"")</f>
        <v>2.2126041499999998</v>
      </c>
      <c r="H936" s="39">
        <f>SUM(G936:G941)</f>
        <v>37.515900899999998</v>
      </c>
      <c r="I936" s="40"/>
      <c r="J936" s="155">
        <v>0</v>
      </c>
    </row>
    <row r="937" spans="1:10" ht="26.25" hidden="1" thickBot="1" x14ac:dyDescent="0.3">
      <c r="A937" s="200"/>
      <c r="B937" s="202"/>
      <c r="C937" s="36" t="s">
        <v>3850</v>
      </c>
      <c r="D937" s="47" t="s">
        <v>93</v>
      </c>
      <c r="E937" s="37">
        <v>1.04</v>
      </c>
      <c r="F937" s="34">
        <v>18.496499999999997</v>
      </c>
      <c r="G937" s="34">
        <f>IF(ISNUMBER(F937),E937*F937,"")</f>
        <v>19.236359999999998</v>
      </c>
      <c r="H937" s="45"/>
      <c r="I937" s="46"/>
      <c r="J937" s="155">
        <v>0</v>
      </c>
    </row>
    <row r="938" spans="1:10" ht="15.75" hidden="1" thickBot="1" x14ac:dyDescent="0.3">
      <c r="A938" s="200"/>
      <c r="B938" s="202"/>
      <c r="C938" s="36" t="s">
        <v>321</v>
      </c>
      <c r="D938" s="47" t="s">
        <v>20</v>
      </c>
      <c r="E938" s="37">
        <v>4.5499999999999999E-2</v>
      </c>
      <c r="F938" s="34">
        <v>65.578499999999991</v>
      </c>
      <c r="G938" s="34">
        <f>IF(ISNUMBER(F938),E938*F938,"")</f>
        <v>2.9838217499999997</v>
      </c>
      <c r="H938" s="45"/>
      <c r="I938" s="46"/>
      <c r="J938" s="155">
        <v>0</v>
      </c>
    </row>
    <row r="939" spans="1:10" ht="15.75" hidden="1" thickBot="1" x14ac:dyDescent="0.3">
      <c r="A939" s="200"/>
      <c r="B939" s="202"/>
      <c r="C939" s="36" t="s">
        <v>322</v>
      </c>
      <c r="D939" s="47" t="s">
        <v>20</v>
      </c>
      <c r="E939" s="37">
        <v>0.1085</v>
      </c>
      <c r="F939" s="34">
        <v>2.09</v>
      </c>
      <c r="G939" s="34">
        <f>IF(ISNUMBER(F939),E939*F939,"")</f>
        <v>0.22676499999999999</v>
      </c>
      <c r="H939" s="45"/>
      <c r="I939" s="46"/>
      <c r="J939" s="155">
        <v>0</v>
      </c>
    </row>
    <row r="940" spans="1:10" ht="26.25" hidden="1" thickBot="1" x14ac:dyDescent="0.3">
      <c r="A940" s="200"/>
      <c r="B940" s="202"/>
      <c r="C940" s="36" t="s">
        <v>108</v>
      </c>
      <c r="D940" s="47" t="s">
        <v>12</v>
      </c>
      <c r="E940" s="37">
        <v>0.32500000000000001</v>
      </c>
      <c r="F940" s="31">
        <v>17.3185</v>
      </c>
      <c r="G940" s="34">
        <f>IF(ISNUMBER(F940),E940*F940,"")</f>
        <v>5.6285125000000003</v>
      </c>
      <c r="H940" s="45"/>
      <c r="I940" s="46"/>
      <c r="J940" s="155">
        <v>0</v>
      </c>
    </row>
    <row r="941" spans="1:10" ht="15.75" hidden="1" thickBot="1" x14ac:dyDescent="0.3">
      <c r="A941" s="200"/>
      <c r="B941" s="202"/>
      <c r="C941" s="36" t="s">
        <v>39</v>
      </c>
      <c r="D941" s="47" t="s">
        <v>12</v>
      </c>
      <c r="E941" s="37">
        <v>0.32500000000000001</v>
      </c>
      <c r="F941" s="31">
        <v>22.2395</v>
      </c>
      <c r="G941" s="34">
        <f>IF(ISNUMBER(F941),E941*F941,"")</f>
        <v>7.2278374999999997</v>
      </c>
      <c r="H941" s="45"/>
      <c r="I941" s="46"/>
      <c r="J941" s="155">
        <v>0</v>
      </c>
    </row>
    <row r="942" spans="1:10" ht="15.75" hidden="1" thickBot="1" x14ac:dyDescent="0.3">
      <c r="A942" s="201"/>
      <c r="B942" s="188"/>
      <c r="C942" s="36"/>
      <c r="D942" s="36"/>
      <c r="E942" s="37"/>
      <c r="F942" s="31" t="s">
        <v>558</v>
      </c>
      <c r="G942" s="31" t="str">
        <f>IF(ISNUMBER(F942),E942*F942,"")</f>
        <v/>
      </c>
      <c r="H942" s="35"/>
      <c r="I942" s="31"/>
      <c r="J942" s="155">
        <v>0</v>
      </c>
    </row>
    <row r="943" spans="1:10" ht="15.75" hidden="1" thickBot="1" x14ac:dyDescent="0.3">
      <c r="A943" s="180" t="s">
        <v>326</v>
      </c>
      <c r="B943" s="186" t="str">
        <f>INDEX(Orçamentária!A:B,MATCH(Composições!A943,Orçamentária!A:A,0),2)</f>
        <v>Tubo PVC soldável água fria DN 25mm</v>
      </c>
      <c r="C943" s="41"/>
      <c r="D943" s="26" t="str">
        <f>TRIM(INDEX(Orçamentária!C:C,MATCH(Composições!A943,Orçamentária!A:A,0),1))</f>
        <v>m</v>
      </c>
      <c r="E943" s="27"/>
      <c r="F943" s="42" t="s">
        <v>558</v>
      </c>
      <c r="G943" s="28" t="str">
        <f>IF(ISNUMBER(F943),E943*F943,"")</f>
        <v/>
      </c>
      <c r="H943" s="29"/>
      <c r="I943" s="30"/>
      <c r="J943" s="155">
        <v>0</v>
      </c>
    </row>
    <row r="944" spans="1:10" ht="15.75" hidden="1" thickBot="1" x14ac:dyDescent="0.3">
      <c r="A944" s="200"/>
      <c r="B944" s="202"/>
      <c r="C944" s="32"/>
      <c r="D944" s="32"/>
      <c r="E944" s="33"/>
      <c r="F944" s="43" t="s">
        <v>558</v>
      </c>
      <c r="G944" s="31" t="str">
        <f>IF(ISNUMBER(F944),E944*F944,"")</f>
        <v/>
      </c>
      <c r="H944" s="35"/>
      <c r="I944" s="31"/>
      <c r="J944" s="155">
        <v>0</v>
      </c>
    </row>
    <row r="945" spans="1:10" ht="15.75" hidden="1" thickBot="1" x14ac:dyDescent="0.3">
      <c r="A945" s="200"/>
      <c r="B945" s="202"/>
      <c r="C945" s="36" t="s">
        <v>327</v>
      </c>
      <c r="D945" s="47" t="s">
        <v>93</v>
      </c>
      <c r="E945" s="37">
        <v>1.0609999999999999</v>
      </c>
      <c r="F945" s="34">
        <v>3.8189999999999995</v>
      </c>
      <c r="G945" s="34">
        <f>IF(ISNUMBER(F945),E945*F945,"")</f>
        <v>4.0519589999999992</v>
      </c>
      <c r="H945" s="39">
        <f>SUM(G945:G947)</f>
        <v>4.6848869999999998</v>
      </c>
      <c r="I945" s="40"/>
      <c r="J945" s="155">
        <v>0</v>
      </c>
    </row>
    <row r="946" spans="1:10" ht="26.25" hidden="1" thickBot="1" x14ac:dyDescent="0.3">
      <c r="A946" s="200"/>
      <c r="B946" s="202"/>
      <c r="C946" s="36" t="s">
        <v>108</v>
      </c>
      <c r="D946" s="36" t="s">
        <v>12</v>
      </c>
      <c r="E946" s="37">
        <v>1.6E-2</v>
      </c>
      <c r="F946" s="31">
        <v>17.3185</v>
      </c>
      <c r="G946" s="34">
        <f>IF(ISNUMBER(F946),E946*F946,"")</f>
        <v>0.27709600000000001</v>
      </c>
      <c r="H946" s="35"/>
      <c r="I946" s="31"/>
      <c r="J946" s="155">
        <v>0</v>
      </c>
    </row>
    <row r="947" spans="1:10" ht="15.75" hidden="1" thickBot="1" x14ac:dyDescent="0.3">
      <c r="A947" s="200"/>
      <c r="B947" s="202"/>
      <c r="C947" s="36" t="s">
        <v>39</v>
      </c>
      <c r="D947" s="47" t="s">
        <v>12</v>
      </c>
      <c r="E947" s="37">
        <v>1.6E-2</v>
      </c>
      <c r="F947" s="31">
        <v>22.2395</v>
      </c>
      <c r="G947" s="34">
        <f>IF(ISNUMBER(F947),E947*F947,"")</f>
        <v>0.35583199999999998</v>
      </c>
      <c r="H947" s="35"/>
      <c r="I947" s="31"/>
      <c r="J947" s="155">
        <v>0</v>
      </c>
    </row>
    <row r="948" spans="1:10" ht="15.75" hidden="1" thickBot="1" x14ac:dyDescent="0.3">
      <c r="A948" s="201"/>
      <c r="B948" s="188"/>
      <c r="C948" s="36"/>
      <c r="D948" s="36"/>
      <c r="E948" s="37"/>
      <c r="F948" s="31" t="s">
        <v>558</v>
      </c>
      <c r="G948" s="31" t="str">
        <f>IF(ISNUMBER(F948),E948*F948,"")</f>
        <v/>
      </c>
      <c r="H948" s="35"/>
      <c r="I948" s="31"/>
      <c r="J948" s="155">
        <v>0</v>
      </c>
    </row>
    <row r="949" spans="1:10" ht="15.75" hidden="1" thickBot="1" x14ac:dyDescent="0.3">
      <c r="A949" s="180" t="s">
        <v>328</v>
      </c>
      <c r="B949" s="186" t="str">
        <f>INDEX(Orçamentária!A:B,MATCH(Composições!A949,Orçamentária!A:A,0),2)</f>
        <v>Tubo PVC soldável água fria DN 32mm</v>
      </c>
      <c r="C949" s="41"/>
      <c r="D949" s="26" t="str">
        <f>TRIM(INDEX(Orçamentária!C:C,MATCH(Composições!A949,Orçamentária!A:A,0),1))</f>
        <v>m</v>
      </c>
      <c r="E949" s="27"/>
      <c r="F949" s="42" t="s">
        <v>558</v>
      </c>
      <c r="G949" s="28" t="str">
        <f>IF(ISNUMBER(F949),E949*F949,"")</f>
        <v/>
      </c>
      <c r="H949" s="29"/>
      <c r="I949" s="30"/>
      <c r="J949" s="155">
        <v>0</v>
      </c>
    </row>
    <row r="950" spans="1:10" ht="15.75" hidden="1" thickBot="1" x14ac:dyDescent="0.3">
      <c r="A950" s="200"/>
      <c r="B950" s="202"/>
      <c r="C950" s="32"/>
      <c r="D950" s="32"/>
      <c r="E950" s="33"/>
      <c r="F950" s="43" t="s">
        <v>558</v>
      </c>
      <c r="G950" s="31" t="str">
        <f>IF(ISNUMBER(F950),E950*F950,"")</f>
        <v/>
      </c>
      <c r="H950" s="35"/>
      <c r="I950" s="31"/>
      <c r="J950" s="155">
        <v>0</v>
      </c>
    </row>
    <row r="951" spans="1:10" ht="15.75" hidden="1" thickBot="1" x14ac:dyDescent="0.3">
      <c r="A951" s="200"/>
      <c r="B951" s="202"/>
      <c r="C951" s="36" t="s">
        <v>329</v>
      </c>
      <c r="D951" s="47" t="s">
        <v>93</v>
      </c>
      <c r="E951" s="37">
        <v>1.0609999999999999</v>
      </c>
      <c r="F951" s="34">
        <v>8.5784999999999982</v>
      </c>
      <c r="G951" s="34">
        <f>IF(ISNUMBER(F951),E951*F951,"")</f>
        <v>9.1017884999999978</v>
      </c>
      <c r="H951" s="39">
        <f>SUM(G951:G953)</f>
        <v>9.8929484999999975</v>
      </c>
      <c r="I951" s="40"/>
      <c r="J951" s="155">
        <v>0</v>
      </c>
    </row>
    <row r="952" spans="1:10" ht="26.25" hidden="1" thickBot="1" x14ac:dyDescent="0.3">
      <c r="A952" s="200"/>
      <c r="B952" s="202"/>
      <c r="C952" s="36" t="s">
        <v>108</v>
      </c>
      <c r="D952" s="36" t="s">
        <v>12</v>
      </c>
      <c r="E952" s="37">
        <v>0.02</v>
      </c>
      <c r="F952" s="31">
        <v>17.3185</v>
      </c>
      <c r="G952" s="34">
        <f>IF(ISNUMBER(F952),E952*F952,"")</f>
        <v>0.34637000000000001</v>
      </c>
      <c r="H952" s="35"/>
      <c r="I952" s="31"/>
      <c r="J952" s="155">
        <v>0</v>
      </c>
    </row>
    <row r="953" spans="1:10" ht="15.75" hidden="1" thickBot="1" x14ac:dyDescent="0.3">
      <c r="A953" s="200"/>
      <c r="B953" s="202"/>
      <c r="C953" s="36" t="s">
        <v>39</v>
      </c>
      <c r="D953" s="47" t="s">
        <v>12</v>
      </c>
      <c r="E953" s="37">
        <v>0.02</v>
      </c>
      <c r="F953" s="31">
        <v>22.2395</v>
      </c>
      <c r="G953" s="34">
        <f>IF(ISNUMBER(F953),E953*F953,"")</f>
        <v>0.44479000000000002</v>
      </c>
      <c r="H953" s="35"/>
      <c r="I953" s="31"/>
      <c r="J953" s="155">
        <v>0</v>
      </c>
    </row>
    <row r="954" spans="1:10" ht="15.75" hidden="1" thickBot="1" x14ac:dyDescent="0.3">
      <c r="A954" s="201"/>
      <c r="B954" s="188"/>
      <c r="C954" s="36"/>
      <c r="D954" s="36"/>
      <c r="E954" s="37"/>
      <c r="F954" s="31" t="s">
        <v>558</v>
      </c>
      <c r="G954" s="31" t="str">
        <f>IF(ISNUMBER(F954),E954*F954,"")</f>
        <v/>
      </c>
      <c r="H954" s="35"/>
      <c r="I954" s="31"/>
      <c r="J954" s="155">
        <v>0</v>
      </c>
    </row>
    <row r="955" spans="1:10" ht="15.75" hidden="1" thickBot="1" x14ac:dyDescent="0.3">
      <c r="A955" s="180" t="s">
        <v>330</v>
      </c>
      <c r="B955" s="186" t="str">
        <f>INDEX(Orçamentária!A:B,MATCH(Composições!A955,Orçamentária!A:A,0),2)</f>
        <v>Tubo PVC soldável água fria DN 40mm</v>
      </c>
      <c r="C955" s="41"/>
      <c r="D955" s="26" t="str">
        <f>TRIM(INDEX(Orçamentária!C:C,MATCH(Composições!A955,Orçamentária!A:A,0),1))</f>
        <v>m</v>
      </c>
      <c r="E955" s="27"/>
      <c r="F955" s="42" t="s">
        <v>558</v>
      </c>
      <c r="G955" s="28" t="str">
        <f>IF(ISNUMBER(F955),E955*F955,"")</f>
        <v/>
      </c>
      <c r="H955" s="29"/>
      <c r="I955" s="30"/>
      <c r="J955" s="155">
        <v>0</v>
      </c>
    </row>
    <row r="956" spans="1:10" ht="15.75" hidden="1" thickBot="1" x14ac:dyDescent="0.3">
      <c r="A956" s="200"/>
      <c r="B956" s="202"/>
      <c r="C956" s="32"/>
      <c r="D956" s="32"/>
      <c r="E956" s="33"/>
      <c r="F956" s="43" t="s">
        <v>558</v>
      </c>
      <c r="G956" s="31" t="str">
        <f>IF(ISNUMBER(F956),E956*F956,"")</f>
        <v/>
      </c>
      <c r="H956" s="35"/>
      <c r="I956" s="31"/>
      <c r="J956" s="155">
        <v>0</v>
      </c>
    </row>
    <row r="957" spans="1:10" ht="15.75" hidden="1" thickBot="1" x14ac:dyDescent="0.3">
      <c r="A957" s="200"/>
      <c r="B957" s="202"/>
      <c r="C957" s="36" t="s">
        <v>331</v>
      </c>
      <c r="D957" s="47" t="s">
        <v>93</v>
      </c>
      <c r="E957" s="37">
        <v>1.0609999999999999</v>
      </c>
      <c r="F957" s="34">
        <v>12.483000000000001</v>
      </c>
      <c r="G957" s="34">
        <f>IF(ISNUMBER(F957),E957*F957,"")</f>
        <v>13.244463</v>
      </c>
      <c r="H957" s="39">
        <f>SUM(G957:G960)</f>
        <v>14.210574999999999</v>
      </c>
      <c r="I957" s="40"/>
      <c r="J957" s="155">
        <v>0</v>
      </c>
    </row>
    <row r="958" spans="1:10" ht="15.75" hidden="1" thickBot="1" x14ac:dyDescent="0.3">
      <c r="A958" s="200"/>
      <c r="B958" s="202"/>
      <c r="C958" s="36" t="s">
        <v>322</v>
      </c>
      <c r="D958" s="47" t="s">
        <v>20</v>
      </c>
      <c r="E958" s="37">
        <v>8.0000000000000002E-3</v>
      </c>
      <c r="F958" s="34">
        <v>2.09</v>
      </c>
      <c r="G958" s="34">
        <f>IF(ISNUMBER(F958),E958*F958,"")</f>
        <v>1.6719999999999999E-2</v>
      </c>
      <c r="H958" s="35"/>
      <c r="I958" s="31"/>
      <c r="J958" s="155">
        <v>0</v>
      </c>
    </row>
    <row r="959" spans="1:10" ht="26.25" hidden="1" thickBot="1" x14ac:dyDescent="0.3">
      <c r="A959" s="200"/>
      <c r="B959" s="202"/>
      <c r="C959" s="36" t="s">
        <v>108</v>
      </c>
      <c r="D959" s="36" t="s">
        <v>12</v>
      </c>
      <c r="E959" s="37">
        <v>2.4E-2</v>
      </c>
      <c r="F959" s="31">
        <v>17.3185</v>
      </c>
      <c r="G959" s="34">
        <f>IF(ISNUMBER(F959),E959*F959,"")</f>
        <v>0.41564400000000001</v>
      </c>
      <c r="H959" s="35"/>
      <c r="I959" s="31"/>
      <c r="J959" s="155">
        <v>0</v>
      </c>
    </row>
    <row r="960" spans="1:10" ht="15.75" hidden="1" thickBot="1" x14ac:dyDescent="0.3">
      <c r="A960" s="200"/>
      <c r="B960" s="202"/>
      <c r="C960" s="36" t="s">
        <v>39</v>
      </c>
      <c r="D960" s="47" t="s">
        <v>12</v>
      </c>
      <c r="E960" s="37">
        <v>2.4E-2</v>
      </c>
      <c r="F960" s="31">
        <v>22.2395</v>
      </c>
      <c r="G960" s="34">
        <f>IF(ISNUMBER(F960),E960*F960,"")</f>
        <v>0.533748</v>
      </c>
      <c r="H960" s="35"/>
      <c r="I960" s="31"/>
      <c r="J960" s="155">
        <v>0</v>
      </c>
    </row>
    <row r="961" spans="1:10" ht="15.75" hidden="1" thickBot="1" x14ac:dyDescent="0.3">
      <c r="A961" s="201"/>
      <c r="B961" s="188"/>
      <c r="C961" s="36"/>
      <c r="D961" s="36"/>
      <c r="E961" s="37"/>
      <c r="F961" s="31" t="s">
        <v>558</v>
      </c>
      <c r="G961" s="31" t="str">
        <f>IF(ISNUMBER(F961),E961*F961,"")</f>
        <v/>
      </c>
      <c r="H961" s="35"/>
      <c r="I961" s="31"/>
      <c r="J961" s="155">
        <v>0</v>
      </c>
    </row>
    <row r="962" spans="1:10" ht="15.75" hidden="1" thickBot="1" x14ac:dyDescent="0.3">
      <c r="A962" s="180" t="s">
        <v>332</v>
      </c>
      <c r="B962" s="186" t="str">
        <f>INDEX(Orçamentária!A:B,MATCH(Composições!A962,Orçamentária!A:A,0),2)</f>
        <v>Tubo PVC soldável água fria DN 50mm</v>
      </c>
      <c r="C962" s="41"/>
      <c r="D962" s="26" t="str">
        <f>TRIM(INDEX(Orçamentária!C:C,MATCH(Composições!A962,Orçamentária!A:A,0),1))</f>
        <v>m</v>
      </c>
      <c r="E962" s="27"/>
      <c r="F962" s="42" t="s">
        <v>558</v>
      </c>
      <c r="G962" s="28" t="str">
        <f>IF(ISNUMBER(F962),E962*F962,"")</f>
        <v/>
      </c>
      <c r="H962" s="29"/>
      <c r="I962" s="30"/>
      <c r="J962" s="155">
        <v>0</v>
      </c>
    </row>
    <row r="963" spans="1:10" ht="15.75" hidden="1" thickBot="1" x14ac:dyDescent="0.3">
      <c r="A963" s="200"/>
      <c r="B963" s="202"/>
      <c r="C963" s="32"/>
      <c r="D963" s="32"/>
      <c r="E963" s="33"/>
      <c r="F963" s="43" t="s">
        <v>558</v>
      </c>
      <c r="G963" s="31" t="str">
        <f>IF(ISNUMBER(F963),E963*F963,"")</f>
        <v/>
      </c>
      <c r="H963" s="35"/>
      <c r="I963" s="31"/>
      <c r="J963" s="155">
        <v>0</v>
      </c>
    </row>
    <row r="964" spans="1:10" ht="15.75" hidden="1" thickBot="1" x14ac:dyDescent="0.3">
      <c r="A964" s="200"/>
      <c r="B964" s="202"/>
      <c r="C964" s="36" t="s">
        <v>333</v>
      </c>
      <c r="D964" s="47" t="s">
        <v>93</v>
      </c>
      <c r="E964" s="37">
        <v>1.0609999999999999</v>
      </c>
      <c r="F964" s="34">
        <v>14.297499999999999</v>
      </c>
      <c r="G964" s="34">
        <f>IF(ISNUMBER(F964),E964*F964,"")</f>
        <v>15.169647499999998</v>
      </c>
      <c r="H964" s="39">
        <f>SUM(G964:G967)</f>
        <v>16.337729499999998</v>
      </c>
      <c r="I964" s="40"/>
      <c r="J964" s="155">
        <v>0</v>
      </c>
    </row>
    <row r="965" spans="1:10" ht="15.75" hidden="1" thickBot="1" x14ac:dyDescent="0.3">
      <c r="A965" s="200"/>
      <c r="B965" s="202"/>
      <c r="C965" s="36" t="s">
        <v>322</v>
      </c>
      <c r="D965" s="47" t="s">
        <v>20</v>
      </c>
      <c r="E965" s="37">
        <v>0.01</v>
      </c>
      <c r="F965" s="34">
        <v>2.09</v>
      </c>
      <c r="G965" s="34">
        <f>IF(ISNUMBER(F965),E965*F965,"")</f>
        <v>2.0899999999999998E-2</v>
      </c>
      <c r="H965" s="35"/>
      <c r="I965" s="31"/>
      <c r="J965" s="155">
        <v>0</v>
      </c>
    </row>
    <row r="966" spans="1:10" ht="26.25" hidden="1" thickBot="1" x14ac:dyDescent="0.3">
      <c r="A966" s="200"/>
      <c r="B966" s="202"/>
      <c r="C966" s="36" t="s">
        <v>108</v>
      </c>
      <c r="D966" s="36" t="s">
        <v>12</v>
      </c>
      <c r="E966" s="37">
        <v>2.9000000000000001E-2</v>
      </c>
      <c r="F966" s="31">
        <v>17.3185</v>
      </c>
      <c r="G966" s="34">
        <f>IF(ISNUMBER(F966),E966*F966,"")</f>
        <v>0.50223650000000009</v>
      </c>
      <c r="H966" s="35"/>
      <c r="I966" s="31"/>
      <c r="J966" s="155">
        <v>0</v>
      </c>
    </row>
    <row r="967" spans="1:10" ht="15.75" hidden="1" thickBot="1" x14ac:dyDescent="0.3">
      <c r="A967" s="200"/>
      <c r="B967" s="202"/>
      <c r="C967" s="36" t="s">
        <v>39</v>
      </c>
      <c r="D967" s="47" t="s">
        <v>12</v>
      </c>
      <c r="E967" s="37">
        <v>2.9000000000000001E-2</v>
      </c>
      <c r="F967" s="31">
        <v>22.2395</v>
      </c>
      <c r="G967" s="34">
        <f>IF(ISNUMBER(F967),E967*F967,"")</f>
        <v>0.64494550000000006</v>
      </c>
      <c r="H967" s="35"/>
      <c r="I967" s="31"/>
      <c r="J967" s="155">
        <v>0</v>
      </c>
    </row>
    <row r="968" spans="1:10" ht="15.75" hidden="1" thickBot="1" x14ac:dyDescent="0.3">
      <c r="A968" s="201"/>
      <c r="B968" s="188"/>
      <c r="C968" s="36"/>
      <c r="D968" s="36"/>
      <c r="E968" s="37"/>
      <c r="F968" s="31" t="s">
        <v>558</v>
      </c>
      <c r="G968" s="31" t="str">
        <f>IF(ISNUMBER(F968),E968*F968,"")</f>
        <v/>
      </c>
      <c r="H968" s="35"/>
      <c r="I968" s="31"/>
      <c r="J968" s="155">
        <v>0</v>
      </c>
    </row>
    <row r="969" spans="1:10" ht="15.75" hidden="1" thickBot="1" x14ac:dyDescent="0.3">
      <c r="A969" s="180" t="s">
        <v>334</v>
      </c>
      <c r="B969" s="186" t="str">
        <f>INDEX(Orçamentária!A:B,MATCH(Composições!A969,Orçamentária!A:A,0),2)</f>
        <v>Base registro gaveta 3/4"</v>
      </c>
      <c r="C969" s="41"/>
      <c r="D969" s="26" t="str">
        <f>TRIM(INDEX(Orçamentária!C:C,MATCH(Composições!A969,Orçamentária!A:A,0),1))</f>
        <v>un</v>
      </c>
      <c r="E969" s="27"/>
      <c r="F969" s="42" t="s">
        <v>558</v>
      </c>
      <c r="G969" s="28" t="str">
        <f>IF(ISNUMBER(F969),E969*F969,"")</f>
        <v/>
      </c>
      <c r="H969" s="29"/>
      <c r="I969" s="30"/>
      <c r="J969" s="155">
        <v>0</v>
      </c>
    </row>
    <row r="970" spans="1:10" ht="15.75" hidden="1" thickBot="1" x14ac:dyDescent="0.3">
      <c r="A970" s="200"/>
      <c r="B970" s="202"/>
      <c r="C970" s="32"/>
      <c r="D970" s="32"/>
      <c r="E970" s="33"/>
      <c r="F970" s="43" t="s">
        <v>558</v>
      </c>
      <c r="G970" s="31" t="str">
        <f>IF(ISNUMBER(F970),E970*F970,"")</f>
        <v/>
      </c>
      <c r="H970" s="35"/>
      <c r="I970" s="31"/>
      <c r="J970" s="155">
        <v>0</v>
      </c>
    </row>
    <row r="971" spans="1:10" ht="26.25" hidden="1" thickBot="1" x14ac:dyDescent="0.3">
      <c r="A971" s="200"/>
      <c r="B971" s="202"/>
      <c r="C971" s="36" t="s">
        <v>335</v>
      </c>
      <c r="D971" s="47" t="s">
        <v>147</v>
      </c>
      <c r="E971" s="37">
        <v>1</v>
      </c>
      <c r="F971" s="34" t="s">
        <v>558</v>
      </c>
      <c r="G971" s="34" t="str">
        <f>IF(ISNUMBER(F971),E971*F971,"")</f>
        <v/>
      </c>
      <c r="H971" s="39">
        <f>SUM(G971:G974)</f>
        <v>10.821706499999999</v>
      </c>
      <c r="I971" s="40"/>
      <c r="J971" s="155">
        <v>0</v>
      </c>
    </row>
    <row r="972" spans="1:10" ht="15.75" hidden="1" thickBot="1" x14ac:dyDescent="0.3">
      <c r="A972" s="200"/>
      <c r="B972" s="202"/>
      <c r="C972" s="36" t="s">
        <v>336</v>
      </c>
      <c r="D972" s="47" t="s">
        <v>292</v>
      </c>
      <c r="E972" s="37">
        <v>1.2999999999999999E-2</v>
      </c>
      <c r="F972" s="34">
        <v>12.8155</v>
      </c>
      <c r="G972" s="34">
        <f>IF(ISNUMBER(F972),E972*F972,"")</f>
        <v>0.16660149999999999</v>
      </c>
      <c r="H972" s="35"/>
      <c r="I972" s="31"/>
      <c r="J972" s="155">
        <v>0</v>
      </c>
    </row>
    <row r="973" spans="1:10" ht="15.75" hidden="1" thickBot="1" x14ac:dyDescent="0.3">
      <c r="A973" s="200"/>
      <c r="B973" s="202"/>
      <c r="C973" s="36" t="s">
        <v>39</v>
      </c>
      <c r="D973" s="47" t="s">
        <v>12</v>
      </c>
      <c r="E973" s="37">
        <v>0.3</v>
      </c>
      <c r="F973" s="31">
        <v>22.2395</v>
      </c>
      <c r="G973" s="34">
        <f>IF(ISNUMBER(F973),E973*F973,"")</f>
        <v>6.6718500000000001</v>
      </c>
      <c r="H973" s="35"/>
      <c r="I973" s="31"/>
      <c r="J973" s="155">
        <v>0</v>
      </c>
    </row>
    <row r="974" spans="1:10" ht="26.25" hidden="1" thickBot="1" x14ac:dyDescent="0.3">
      <c r="A974" s="200"/>
      <c r="B974" s="202"/>
      <c r="C974" s="36" t="s">
        <v>108</v>
      </c>
      <c r="D974" s="47" t="s">
        <v>12</v>
      </c>
      <c r="E974" s="37">
        <v>0.23</v>
      </c>
      <c r="F974" s="31">
        <v>17.3185</v>
      </c>
      <c r="G974" s="34">
        <f>IF(ISNUMBER(F974),E974*F974,"")</f>
        <v>3.9832550000000002</v>
      </c>
      <c r="H974" s="35"/>
      <c r="I974" s="31"/>
      <c r="J974" s="155">
        <v>0</v>
      </c>
    </row>
    <row r="975" spans="1:10" ht="15.75" hidden="1" thickBot="1" x14ac:dyDescent="0.3">
      <c r="A975" s="201"/>
      <c r="B975" s="188"/>
      <c r="C975" s="36"/>
      <c r="D975" s="36"/>
      <c r="E975" s="37"/>
      <c r="F975" s="31" t="s">
        <v>558</v>
      </c>
      <c r="G975" s="31" t="str">
        <f>IF(ISNUMBER(F975),E975*F975,"")</f>
        <v/>
      </c>
      <c r="H975" s="35"/>
      <c r="I975" s="31"/>
      <c r="J975" s="155">
        <v>0</v>
      </c>
    </row>
    <row r="976" spans="1:10" ht="15.75" hidden="1" thickBot="1" x14ac:dyDescent="0.3">
      <c r="A976" s="180" t="s">
        <v>337</v>
      </c>
      <c r="B976" s="186" t="str">
        <f>INDEX(Orçamentária!A:B,MATCH(Composições!A976,Orçamentária!A:A,0),2)</f>
        <v>Caixa sifonada de PVC DN 150mm</v>
      </c>
      <c r="C976" s="41"/>
      <c r="D976" s="26" t="str">
        <f>TRIM(INDEX(Orçamentária!C:C,MATCH(Composições!A976,Orçamentária!A:A,0),1))</f>
        <v>un</v>
      </c>
      <c r="E976" s="27"/>
      <c r="F976" s="42" t="s">
        <v>558</v>
      </c>
      <c r="G976" s="28" t="str">
        <f>IF(ISNUMBER(F976),E976*F976,"")</f>
        <v/>
      </c>
      <c r="H976" s="29"/>
      <c r="I976" s="30"/>
      <c r="J976" s="155">
        <v>0</v>
      </c>
    </row>
    <row r="977" spans="1:10" ht="15.75" hidden="1" thickBot="1" x14ac:dyDescent="0.3">
      <c r="A977" s="200"/>
      <c r="B977" s="202"/>
      <c r="C977" s="32"/>
      <c r="D977" s="32"/>
      <c r="E977" s="33"/>
      <c r="F977" s="43" t="s">
        <v>558</v>
      </c>
      <c r="G977" s="31" t="str">
        <f>IF(ISNUMBER(F977),E977*F977,"")</f>
        <v/>
      </c>
      <c r="H977" s="35"/>
      <c r="I977" s="31"/>
      <c r="J977" s="155">
        <v>0</v>
      </c>
    </row>
    <row r="978" spans="1:10" ht="26.25" hidden="1" thickBot="1" x14ac:dyDescent="0.3">
      <c r="A978" s="200"/>
      <c r="B978" s="202"/>
      <c r="C978" s="36" t="s">
        <v>108</v>
      </c>
      <c r="D978" s="47" t="s">
        <v>12</v>
      </c>
      <c r="E978" s="37">
        <v>0.38</v>
      </c>
      <c r="F978" s="31">
        <v>17.3185</v>
      </c>
      <c r="G978" s="34">
        <f>IF(ISNUMBER(F978),E978*F978,"")</f>
        <v>6.5810300000000002</v>
      </c>
      <c r="H978" s="39">
        <f>SUM(G978:G985)</f>
        <v>75.649665650000003</v>
      </c>
      <c r="I978" s="40"/>
      <c r="J978" s="155">
        <v>0</v>
      </c>
    </row>
    <row r="979" spans="1:10" ht="15.75" hidden="1" thickBot="1" x14ac:dyDescent="0.3">
      <c r="A979" s="200"/>
      <c r="B979" s="202"/>
      <c r="C979" s="36" t="s">
        <v>39</v>
      </c>
      <c r="D979" s="47" t="s">
        <v>12</v>
      </c>
      <c r="E979" s="37">
        <v>0.38</v>
      </c>
      <c r="F979" s="31">
        <v>22.2395</v>
      </c>
      <c r="G979" s="34">
        <f>IF(ISNUMBER(F979),E979*F979,"")</f>
        <v>8.4510100000000001</v>
      </c>
      <c r="H979" s="35"/>
      <c r="I979" s="31"/>
      <c r="J979" s="155">
        <v>0</v>
      </c>
    </row>
    <row r="980" spans="1:10" ht="15.75" hidden="1" thickBot="1" x14ac:dyDescent="0.3">
      <c r="A980" s="200"/>
      <c r="B980" s="202"/>
      <c r="C980" s="36" t="s">
        <v>320</v>
      </c>
      <c r="D980" s="47" t="s">
        <v>20</v>
      </c>
      <c r="E980" s="37">
        <v>1.4800000000000001E-2</v>
      </c>
      <c r="F980" s="34">
        <v>75.515499999999989</v>
      </c>
      <c r="G980" s="34">
        <f>IF(ISNUMBER(F980),E980*F980,"")</f>
        <v>1.1176293999999998</v>
      </c>
      <c r="H980" s="35"/>
      <c r="I980" s="31"/>
      <c r="J980" s="155">
        <v>0</v>
      </c>
    </row>
    <row r="981" spans="1:10" ht="15.75" hidden="1" thickBot="1" x14ac:dyDescent="0.3">
      <c r="A981" s="200"/>
      <c r="B981" s="202"/>
      <c r="C981" s="36" t="s">
        <v>338</v>
      </c>
      <c r="D981" s="47" t="s">
        <v>20</v>
      </c>
      <c r="E981" s="37">
        <v>1</v>
      </c>
      <c r="F981" s="34">
        <v>2.1755</v>
      </c>
      <c r="G981" s="34">
        <f>IF(ISNUMBER(F981),E981*F981,"")</f>
        <v>2.1755</v>
      </c>
      <c r="H981" s="35"/>
      <c r="I981" s="31"/>
      <c r="J981" s="155">
        <v>0</v>
      </c>
    </row>
    <row r="982" spans="1:10" ht="15.75" hidden="1" thickBot="1" x14ac:dyDescent="0.3">
      <c r="A982" s="200"/>
      <c r="B982" s="202"/>
      <c r="C982" s="36" t="s">
        <v>322</v>
      </c>
      <c r="D982" s="47" t="s">
        <v>20</v>
      </c>
      <c r="E982" s="37">
        <v>5.7000000000000002E-2</v>
      </c>
      <c r="F982" s="34">
        <v>2.09</v>
      </c>
      <c r="G982" s="34">
        <f>IF(ISNUMBER(F982),E982*F982,"")</f>
        <v>0.11913</v>
      </c>
      <c r="H982" s="35"/>
      <c r="I982" s="31"/>
      <c r="J982" s="155">
        <v>0</v>
      </c>
    </row>
    <row r="983" spans="1:10" ht="15.75" hidden="1" thickBot="1" x14ac:dyDescent="0.3">
      <c r="A983" s="200"/>
      <c r="B983" s="202"/>
      <c r="C983" s="36" t="s">
        <v>339</v>
      </c>
      <c r="D983" s="47" t="s">
        <v>20</v>
      </c>
      <c r="E983" s="37">
        <v>1</v>
      </c>
      <c r="F983" s="34">
        <v>54.900499999999994</v>
      </c>
      <c r="G983" s="34">
        <f>IF(ISNUMBER(F983),E983*F983,"")</f>
        <v>54.900499999999994</v>
      </c>
      <c r="H983" s="35"/>
      <c r="I983" s="31"/>
      <c r="J983" s="155">
        <v>0</v>
      </c>
    </row>
    <row r="984" spans="1:10" ht="26.25" hidden="1" thickBot="1" x14ac:dyDescent="0.3">
      <c r="A984" s="200"/>
      <c r="B984" s="202"/>
      <c r="C984" s="36" t="s">
        <v>340</v>
      </c>
      <c r="D984" s="47" t="s">
        <v>20</v>
      </c>
      <c r="E984" s="37">
        <v>0.03</v>
      </c>
      <c r="F984" s="34">
        <v>27.645</v>
      </c>
      <c r="G984" s="34">
        <f>IF(ISNUMBER(F984),E984*F984,"")</f>
        <v>0.82934999999999992</v>
      </c>
      <c r="H984" s="35"/>
      <c r="I984" s="31"/>
      <c r="J984" s="155">
        <v>0</v>
      </c>
    </row>
    <row r="985" spans="1:10" ht="15.75" hidden="1" thickBot="1" x14ac:dyDescent="0.3">
      <c r="A985" s="200"/>
      <c r="B985" s="202"/>
      <c r="C985" s="36" t="s">
        <v>321</v>
      </c>
      <c r="D985" s="47" t="s">
        <v>20</v>
      </c>
      <c r="E985" s="37">
        <v>2.2499999999999999E-2</v>
      </c>
      <c r="F985" s="34">
        <v>65.578499999999991</v>
      </c>
      <c r="G985" s="34">
        <f>IF(ISNUMBER(F985),E985*F985,"")</f>
        <v>1.4755162499999996</v>
      </c>
      <c r="H985" s="35"/>
      <c r="I985" s="31"/>
      <c r="J985" s="155">
        <v>0</v>
      </c>
    </row>
    <row r="986" spans="1:10" ht="15.75" hidden="1" thickBot="1" x14ac:dyDescent="0.3">
      <c r="A986" s="201"/>
      <c r="B986" s="188"/>
      <c r="C986" s="36"/>
      <c r="D986" s="36"/>
      <c r="E986" s="37"/>
      <c r="F986" s="31" t="s">
        <v>558</v>
      </c>
      <c r="G986" s="31" t="str">
        <f>IF(ISNUMBER(F986),E986*F986,"")</f>
        <v/>
      </c>
      <c r="H986" s="35"/>
      <c r="I986" s="31"/>
      <c r="J986" s="155">
        <v>0</v>
      </c>
    </row>
    <row r="987" spans="1:10" ht="15.75" hidden="1" thickBot="1" x14ac:dyDescent="0.3">
      <c r="A987" s="180" t="s">
        <v>341</v>
      </c>
      <c r="B987" s="186" t="str">
        <f>INDEX(Orçamentária!A:B,MATCH(Composições!A987,Orçamentária!A:A,0),2)</f>
        <v>Caixa sifonada de PVC DN 250mm</v>
      </c>
      <c r="C987" s="41"/>
      <c r="D987" s="26" t="str">
        <f>TRIM(INDEX(Orçamentária!C:C,MATCH(Composições!A987,Orçamentária!A:A,0),1))</f>
        <v>un</v>
      </c>
      <c r="E987" s="27"/>
      <c r="F987" s="42" t="s">
        <v>558</v>
      </c>
      <c r="G987" s="28" t="str">
        <f>IF(ISNUMBER(F987),E987*F987,"")</f>
        <v/>
      </c>
      <c r="H987" s="29"/>
      <c r="I987" s="30"/>
      <c r="J987" s="155">
        <v>0</v>
      </c>
    </row>
    <row r="988" spans="1:10" ht="15.75" hidden="1" thickBot="1" x14ac:dyDescent="0.3">
      <c r="A988" s="200"/>
      <c r="B988" s="202"/>
      <c r="C988" s="32"/>
      <c r="D988" s="32"/>
      <c r="E988" s="33"/>
      <c r="F988" s="43" t="s">
        <v>558</v>
      </c>
      <c r="G988" s="31" t="str">
        <f>IF(ISNUMBER(F988),E988*F988,"")</f>
        <v/>
      </c>
      <c r="H988" s="35"/>
      <c r="I988" s="31"/>
      <c r="J988" s="155">
        <v>0</v>
      </c>
    </row>
    <row r="989" spans="1:10" ht="26.25" hidden="1" thickBot="1" x14ac:dyDescent="0.3">
      <c r="A989" s="200"/>
      <c r="B989" s="202"/>
      <c r="C989" s="36" t="s">
        <v>108</v>
      </c>
      <c r="D989" s="47" t="s">
        <v>12</v>
      </c>
      <c r="E989" s="37">
        <v>0.38</v>
      </c>
      <c r="F989" s="31">
        <v>17.3185</v>
      </c>
      <c r="G989" s="31">
        <f>IF(ISNUMBER(F989),E989*F989,"")</f>
        <v>6.5810300000000002</v>
      </c>
      <c r="H989" s="39">
        <f>SUM(G989:G996)</f>
        <v>134.31216565</v>
      </c>
      <c r="I989" s="40"/>
      <c r="J989" s="155">
        <v>0</v>
      </c>
    </row>
    <row r="990" spans="1:10" ht="15.75" hidden="1" thickBot="1" x14ac:dyDescent="0.3">
      <c r="A990" s="200"/>
      <c r="B990" s="202"/>
      <c r="C990" s="36" t="s">
        <v>39</v>
      </c>
      <c r="D990" s="47" t="s">
        <v>12</v>
      </c>
      <c r="E990" s="37">
        <v>0.38</v>
      </c>
      <c r="F990" s="31">
        <v>22.2395</v>
      </c>
      <c r="G990" s="31">
        <f>IF(ISNUMBER(F990),E990*F990,"")</f>
        <v>8.4510100000000001</v>
      </c>
      <c r="H990" s="35"/>
      <c r="I990" s="31"/>
      <c r="J990" s="155">
        <v>0</v>
      </c>
    </row>
    <row r="991" spans="1:10" ht="15.75" hidden="1" thickBot="1" x14ac:dyDescent="0.3">
      <c r="A991" s="200"/>
      <c r="B991" s="202"/>
      <c r="C991" s="36" t="s">
        <v>320</v>
      </c>
      <c r="D991" s="47" t="s">
        <v>20</v>
      </c>
      <c r="E991" s="37">
        <v>1.4800000000000001E-2</v>
      </c>
      <c r="F991" s="34">
        <v>75.515499999999989</v>
      </c>
      <c r="G991" s="31">
        <f>IF(ISNUMBER(F991),E991*F991,"")</f>
        <v>1.1176293999999998</v>
      </c>
      <c r="H991" s="35"/>
      <c r="I991" s="31"/>
      <c r="J991" s="155">
        <v>0</v>
      </c>
    </row>
    <row r="992" spans="1:10" ht="15.75" hidden="1" thickBot="1" x14ac:dyDescent="0.3">
      <c r="A992" s="200"/>
      <c r="B992" s="202"/>
      <c r="C992" s="36" t="s">
        <v>338</v>
      </c>
      <c r="D992" s="47" t="s">
        <v>20</v>
      </c>
      <c r="E992" s="37">
        <v>1</v>
      </c>
      <c r="F992" s="34">
        <v>2.1755</v>
      </c>
      <c r="G992" s="31">
        <f>IF(ISNUMBER(F992),E992*F992,"")</f>
        <v>2.1755</v>
      </c>
      <c r="H992" s="35"/>
      <c r="I992" s="31"/>
      <c r="J992" s="155">
        <v>0</v>
      </c>
    </row>
    <row r="993" spans="1:10" ht="15.75" hidden="1" thickBot="1" x14ac:dyDescent="0.3">
      <c r="A993" s="200"/>
      <c r="B993" s="202"/>
      <c r="C993" s="36" t="s">
        <v>322</v>
      </c>
      <c r="D993" s="47" t="s">
        <v>20</v>
      </c>
      <c r="E993" s="37">
        <v>5.7000000000000002E-2</v>
      </c>
      <c r="F993" s="34">
        <v>2.09</v>
      </c>
      <c r="G993" s="31">
        <f>IF(ISNUMBER(F993),E993*F993,"")</f>
        <v>0.11913</v>
      </c>
      <c r="H993" s="35"/>
      <c r="I993" s="31"/>
      <c r="J993" s="155">
        <v>0</v>
      </c>
    </row>
    <row r="994" spans="1:10" ht="26.25" hidden="1" thickBot="1" x14ac:dyDescent="0.3">
      <c r="A994" s="200"/>
      <c r="B994" s="202"/>
      <c r="C994" s="36" t="s">
        <v>342</v>
      </c>
      <c r="D994" s="47" t="s">
        <v>20</v>
      </c>
      <c r="E994" s="37">
        <v>1</v>
      </c>
      <c r="F994" s="34">
        <v>113.563</v>
      </c>
      <c r="G994" s="31">
        <f>IF(ISNUMBER(F994),E994*F994,"")</f>
        <v>113.563</v>
      </c>
      <c r="H994" s="35"/>
      <c r="I994" s="31"/>
      <c r="J994" s="155">
        <v>0</v>
      </c>
    </row>
    <row r="995" spans="1:10" ht="26.25" hidden="1" thickBot="1" x14ac:dyDescent="0.3">
      <c r="A995" s="200"/>
      <c r="B995" s="202"/>
      <c r="C995" s="36" t="s">
        <v>340</v>
      </c>
      <c r="D995" s="47" t="s">
        <v>20</v>
      </c>
      <c r="E995" s="37">
        <v>0.03</v>
      </c>
      <c r="F995" s="34">
        <v>27.645</v>
      </c>
      <c r="G995" s="31">
        <f>IF(ISNUMBER(F995),E995*F995,"")</f>
        <v>0.82934999999999992</v>
      </c>
      <c r="H995" s="35"/>
      <c r="I995" s="31"/>
      <c r="J995" s="155">
        <v>0</v>
      </c>
    </row>
    <row r="996" spans="1:10" ht="15.75" hidden="1" thickBot="1" x14ac:dyDescent="0.3">
      <c r="A996" s="200"/>
      <c r="B996" s="202"/>
      <c r="C996" s="36" t="s">
        <v>321</v>
      </c>
      <c r="D996" s="47" t="s">
        <v>20</v>
      </c>
      <c r="E996" s="37">
        <v>2.2499999999999999E-2</v>
      </c>
      <c r="F996" s="34">
        <v>65.578499999999991</v>
      </c>
      <c r="G996" s="31">
        <f>IF(ISNUMBER(F996),E996*F996,"")</f>
        <v>1.4755162499999996</v>
      </c>
      <c r="H996" s="35"/>
      <c r="I996" s="31"/>
      <c r="J996" s="155">
        <v>0</v>
      </c>
    </row>
    <row r="997" spans="1:10" ht="15.75" hidden="1" thickBot="1" x14ac:dyDescent="0.3">
      <c r="A997" s="201"/>
      <c r="B997" s="188"/>
      <c r="C997" s="36"/>
      <c r="D997" s="36"/>
      <c r="E997" s="37"/>
      <c r="F997" s="31" t="s">
        <v>558</v>
      </c>
      <c r="G997" s="31" t="str">
        <f>IF(ISNUMBER(F997),E997*F997,"")</f>
        <v/>
      </c>
      <c r="H997" s="35"/>
      <c r="I997" s="31"/>
      <c r="J997" s="155">
        <v>0</v>
      </c>
    </row>
    <row r="998" spans="1:10" ht="15.75" hidden="1" thickBot="1" x14ac:dyDescent="0.3">
      <c r="A998" s="180" t="s">
        <v>343</v>
      </c>
      <c r="B998" s="186" t="str">
        <f>INDEX(Orçamentária!A:B,MATCH(Composições!A998,Orçamentária!A:A,0),2)</f>
        <v>Grelha quadrada para ralo 10x10cm</v>
      </c>
      <c r="C998" s="41"/>
      <c r="D998" s="26" t="str">
        <f>TRIM(INDEX(Orçamentária!C:C,MATCH(Composições!A998,Orçamentária!A:A,0),1))</f>
        <v>un</v>
      </c>
      <c r="E998" s="27"/>
      <c r="F998" s="42" t="s">
        <v>558</v>
      </c>
      <c r="G998" s="28" t="str">
        <f>IF(ISNUMBER(F998),E998*F998,"")</f>
        <v/>
      </c>
      <c r="H998" s="29"/>
      <c r="I998" s="30"/>
      <c r="J998" s="155">
        <v>0</v>
      </c>
    </row>
    <row r="999" spans="1:10" ht="15.75" hidden="1" thickBot="1" x14ac:dyDescent="0.3">
      <c r="A999" s="200"/>
      <c r="B999" s="202"/>
      <c r="C999" s="32"/>
      <c r="D999" s="32"/>
      <c r="E999" s="33"/>
      <c r="F999" s="43" t="s">
        <v>558</v>
      </c>
      <c r="G999" s="31" t="str">
        <f>IF(ISNUMBER(F999),E999*F999,"")</f>
        <v/>
      </c>
      <c r="H999" s="35"/>
      <c r="I999" s="31"/>
      <c r="J999" s="155">
        <v>0</v>
      </c>
    </row>
    <row r="1000" spans="1:10" ht="26.25" hidden="1" thickBot="1" x14ac:dyDescent="0.3">
      <c r="A1000" s="200"/>
      <c r="B1000" s="202"/>
      <c r="C1000" s="36" t="s">
        <v>344</v>
      </c>
      <c r="D1000" s="47" t="s">
        <v>147</v>
      </c>
      <c r="E1000" s="37">
        <v>1</v>
      </c>
      <c r="F1000" s="34" t="s">
        <v>558</v>
      </c>
      <c r="G1000" s="34" t="str">
        <f>IF(ISNUMBER(F1000),E1000*F1000,"")</f>
        <v/>
      </c>
      <c r="H1000" s="39">
        <f>SUM(G1000:G1001)</f>
        <v>2.5094249999999998</v>
      </c>
      <c r="I1000" s="40"/>
      <c r="J1000" s="155">
        <v>0</v>
      </c>
    </row>
    <row r="1001" spans="1:10" ht="15.75" hidden="1" thickBot="1" x14ac:dyDescent="0.3">
      <c r="A1001" s="200"/>
      <c r="B1001" s="202"/>
      <c r="C1001" s="36" t="s">
        <v>23</v>
      </c>
      <c r="D1001" s="47" t="s">
        <v>12</v>
      </c>
      <c r="E1001" s="37">
        <v>0.15</v>
      </c>
      <c r="F1001" s="31">
        <v>16.729499999999998</v>
      </c>
      <c r="G1001" s="34">
        <f>IF(ISNUMBER(F1001),E1001*F1001,"")</f>
        <v>2.5094249999999998</v>
      </c>
      <c r="H1001" s="35"/>
      <c r="I1001" s="31"/>
      <c r="J1001" s="155">
        <v>0</v>
      </c>
    </row>
    <row r="1002" spans="1:10" ht="15.75" hidden="1" thickBot="1" x14ac:dyDescent="0.3">
      <c r="A1002" s="201"/>
      <c r="B1002" s="188"/>
      <c r="C1002" s="36"/>
      <c r="D1002" s="36"/>
      <c r="E1002" s="37"/>
      <c r="F1002" s="31" t="s">
        <v>558</v>
      </c>
      <c r="G1002" s="31" t="str">
        <f>IF(ISNUMBER(F1002),E1002*F1002,"")</f>
        <v/>
      </c>
      <c r="H1002" s="35"/>
      <c r="I1002" s="31"/>
      <c r="J1002" s="155">
        <v>0</v>
      </c>
    </row>
    <row r="1003" spans="1:10" ht="15.75" hidden="1" thickBot="1" x14ac:dyDescent="0.3">
      <c r="A1003" s="180" t="s">
        <v>345</v>
      </c>
      <c r="B1003" s="186" t="str">
        <f>INDEX(Orçamentária!A:B,MATCH(Composições!A1003,Orçamentária!A:A,0),2)</f>
        <v>Grelha quadrada para ralo 15x15cm</v>
      </c>
      <c r="C1003" s="41"/>
      <c r="D1003" s="26" t="str">
        <f>TRIM(INDEX(Orçamentária!C:C,MATCH(Composições!A1003,Orçamentária!A:A,0),1))</f>
        <v>un</v>
      </c>
      <c r="E1003" s="27"/>
      <c r="F1003" s="42" t="s">
        <v>558</v>
      </c>
      <c r="G1003" s="28" t="str">
        <f>IF(ISNUMBER(F1003),E1003*F1003,"")</f>
        <v/>
      </c>
      <c r="H1003" s="29"/>
      <c r="I1003" s="30"/>
      <c r="J1003" s="155">
        <v>0</v>
      </c>
    </row>
    <row r="1004" spans="1:10" ht="15.75" hidden="1" thickBot="1" x14ac:dyDescent="0.3">
      <c r="A1004" s="200"/>
      <c r="B1004" s="202"/>
      <c r="C1004" s="32"/>
      <c r="D1004" s="32"/>
      <c r="E1004" s="33"/>
      <c r="F1004" s="43" t="s">
        <v>558</v>
      </c>
      <c r="G1004" s="31" t="str">
        <f>IF(ISNUMBER(F1004),E1004*F1004,"")</f>
        <v/>
      </c>
      <c r="H1004" s="35"/>
      <c r="I1004" s="31"/>
      <c r="J1004" s="155">
        <v>0</v>
      </c>
    </row>
    <row r="1005" spans="1:10" ht="26.25" hidden="1" thickBot="1" x14ac:dyDescent="0.3">
      <c r="A1005" s="200"/>
      <c r="B1005" s="202"/>
      <c r="C1005" s="36" t="s">
        <v>346</v>
      </c>
      <c r="D1005" s="47" t="s">
        <v>147</v>
      </c>
      <c r="E1005" s="37">
        <v>1</v>
      </c>
      <c r="F1005" s="34" t="s">
        <v>558</v>
      </c>
      <c r="G1005" s="34" t="str">
        <f>IF(ISNUMBER(F1005),E1005*F1005,"")</f>
        <v/>
      </c>
      <c r="H1005" s="39">
        <f>SUM(G1005:G1006)</f>
        <v>2.5094249999999998</v>
      </c>
      <c r="I1005" s="40"/>
      <c r="J1005" s="155">
        <v>0</v>
      </c>
    </row>
    <row r="1006" spans="1:10" ht="15.75" hidden="1" thickBot="1" x14ac:dyDescent="0.3">
      <c r="A1006" s="200"/>
      <c r="B1006" s="202"/>
      <c r="C1006" s="36" t="s">
        <v>23</v>
      </c>
      <c r="D1006" s="47" t="s">
        <v>12</v>
      </c>
      <c r="E1006" s="37">
        <v>0.15</v>
      </c>
      <c r="F1006" s="31">
        <v>16.729499999999998</v>
      </c>
      <c r="G1006" s="34">
        <f>IF(ISNUMBER(F1006),E1006*F1006,"")</f>
        <v>2.5094249999999998</v>
      </c>
      <c r="H1006" s="35"/>
      <c r="I1006" s="31"/>
      <c r="J1006" s="155">
        <v>0</v>
      </c>
    </row>
    <row r="1007" spans="1:10" ht="15.75" hidden="1" thickBot="1" x14ac:dyDescent="0.3">
      <c r="A1007" s="201"/>
      <c r="B1007" s="188"/>
      <c r="C1007" s="36"/>
      <c r="D1007" s="36"/>
      <c r="E1007" s="37"/>
      <c r="F1007" s="31" t="s">
        <v>558</v>
      </c>
      <c r="G1007" s="31" t="str">
        <f>IF(ISNUMBER(F1007),E1007*F1007,"")</f>
        <v/>
      </c>
      <c r="H1007" s="35"/>
      <c r="I1007" s="31"/>
      <c r="J1007" s="155">
        <v>0</v>
      </c>
    </row>
    <row r="1008" spans="1:10" ht="15.75" hidden="1" thickBot="1" x14ac:dyDescent="0.3">
      <c r="A1008" s="180" t="s">
        <v>347</v>
      </c>
      <c r="B1008" s="186" t="str">
        <f>INDEX(Orçamentária!A:B,MATCH(Composições!A1008,Orçamentária!A:A,0),2)</f>
        <v>Ralo seco PVC DN 100x40mm</v>
      </c>
      <c r="C1008" s="41"/>
      <c r="D1008" s="26" t="str">
        <f>TRIM(INDEX(Orçamentária!C:C,MATCH(Composições!A1008,Orçamentária!A:A,0),1))</f>
        <v>un</v>
      </c>
      <c r="E1008" s="27"/>
      <c r="F1008" s="42" t="s">
        <v>558</v>
      </c>
      <c r="G1008" s="28" t="str">
        <f>IF(ISNUMBER(F1008),E1008*F1008,"")</f>
        <v/>
      </c>
      <c r="H1008" s="29"/>
      <c r="I1008" s="30"/>
      <c r="J1008" s="155">
        <v>0</v>
      </c>
    </row>
    <row r="1009" spans="1:10" ht="15.75" hidden="1" thickBot="1" x14ac:dyDescent="0.3">
      <c r="A1009" s="200"/>
      <c r="B1009" s="202"/>
      <c r="C1009" s="32"/>
      <c r="D1009" s="32"/>
      <c r="E1009" s="33"/>
      <c r="F1009" s="43" t="s">
        <v>558</v>
      </c>
      <c r="G1009" s="31" t="str">
        <f>IF(ISNUMBER(F1009),E1009*F1009,"")</f>
        <v/>
      </c>
      <c r="H1009" s="35"/>
      <c r="I1009" s="31"/>
      <c r="J1009" s="155">
        <v>0</v>
      </c>
    </row>
    <row r="1010" spans="1:10" ht="26.25" hidden="1" thickBot="1" x14ac:dyDescent="0.3">
      <c r="A1010" s="200"/>
      <c r="B1010" s="202"/>
      <c r="C1010" s="36" t="s">
        <v>108</v>
      </c>
      <c r="D1010" s="47" t="s">
        <v>12</v>
      </c>
      <c r="E1010" s="37">
        <v>7.0000000000000007E-2</v>
      </c>
      <c r="F1010" s="31">
        <v>17.3185</v>
      </c>
      <c r="G1010" s="34">
        <f>IF(ISNUMBER(F1010),E1010*F1010,"")</f>
        <v>1.2122950000000001</v>
      </c>
      <c r="H1010" s="39">
        <f>SUM(G1010:G1015)</f>
        <v>12.387454699999999</v>
      </c>
      <c r="I1010" s="40"/>
      <c r="J1010" s="155">
        <v>0</v>
      </c>
    </row>
    <row r="1011" spans="1:10" ht="15.75" hidden="1" thickBot="1" x14ac:dyDescent="0.3">
      <c r="A1011" s="200"/>
      <c r="B1011" s="202"/>
      <c r="C1011" s="36" t="s">
        <v>39</v>
      </c>
      <c r="D1011" s="47" t="s">
        <v>12</v>
      </c>
      <c r="E1011" s="37">
        <v>7.0000000000000007E-2</v>
      </c>
      <c r="F1011" s="31">
        <v>22.2395</v>
      </c>
      <c r="G1011" s="34">
        <f>IF(ISNUMBER(F1011),E1011*F1011,"")</f>
        <v>1.5567650000000002</v>
      </c>
      <c r="H1011" s="35"/>
      <c r="I1011" s="31"/>
      <c r="J1011" s="155">
        <v>0</v>
      </c>
    </row>
    <row r="1012" spans="1:10" ht="15.75" hidden="1" thickBot="1" x14ac:dyDescent="0.3">
      <c r="A1012" s="200"/>
      <c r="B1012" s="202"/>
      <c r="C1012" s="36" t="s">
        <v>320</v>
      </c>
      <c r="D1012" s="47" t="s">
        <v>20</v>
      </c>
      <c r="E1012" s="37">
        <v>4.8999999999999998E-3</v>
      </c>
      <c r="F1012" s="34">
        <v>75.515499999999989</v>
      </c>
      <c r="G1012" s="34">
        <f>IF(ISNUMBER(F1012),E1012*F1012,"")</f>
        <v>0.37002594999999994</v>
      </c>
      <c r="H1012" s="35"/>
      <c r="I1012" s="31"/>
      <c r="J1012" s="155">
        <v>0</v>
      </c>
    </row>
    <row r="1013" spans="1:10" ht="15.75" hidden="1" thickBot="1" x14ac:dyDescent="0.3">
      <c r="A1013" s="200"/>
      <c r="B1013" s="202"/>
      <c r="C1013" s="36" t="s">
        <v>322</v>
      </c>
      <c r="D1013" s="47" t="s">
        <v>20</v>
      </c>
      <c r="E1013" s="37">
        <v>1.7000000000000001E-2</v>
      </c>
      <c r="F1013" s="34">
        <v>2.09</v>
      </c>
      <c r="G1013" s="34">
        <f>IF(ISNUMBER(F1013),E1013*F1013,"")</f>
        <v>3.5529999999999999E-2</v>
      </c>
      <c r="H1013" s="35"/>
      <c r="I1013" s="31"/>
      <c r="J1013" s="155">
        <v>0</v>
      </c>
    </row>
    <row r="1014" spans="1:10" ht="15.75" hidden="1" thickBot="1" x14ac:dyDescent="0.3">
      <c r="A1014" s="200"/>
      <c r="B1014" s="202"/>
      <c r="C1014" s="36" t="s">
        <v>348</v>
      </c>
      <c r="D1014" s="47" t="s">
        <v>20</v>
      </c>
      <c r="E1014" s="37">
        <v>1</v>
      </c>
      <c r="F1014" s="34">
        <v>8.7210000000000001</v>
      </c>
      <c r="G1014" s="34">
        <f>IF(ISNUMBER(F1014),E1014*F1014,"")</f>
        <v>8.7210000000000001</v>
      </c>
      <c r="H1014" s="35"/>
      <c r="I1014" s="31"/>
      <c r="J1014" s="155">
        <v>0</v>
      </c>
    </row>
    <row r="1015" spans="1:10" ht="15.75" hidden="1" thickBot="1" x14ac:dyDescent="0.3">
      <c r="A1015" s="200"/>
      <c r="B1015" s="202"/>
      <c r="C1015" s="36" t="s">
        <v>321</v>
      </c>
      <c r="D1015" s="47" t="s">
        <v>20</v>
      </c>
      <c r="E1015" s="37">
        <v>7.4999999999999997E-3</v>
      </c>
      <c r="F1015" s="34">
        <v>65.578499999999991</v>
      </c>
      <c r="G1015" s="34">
        <f>IF(ISNUMBER(F1015),E1015*F1015,"")</f>
        <v>0.49183874999999994</v>
      </c>
      <c r="H1015" s="35"/>
      <c r="I1015" s="31"/>
      <c r="J1015" s="155">
        <v>0</v>
      </c>
    </row>
    <row r="1016" spans="1:10" ht="15.75" hidden="1" thickBot="1" x14ac:dyDescent="0.3">
      <c r="A1016" s="201"/>
      <c r="B1016" s="188"/>
      <c r="C1016" s="36"/>
      <c r="D1016" s="36"/>
      <c r="E1016" s="37"/>
      <c r="F1016" s="31" t="s">
        <v>558</v>
      </c>
      <c r="G1016" s="31" t="str">
        <f>IF(ISNUMBER(F1016),E1016*F1016,"")</f>
        <v/>
      </c>
      <c r="H1016" s="35"/>
      <c r="I1016" s="31"/>
      <c r="J1016" s="155">
        <v>0</v>
      </c>
    </row>
    <row r="1017" spans="1:10" ht="15.75" hidden="1" thickBot="1" x14ac:dyDescent="0.3">
      <c r="A1017" s="180" t="s">
        <v>349</v>
      </c>
      <c r="B1017" s="186" t="str">
        <f>INDEX(Orçamentária!A:B,MATCH(Composições!A1017,Orçamentária!A:A,0),2)</f>
        <v>Assento para bacia convencional</v>
      </c>
      <c r="C1017" s="41"/>
      <c r="D1017" s="26" t="str">
        <f>TRIM(INDEX(Orçamentária!C:C,MATCH(Composições!A1017,Orçamentária!A:A,0),1))</f>
        <v>un</v>
      </c>
      <c r="E1017" s="27"/>
      <c r="F1017" s="42" t="s">
        <v>558</v>
      </c>
      <c r="G1017" s="28" t="str">
        <f>IF(ISNUMBER(F1017),E1017*F1017,"")</f>
        <v/>
      </c>
      <c r="H1017" s="29"/>
      <c r="I1017" s="30"/>
      <c r="J1017" s="155">
        <v>0</v>
      </c>
    </row>
    <row r="1018" spans="1:10" ht="15.75" hidden="1" thickBot="1" x14ac:dyDescent="0.3">
      <c r="A1018" s="200"/>
      <c r="B1018" s="202"/>
      <c r="C1018" s="32"/>
      <c r="D1018" s="32"/>
      <c r="E1018" s="33"/>
      <c r="F1018" s="43" t="s">
        <v>558</v>
      </c>
      <c r="G1018" s="31" t="str">
        <f>IF(ISNUMBER(F1018),E1018*F1018,"")</f>
        <v/>
      </c>
      <c r="H1018" s="35"/>
      <c r="I1018" s="31"/>
      <c r="J1018" s="155">
        <v>0</v>
      </c>
    </row>
    <row r="1019" spans="1:10" ht="26.25" hidden="1" thickBot="1" x14ac:dyDescent="0.3">
      <c r="A1019" s="200"/>
      <c r="B1019" s="202"/>
      <c r="C1019" s="36" t="s">
        <v>350</v>
      </c>
      <c r="D1019" s="47" t="s">
        <v>147</v>
      </c>
      <c r="E1019" s="37">
        <v>1</v>
      </c>
      <c r="F1019" s="34" t="s">
        <v>558</v>
      </c>
      <c r="G1019" s="34" t="str">
        <f>IF(ISNUMBER(F1019),E1019*F1019,"")</f>
        <v/>
      </c>
      <c r="H1019" s="39">
        <f>SUM(G1019:G1020)</f>
        <v>1.6729499999999999</v>
      </c>
      <c r="I1019" s="40"/>
      <c r="J1019" s="155">
        <v>0</v>
      </c>
    </row>
    <row r="1020" spans="1:10" ht="15.75" hidden="1" thickBot="1" x14ac:dyDescent="0.3">
      <c r="A1020" s="200"/>
      <c r="B1020" s="202"/>
      <c r="C1020" s="36" t="s">
        <v>23</v>
      </c>
      <c r="D1020" s="47" t="s">
        <v>12</v>
      </c>
      <c r="E1020" s="37">
        <v>0.1</v>
      </c>
      <c r="F1020" s="31">
        <v>16.729499999999998</v>
      </c>
      <c r="G1020" s="34">
        <f>IF(ISNUMBER(F1020),E1020*F1020,"")</f>
        <v>1.6729499999999999</v>
      </c>
      <c r="H1020" s="35"/>
      <c r="I1020" s="31"/>
      <c r="J1020" s="155">
        <v>0</v>
      </c>
    </row>
    <row r="1021" spans="1:10" ht="15.75" hidden="1" thickBot="1" x14ac:dyDescent="0.3">
      <c r="A1021" s="201"/>
      <c r="B1021" s="188"/>
      <c r="C1021" s="36"/>
      <c r="D1021" s="36"/>
      <c r="E1021" s="37"/>
      <c r="F1021" s="31" t="s">
        <v>558</v>
      </c>
      <c r="G1021" s="31" t="str">
        <f>IF(ISNUMBER(F1021),E1021*F1021,"")</f>
        <v/>
      </c>
      <c r="H1021" s="35"/>
      <c r="I1021" s="31"/>
      <c r="J1021" s="155">
        <v>0</v>
      </c>
    </row>
    <row r="1022" spans="1:10" ht="15.75" hidden="1" thickBot="1" x14ac:dyDescent="0.3">
      <c r="A1022" s="180" t="s">
        <v>351</v>
      </c>
      <c r="B1022" s="186" t="str">
        <f>INDEX(Orçamentária!A:B,MATCH(Composições!A1022,Orçamentária!A:A,0),2)</f>
        <v>Bacia convencional – Linha Administrativa</v>
      </c>
      <c r="C1022" s="41"/>
      <c r="D1022" s="26" t="str">
        <f>TRIM(INDEX(Orçamentária!C:C,MATCH(Composições!A1022,Orçamentária!A:A,0),1))</f>
        <v>un</v>
      </c>
      <c r="E1022" s="27"/>
      <c r="F1022" s="42" t="s">
        <v>558</v>
      </c>
      <c r="G1022" s="28" t="str">
        <f>IF(ISNUMBER(F1022),E1022*F1022,"")</f>
        <v/>
      </c>
      <c r="H1022" s="29"/>
      <c r="I1022" s="30"/>
      <c r="J1022" s="155">
        <v>0</v>
      </c>
    </row>
    <row r="1023" spans="1:10" ht="15.75" hidden="1" thickBot="1" x14ac:dyDescent="0.3">
      <c r="A1023" s="200"/>
      <c r="B1023" s="202"/>
      <c r="C1023" s="32"/>
      <c r="D1023" s="32"/>
      <c r="E1023" s="33"/>
      <c r="F1023" s="43" t="s">
        <v>558</v>
      </c>
      <c r="G1023" s="31" t="str">
        <f>IF(ISNUMBER(F1023),E1023*F1023,"")</f>
        <v/>
      </c>
      <c r="H1023" s="35"/>
      <c r="I1023" s="31"/>
      <c r="J1023" s="155">
        <v>0</v>
      </c>
    </row>
    <row r="1024" spans="1:10" ht="15.75" hidden="1" thickBot="1" x14ac:dyDescent="0.3">
      <c r="A1024" s="200"/>
      <c r="B1024" s="202"/>
      <c r="C1024" s="36" t="s">
        <v>352</v>
      </c>
      <c r="D1024" s="47" t="s">
        <v>292</v>
      </c>
      <c r="E1024" s="37">
        <v>1</v>
      </c>
      <c r="F1024" s="34">
        <v>138.60499999999999</v>
      </c>
      <c r="G1024" s="34">
        <f>IF(ISNUMBER(F1024),E1024*F1024,"")</f>
        <v>138.60499999999999</v>
      </c>
      <c r="H1024" s="39">
        <f>SUM(G1024:G1030)</f>
        <v>191.16820169999997</v>
      </c>
      <c r="I1024" s="40"/>
      <c r="J1024" s="155">
        <v>0</v>
      </c>
    </row>
    <row r="1025" spans="1:10" ht="26.25" hidden="1" thickBot="1" x14ac:dyDescent="0.3">
      <c r="A1025" s="200"/>
      <c r="B1025" s="202"/>
      <c r="C1025" s="36" t="s">
        <v>318</v>
      </c>
      <c r="D1025" s="36" t="s">
        <v>20</v>
      </c>
      <c r="E1025" s="37">
        <v>1</v>
      </c>
      <c r="F1025" s="34" t="s">
        <v>558</v>
      </c>
      <c r="G1025" s="34" t="str">
        <f>IF(ISNUMBER(F1025),E1025*F1025,"")</f>
        <v/>
      </c>
      <c r="H1025" s="35"/>
      <c r="I1025" s="31"/>
      <c r="J1025" s="155">
        <v>0</v>
      </c>
    </row>
    <row r="1026" spans="1:10" ht="26.25" hidden="1" thickBot="1" x14ac:dyDescent="0.3">
      <c r="A1026" s="200"/>
      <c r="B1026" s="202"/>
      <c r="C1026" s="36" t="s">
        <v>353</v>
      </c>
      <c r="D1026" s="47" t="s">
        <v>292</v>
      </c>
      <c r="E1026" s="37">
        <v>2</v>
      </c>
      <c r="F1026" s="34">
        <v>14.107499999999998</v>
      </c>
      <c r="G1026" s="34">
        <f>IF(ISNUMBER(F1026),E1026*F1026,"")</f>
        <v>28.214999999999996</v>
      </c>
      <c r="H1026" s="35"/>
      <c r="I1026" s="31"/>
      <c r="J1026" s="155">
        <v>0</v>
      </c>
    </row>
    <row r="1027" spans="1:10" ht="15.75" hidden="1" thickBot="1" x14ac:dyDescent="0.3">
      <c r="A1027" s="200"/>
      <c r="B1027" s="202"/>
      <c r="C1027" s="36" t="s">
        <v>317</v>
      </c>
      <c r="D1027" s="47" t="s">
        <v>20</v>
      </c>
      <c r="E1027" s="37">
        <v>1</v>
      </c>
      <c r="F1027" s="34">
        <v>2.7549999999999999</v>
      </c>
      <c r="G1027" s="54">
        <f>IF(ISNUMBER(F1027),E1027*F1027,"")</f>
        <v>2.7549999999999999</v>
      </c>
      <c r="H1027" s="35"/>
      <c r="I1027" s="31"/>
      <c r="J1027" s="155">
        <v>0</v>
      </c>
    </row>
    <row r="1028" spans="1:10" ht="15.75" hidden="1" thickBot="1" x14ac:dyDescent="0.3">
      <c r="A1028" s="200"/>
      <c r="B1028" s="202"/>
      <c r="C1028" s="36" t="s">
        <v>3621</v>
      </c>
      <c r="D1028" s="47" t="s">
        <v>42</v>
      </c>
      <c r="E1028" s="37">
        <v>8.8099999999999998E-2</v>
      </c>
      <c r="F1028" s="34">
        <v>52.8675</v>
      </c>
      <c r="G1028" s="34">
        <f>IF(ISNUMBER(F1028),E1028*F1028,"")</f>
        <v>4.6576267499999995</v>
      </c>
      <c r="H1028" s="35"/>
      <c r="I1028" s="31"/>
      <c r="J1028" s="155">
        <v>0</v>
      </c>
    </row>
    <row r="1029" spans="1:10" ht="15.75" hidden="1" thickBot="1" x14ac:dyDescent="0.3">
      <c r="A1029" s="200"/>
      <c r="B1029" s="202"/>
      <c r="C1029" s="36" t="s">
        <v>39</v>
      </c>
      <c r="D1029" s="47" t="s">
        <v>12</v>
      </c>
      <c r="E1029" s="37">
        <v>0.49859999999999999</v>
      </c>
      <c r="F1029" s="31">
        <v>22.2395</v>
      </c>
      <c r="G1029" s="34">
        <f>IF(ISNUMBER(F1029),E1029*F1029,"")</f>
        <v>11.088614699999999</v>
      </c>
      <c r="H1029" s="35"/>
      <c r="I1029" s="31"/>
      <c r="J1029" s="155">
        <v>0</v>
      </c>
    </row>
    <row r="1030" spans="1:10" ht="15.75" hidden="1" thickBot="1" x14ac:dyDescent="0.3">
      <c r="A1030" s="200"/>
      <c r="B1030" s="202"/>
      <c r="C1030" s="36" t="s">
        <v>23</v>
      </c>
      <c r="D1030" s="47" t="s">
        <v>12</v>
      </c>
      <c r="E1030" s="37">
        <v>0.34949999999999998</v>
      </c>
      <c r="F1030" s="31">
        <v>16.729499999999998</v>
      </c>
      <c r="G1030" s="34">
        <f>IF(ISNUMBER(F1030),E1030*F1030,"")</f>
        <v>5.8469602499999986</v>
      </c>
      <c r="H1030" s="35"/>
      <c r="I1030" s="31"/>
      <c r="J1030" s="155">
        <v>0</v>
      </c>
    </row>
    <row r="1031" spans="1:10" ht="15.75" hidden="1" thickBot="1" x14ac:dyDescent="0.3">
      <c r="A1031" s="201"/>
      <c r="B1031" s="188"/>
      <c r="C1031" s="36"/>
      <c r="D1031" s="36"/>
      <c r="E1031" s="37"/>
      <c r="F1031" s="31" t="s">
        <v>558</v>
      </c>
      <c r="G1031" s="31" t="str">
        <f>IF(ISNUMBER(F1031),E1031*F1031,"")</f>
        <v/>
      </c>
      <c r="H1031" s="35"/>
      <c r="I1031" s="31"/>
      <c r="J1031" s="155">
        <v>0</v>
      </c>
    </row>
    <row r="1032" spans="1:10" ht="15.75" hidden="1" thickBot="1" x14ac:dyDescent="0.3">
      <c r="A1032" s="180" t="s">
        <v>354</v>
      </c>
      <c r="B1032" s="186" t="str">
        <f>INDEX(Orçamentária!A:B,MATCH(Composições!A1032,Orçamentária!A:A,0),2)</f>
        <v>Bacia convencional com saída horizontal</v>
      </c>
      <c r="C1032" s="41"/>
      <c r="D1032" s="26" t="str">
        <f>TRIM(INDEX(Orçamentária!C:C,MATCH(Composições!A1032,Orçamentária!A:A,0),1))</f>
        <v>un</v>
      </c>
      <c r="E1032" s="27"/>
      <c r="F1032" s="42" t="s">
        <v>558</v>
      </c>
      <c r="G1032" s="28" t="str">
        <f>IF(ISNUMBER(F1032),E1032*F1032,"")</f>
        <v/>
      </c>
      <c r="H1032" s="29"/>
      <c r="I1032" s="30"/>
      <c r="J1032" s="155">
        <v>0</v>
      </c>
    </row>
    <row r="1033" spans="1:10" ht="15.75" hidden="1" thickBot="1" x14ac:dyDescent="0.3">
      <c r="A1033" s="200"/>
      <c r="B1033" s="202"/>
      <c r="C1033" s="32"/>
      <c r="D1033" s="32"/>
      <c r="E1033" s="33"/>
      <c r="F1033" s="43" t="s">
        <v>558</v>
      </c>
      <c r="G1033" s="31" t="str">
        <f>IF(ISNUMBER(F1033),E1033*F1033,"")</f>
        <v/>
      </c>
      <c r="H1033" s="35"/>
      <c r="I1033" s="31"/>
      <c r="J1033" s="155">
        <v>0</v>
      </c>
    </row>
    <row r="1034" spans="1:10" ht="26.25" hidden="1" thickBot="1" x14ac:dyDescent="0.3">
      <c r="A1034" s="200"/>
      <c r="B1034" s="202"/>
      <c r="C1034" s="36" t="s">
        <v>355</v>
      </c>
      <c r="D1034" s="47" t="s">
        <v>147</v>
      </c>
      <c r="E1034" s="37">
        <v>1</v>
      </c>
      <c r="F1034" s="34" t="s">
        <v>558</v>
      </c>
      <c r="G1034" s="34" t="str">
        <f>IF(ISNUMBER(F1034),E1034*F1034,"")</f>
        <v/>
      </c>
      <c r="H1034" s="39">
        <f>SUM(G1034:G1039)</f>
        <v>52.563201699999993</v>
      </c>
      <c r="I1034" s="40"/>
      <c r="J1034" s="155">
        <v>0</v>
      </c>
    </row>
    <row r="1035" spans="1:10" ht="26.25" hidden="1" thickBot="1" x14ac:dyDescent="0.3">
      <c r="A1035" s="200"/>
      <c r="B1035" s="202"/>
      <c r="C1035" s="36" t="s">
        <v>353</v>
      </c>
      <c r="D1035" s="47" t="s">
        <v>292</v>
      </c>
      <c r="E1035" s="37">
        <v>2</v>
      </c>
      <c r="F1035" s="34">
        <v>14.107499999999998</v>
      </c>
      <c r="G1035" s="34">
        <f>IF(ISNUMBER(F1035),E1035*F1035,"")</f>
        <v>28.214999999999996</v>
      </c>
      <c r="H1035" s="35"/>
      <c r="I1035" s="31"/>
      <c r="J1035" s="155">
        <v>0</v>
      </c>
    </row>
    <row r="1036" spans="1:10" ht="15.75" hidden="1" thickBot="1" x14ac:dyDescent="0.3">
      <c r="A1036" s="200"/>
      <c r="B1036" s="202"/>
      <c r="C1036" s="36" t="s">
        <v>317</v>
      </c>
      <c r="D1036" s="47" t="s">
        <v>20</v>
      </c>
      <c r="E1036" s="37">
        <v>1</v>
      </c>
      <c r="F1036" s="34">
        <v>2.7549999999999999</v>
      </c>
      <c r="G1036" s="54">
        <f>IF(ISNUMBER(F1036),E1036*F1036,"")</f>
        <v>2.7549999999999999</v>
      </c>
      <c r="H1036" s="35"/>
      <c r="I1036" s="31"/>
      <c r="J1036" s="155">
        <v>0</v>
      </c>
    </row>
    <row r="1037" spans="1:10" ht="15.75" hidden="1" thickBot="1" x14ac:dyDescent="0.3">
      <c r="A1037" s="200"/>
      <c r="B1037" s="202"/>
      <c r="C1037" s="36" t="s">
        <v>3621</v>
      </c>
      <c r="D1037" s="47" t="s">
        <v>42</v>
      </c>
      <c r="E1037" s="37">
        <v>8.8099999999999998E-2</v>
      </c>
      <c r="F1037" s="34">
        <v>52.8675</v>
      </c>
      <c r="G1037" s="34">
        <f>IF(ISNUMBER(F1037),E1037*F1037,"")</f>
        <v>4.6576267499999995</v>
      </c>
      <c r="H1037" s="35"/>
      <c r="I1037" s="31"/>
      <c r="J1037" s="155">
        <v>0</v>
      </c>
    </row>
    <row r="1038" spans="1:10" ht="15.75" hidden="1" thickBot="1" x14ac:dyDescent="0.3">
      <c r="A1038" s="200"/>
      <c r="B1038" s="202"/>
      <c r="C1038" s="36" t="s">
        <v>39</v>
      </c>
      <c r="D1038" s="47" t="s">
        <v>12</v>
      </c>
      <c r="E1038" s="37">
        <v>0.49859999999999999</v>
      </c>
      <c r="F1038" s="31">
        <v>22.2395</v>
      </c>
      <c r="G1038" s="34">
        <f>IF(ISNUMBER(F1038),E1038*F1038,"")</f>
        <v>11.088614699999999</v>
      </c>
      <c r="H1038" s="35"/>
      <c r="I1038" s="31"/>
      <c r="J1038" s="155">
        <v>0</v>
      </c>
    </row>
    <row r="1039" spans="1:10" ht="15.75" hidden="1" thickBot="1" x14ac:dyDescent="0.3">
      <c r="A1039" s="200"/>
      <c r="B1039" s="202"/>
      <c r="C1039" s="36" t="s">
        <v>23</v>
      </c>
      <c r="D1039" s="47" t="s">
        <v>12</v>
      </c>
      <c r="E1039" s="37">
        <v>0.34949999999999998</v>
      </c>
      <c r="F1039" s="31">
        <v>16.729499999999998</v>
      </c>
      <c r="G1039" s="34">
        <f>IF(ISNUMBER(F1039),E1039*F1039,"")</f>
        <v>5.8469602499999986</v>
      </c>
      <c r="H1039" s="35"/>
      <c r="I1039" s="31"/>
      <c r="J1039" s="155">
        <v>0</v>
      </c>
    </row>
    <row r="1040" spans="1:10" ht="15.75" hidden="1" thickBot="1" x14ac:dyDescent="0.3">
      <c r="A1040" s="201"/>
      <c r="B1040" s="188"/>
      <c r="C1040" s="36"/>
      <c r="D1040" s="36"/>
      <c r="E1040" s="37"/>
      <c r="F1040" s="31" t="s">
        <v>558</v>
      </c>
      <c r="G1040" s="31" t="str">
        <f>IF(ISNUMBER(F1040),E1040*F1040,"")</f>
        <v/>
      </c>
      <c r="H1040" s="35"/>
      <c r="I1040" s="31"/>
      <c r="J1040" s="155">
        <v>0</v>
      </c>
    </row>
    <row r="1041" spans="1:10" ht="15.75" hidden="1" thickBot="1" x14ac:dyDescent="0.3">
      <c r="A1041" s="180" t="s">
        <v>356</v>
      </c>
      <c r="B1041" s="186" t="str">
        <f>INDEX(Orçamentária!A:B,MATCH(Composições!A1041,Orçamentária!A:A,0),2)</f>
        <v>Cuba oval de embutir</v>
      </c>
      <c r="C1041" s="41"/>
      <c r="D1041" s="26" t="str">
        <f>TRIM(INDEX(Orçamentária!C:C,MATCH(Composições!A1041,Orçamentária!A:A,0),1))</f>
        <v>un</v>
      </c>
      <c r="E1041" s="27"/>
      <c r="F1041" s="42" t="s">
        <v>558</v>
      </c>
      <c r="G1041" s="28" t="str">
        <f>IF(ISNUMBER(F1041),E1041*F1041,"")</f>
        <v/>
      </c>
      <c r="H1041" s="29"/>
      <c r="I1041" s="30"/>
      <c r="J1041" s="155">
        <v>0</v>
      </c>
    </row>
    <row r="1042" spans="1:10" ht="15.75" hidden="1" thickBot="1" x14ac:dyDescent="0.3">
      <c r="A1042" s="200"/>
      <c r="B1042" s="202"/>
      <c r="C1042" s="32"/>
      <c r="D1042" s="32"/>
      <c r="E1042" s="33"/>
      <c r="F1042" s="43" t="s">
        <v>558</v>
      </c>
      <c r="G1042" s="31" t="str">
        <f>IF(ISNUMBER(F1042),E1042*F1042,"")</f>
        <v/>
      </c>
      <c r="H1042" s="35"/>
      <c r="I1042" s="31"/>
      <c r="J1042" s="155">
        <v>0</v>
      </c>
    </row>
    <row r="1043" spans="1:10" ht="15.75" hidden="1" thickBot="1" x14ac:dyDescent="0.3">
      <c r="A1043" s="200"/>
      <c r="B1043" s="202"/>
      <c r="C1043" s="36" t="s">
        <v>357</v>
      </c>
      <c r="D1043" s="47" t="s">
        <v>147</v>
      </c>
      <c r="E1043" s="37">
        <v>1</v>
      </c>
      <c r="F1043" s="34" t="s">
        <v>558</v>
      </c>
      <c r="G1043" s="34" t="str">
        <f>IF(ISNUMBER(F1043),E1043*F1043,"")</f>
        <v/>
      </c>
      <c r="H1043" s="39">
        <f>SUM(G1043:G1046)</f>
        <v>33.460643500000003</v>
      </c>
      <c r="I1043" s="40"/>
      <c r="J1043" s="155">
        <v>0</v>
      </c>
    </row>
    <row r="1044" spans="1:10" ht="15.75" hidden="1" thickBot="1" x14ac:dyDescent="0.3">
      <c r="A1044" s="200"/>
      <c r="B1044" s="202"/>
      <c r="C1044" s="36" t="s">
        <v>358</v>
      </c>
      <c r="D1044" s="47" t="s">
        <v>42</v>
      </c>
      <c r="E1044" s="37">
        <v>0.52710000000000001</v>
      </c>
      <c r="F1044" s="34">
        <v>24.671499999999998</v>
      </c>
      <c r="G1044" s="34">
        <f>IF(ISNUMBER(F1044),E1044*F1044,"")</f>
        <v>13.00434765</v>
      </c>
      <c r="H1044" s="35"/>
      <c r="I1044" s="31"/>
      <c r="J1044" s="155">
        <v>0</v>
      </c>
    </row>
    <row r="1045" spans="1:10" ht="15.75" hidden="1" thickBot="1" x14ac:dyDescent="0.3">
      <c r="A1045" s="200"/>
      <c r="B1045" s="202"/>
      <c r="C1045" s="36" t="s">
        <v>23</v>
      </c>
      <c r="D1045" s="47" t="s">
        <v>12</v>
      </c>
      <c r="E1045" s="37">
        <v>0.26650000000000001</v>
      </c>
      <c r="F1045" s="31">
        <v>16.729499999999998</v>
      </c>
      <c r="G1045" s="34">
        <f>IF(ISNUMBER(F1045),E1045*F1045,"")</f>
        <v>4.4584117499999998</v>
      </c>
      <c r="H1045" s="35"/>
      <c r="I1045" s="31"/>
      <c r="J1045" s="155">
        <v>0</v>
      </c>
    </row>
    <row r="1046" spans="1:10" ht="15.75" hidden="1" thickBot="1" x14ac:dyDescent="0.3">
      <c r="A1046" s="200"/>
      <c r="B1046" s="202"/>
      <c r="C1046" s="36" t="s">
        <v>54</v>
      </c>
      <c r="D1046" s="47" t="s">
        <v>12</v>
      </c>
      <c r="E1046" s="37">
        <v>0.8458</v>
      </c>
      <c r="F1046" s="31">
        <v>18.9145</v>
      </c>
      <c r="G1046" s="34">
        <f>IF(ISNUMBER(F1046),E1046*F1046,"")</f>
        <v>15.9978841</v>
      </c>
      <c r="H1046" s="35"/>
      <c r="I1046" s="31"/>
      <c r="J1046" s="155">
        <v>0</v>
      </c>
    </row>
    <row r="1047" spans="1:10" ht="15.75" hidden="1" thickBot="1" x14ac:dyDescent="0.3">
      <c r="A1047" s="201"/>
      <c r="B1047" s="188"/>
      <c r="C1047" s="36"/>
      <c r="D1047" s="36"/>
      <c r="E1047" s="37"/>
      <c r="F1047" s="31" t="s">
        <v>558</v>
      </c>
      <c r="G1047" s="31" t="str">
        <f>IF(ISNUMBER(F1047),E1047*F1047,"")</f>
        <v/>
      </c>
      <c r="H1047" s="35"/>
      <c r="I1047" s="31"/>
      <c r="J1047" s="155">
        <v>0</v>
      </c>
    </row>
    <row r="1048" spans="1:10" ht="15.75" hidden="1" thickBot="1" x14ac:dyDescent="0.3">
      <c r="A1048" s="180" t="s">
        <v>359</v>
      </c>
      <c r="B1048" s="186" t="str">
        <f>INDEX(Orçamentária!A:B,MATCH(Composições!A1048,Orçamentária!A:A,0),2)</f>
        <v>Cuba retangular em aço inox</v>
      </c>
      <c r="C1048" s="41"/>
      <c r="D1048" s="26" t="str">
        <f>TRIM(INDEX(Orçamentária!C:C,MATCH(Composições!A1048,Orçamentária!A:A,0),1))</f>
        <v>un</v>
      </c>
      <c r="E1048" s="27"/>
      <c r="F1048" s="42" t="s">
        <v>558</v>
      </c>
      <c r="G1048" s="28" t="str">
        <f>IF(ISNUMBER(F1048),E1048*F1048,"")</f>
        <v/>
      </c>
      <c r="H1048" s="29"/>
      <c r="I1048" s="30"/>
      <c r="J1048" s="155">
        <v>0</v>
      </c>
    </row>
    <row r="1049" spans="1:10" ht="15.75" hidden="1" thickBot="1" x14ac:dyDescent="0.3">
      <c r="A1049" s="200"/>
      <c r="B1049" s="202"/>
      <c r="C1049" s="32"/>
      <c r="D1049" s="32"/>
      <c r="E1049" s="33"/>
      <c r="F1049" s="43" t="s">
        <v>558</v>
      </c>
      <c r="G1049" s="31" t="str">
        <f>IF(ISNUMBER(F1049),E1049*F1049,"")</f>
        <v/>
      </c>
      <c r="H1049" s="35"/>
      <c r="I1049" s="31"/>
      <c r="J1049" s="155">
        <v>0</v>
      </c>
    </row>
    <row r="1050" spans="1:10" ht="39" hidden="1" thickBot="1" x14ac:dyDescent="0.3">
      <c r="A1050" s="200"/>
      <c r="B1050" s="202"/>
      <c r="C1050" s="36" t="s">
        <v>360</v>
      </c>
      <c r="D1050" s="47" t="s">
        <v>147</v>
      </c>
      <c r="E1050" s="37">
        <v>1</v>
      </c>
      <c r="F1050" s="34" t="s">
        <v>558</v>
      </c>
      <c r="G1050" s="34" t="str">
        <f>IF(ISNUMBER(F1050),E1050*F1050,"")</f>
        <v/>
      </c>
      <c r="H1050" s="39">
        <f>SUM(G1050:G1053)</f>
        <v>18.883203199999997</v>
      </c>
      <c r="I1050" s="40"/>
      <c r="J1050" s="155">
        <v>0</v>
      </c>
    </row>
    <row r="1051" spans="1:10" ht="15.75" hidden="1" thickBot="1" x14ac:dyDescent="0.3">
      <c r="A1051" s="200"/>
      <c r="B1051" s="202"/>
      <c r="C1051" s="36" t="s">
        <v>358</v>
      </c>
      <c r="D1051" s="47" t="s">
        <v>42</v>
      </c>
      <c r="E1051" s="37">
        <v>0.2974</v>
      </c>
      <c r="F1051" s="34">
        <v>24.671499999999998</v>
      </c>
      <c r="G1051" s="34">
        <f>IF(ISNUMBER(F1051),E1051*F1051,"")</f>
        <v>7.337304099999999</v>
      </c>
      <c r="H1051" s="35"/>
      <c r="I1051" s="31"/>
      <c r="J1051" s="155">
        <v>0</v>
      </c>
    </row>
    <row r="1052" spans="1:10" ht="15.75" hidden="1" thickBot="1" x14ac:dyDescent="0.3">
      <c r="A1052" s="200"/>
      <c r="B1052" s="202"/>
      <c r="C1052" s="36" t="s">
        <v>54</v>
      </c>
      <c r="D1052" s="47" t="s">
        <v>12</v>
      </c>
      <c r="E1052" s="37">
        <v>0.47739999999999999</v>
      </c>
      <c r="F1052" s="31">
        <v>18.9145</v>
      </c>
      <c r="G1052" s="34">
        <f>IF(ISNUMBER(F1052),E1052*F1052,"")</f>
        <v>9.0297823000000008</v>
      </c>
      <c r="H1052" s="35"/>
      <c r="I1052" s="31"/>
      <c r="J1052" s="155">
        <v>0</v>
      </c>
    </row>
    <row r="1053" spans="1:10" ht="15.75" hidden="1" thickBot="1" x14ac:dyDescent="0.3">
      <c r="A1053" s="200"/>
      <c r="B1053" s="202"/>
      <c r="C1053" s="36" t="s">
        <v>23</v>
      </c>
      <c r="D1053" s="47" t="s">
        <v>12</v>
      </c>
      <c r="E1053" s="37">
        <v>0.15040000000000001</v>
      </c>
      <c r="F1053" s="31">
        <v>16.729499999999998</v>
      </c>
      <c r="G1053" s="34">
        <f>IF(ISNUMBER(F1053),E1053*F1053,"")</f>
        <v>2.5161167999999998</v>
      </c>
      <c r="H1053" s="35"/>
      <c r="I1053" s="31"/>
      <c r="J1053" s="155">
        <v>0</v>
      </c>
    </row>
    <row r="1054" spans="1:10" ht="15.75" hidden="1" thickBot="1" x14ac:dyDescent="0.3">
      <c r="A1054" s="201"/>
      <c r="B1054" s="188"/>
      <c r="C1054" s="36"/>
      <c r="D1054" s="36"/>
      <c r="E1054" s="37"/>
      <c r="F1054" s="31" t="s">
        <v>558</v>
      </c>
      <c r="G1054" s="31" t="str">
        <f>IF(ISNUMBER(F1054),E1054*F1054,"")</f>
        <v/>
      </c>
      <c r="H1054" s="35"/>
      <c r="I1054" s="31"/>
      <c r="J1054" s="155">
        <v>0</v>
      </c>
    </row>
    <row r="1055" spans="1:10" ht="15.75" hidden="1" thickBot="1" x14ac:dyDescent="0.3">
      <c r="A1055" s="180" t="s">
        <v>361</v>
      </c>
      <c r="B1055" s="186" t="str">
        <f>INDEX(Orçamentária!A:B,MATCH(Composições!A1055,Orçamentária!A:A,0),2)</f>
        <v>Cuba semiencaixe quadrada com mesa</v>
      </c>
      <c r="C1055" s="41"/>
      <c r="D1055" s="26" t="str">
        <f>TRIM(INDEX(Orçamentária!C:C,MATCH(Composições!A1055,Orçamentária!A:A,0),1))</f>
        <v>un</v>
      </c>
      <c r="E1055" s="27"/>
      <c r="F1055" s="42" t="s">
        <v>558</v>
      </c>
      <c r="G1055" s="28" t="str">
        <f>IF(ISNUMBER(F1055),E1055*F1055,"")</f>
        <v/>
      </c>
      <c r="H1055" s="29"/>
      <c r="I1055" s="30"/>
      <c r="J1055" s="155">
        <v>0</v>
      </c>
    </row>
    <row r="1056" spans="1:10" ht="15.75" hidden="1" thickBot="1" x14ac:dyDescent="0.3">
      <c r="A1056" s="200"/>
      <c r="B1056" s="202"/>
      <c r="C1056" s="32"/>
      <c r="D1056" s="32"/>
      <c r="E1056" s="33"/>
      <c r="F1056" s="43" t="s">
        <v>558</v>
      </c>
      <c r="G1056" s="31" t="str">
        <f>IF(ISNUMBER(F1056),E1056*F1056,"")</f>
        <v/>
      </c>
      <c r="H1056" s="35"/>
      <c r="I1056" s="31"/>
      <c r="J1056" s="155">
        <v>0</v>
      </c>
    </row>
    <row r="1057" spans="1:10" ht="15.75" hidden="1" thickBot="1" x14ac:dyDescent="0.3">
      <c r="A1057" s="200"/>
      <c r="B1057" s="202"/>
      <c r="C1057" s="36" t="s">
        <v>362</v>
      </c>
      <c r="D1057" s="47" t="s">
        <v>147</v>
      </c>
      <c r="E1057" s="37">
        <v>1</v>
      </c>
      <c r="F1057" s="34" t="s">
        <v>558</v>
      </c>
      <c r="G1057" s="34" t="str">
        <f>IF(ISNUMBER(F1057),E1057*F1057,"")</f>
        <v/>
      </c>
      <c r="H1057" s="39">
        <f>SUM(G1057:G1060)</f>
        <v>33.460643500000003</v>
      </c>
      <c r="I1057" s="40"/>
      <c r="J1057" s="155">
        <v>0</v>
      </c>
    </row>
    <row r="1058" spans="1:10" ht="15.75" hidden="1" thickBot="1" x14ac:dyDescent="0.3">
      <c r="A1058" s="200"/>
      <c r="B1058" s="202"/>
      <c r="C1058" s="36" t="s">
        <v>358</v>
      </c>
      <c r="D1058" s="47" t="s">
        <v>42</v>
      </c>
      <c r="E1058" s="37">
        <v>0.52710000000000001</v>
      </c>
      <c r="F1058" s="34">
        <v>24.671499999999998</v>
      </c>
      <c r="G1058" s="34">
        <f>IF(ISNUMBER(F1058),E1058*F1058,"")</f>
        <v>13.00434765</v>
      </c>
      <c r="H1058" s="35"/>
      <c r="I1058" s="31"/>
      <c r="J1058" s="155">
        <v>0</v>
      </c>
    </row>
    <row r="1059" spans="1:10" ht="15.75" hidden="1" thickBot="1" x14ac:dyDescent="0.3">
      <c r="A1059" s="200"/>
      <c r="B1059" s="202"/>
      <c r="C1059" s="36" t="s">
        <v>23</v>
      </c>
      <c r="D1059" s="47" t="s">
        <v>12</v>
      </c>
      <c r="E1059" s="37">
        <v>0.26650000000000001</v>
      </c>
      <c r="F1059" s="31">
        <v>16.729499999999998</v>
      </c>
      <c r="G1059" s="34">
        <f>IF(ISNUMBER(F1059),E1059*F1059,"")</f>
        <v>4.4584117499999998</v>
      </c>
      <c r="H1059" s="35"/>
      <c r="I1059" s="31"/>
      <c r="J1059" s="155">
        <v>0</v>
      </c>
    </row>
    <row r="1060" spans="1:10" ht="15.75" hidden="1" thickBot="1" x14ac:dyDescent="0.3">
      <c r="A1060" s="200"/>
      <c r="B1060" s="202"/>
      <c r="C1060" s="36" t="s">
        <v>54</v>
      </c>
      <c r="D1060" s="47" t="s">
        <v>12</v>
      </c>
      <c r="E1060" s="37">
        <v>0.8458</v>
      </c>
      <c r="F1060" s="31">
        <v>18.9145</v>
      </c>
      <c r="G1060" s="34">
        <f>IF(ISNUMBER(F1060),E1060*F1060,"")</f>
        <v>15.9978841</v>
      </c>
      <c r="H1060" s="35"/>
      <c r="I1060" s="31"/>
      <c r="J1060" s="155">
        <v>0</v>
      </c>
    </row>
    <row r="1061" spans="1:10" ht="15.75" hidden="1" thickBot="1" x14ac:dyDescent="0.3">
      <c r="A1061" s="201"/>
      <c r="B1061" s="188"/>
      <c r="C1061" s="36"/>
      <c r="D1061" s="36"/>
      <c r="E1061" s="37"/>
      <c r="F1061" s="31" t="s">
        <v>558</v>
      </c>
      <c r="G1061" s="31" t="str">
        <f>IF(ISNUMBER(F1061),E1061*F1061,"")</f>
        <v/>
      </c>
      <c r="H1061" s="35"/>
      <c r="I1061" s="31"/>
      <c r="J1061" s="155">
        <v>0</v>
      </c>
    </row>
    <row r="1062" spans="1:10" ht="15.75" hidden="1" thickBot="1" x14ac:dyDescent="0.3">
      <c r="A1062" s="180" t="s">
        <v>363</v>
      </c>
      <c r="B1062" s="186" t="str">
        <f>INDEX(Orçamentária!A:B,MATCH(Composições!A1062,Orçamentária!A:A,0),2)</f>
        <v>Instalação de lavatório reaproveitado</v>
      </c>
      <c r="C1062" s="41"/>
      <c r="D1062" s="26" t="str">
        <f>TRIM(INDEX(Orçamentária!C:C,MATCH(Composições!A1062,Orçamentária!A:A,0),1))</f>
        <v>un</v>
      </c>
      <c r="E1062" s="27"/>
      <c r="F1062" s="42" t="s">
        <v>558</v>
      </c>
      <c r="G1062" s="28" t="str">
        <f>IF(ISNUMBER(F1062),E1062*F1062,"")</f>
        <v/>
      </c>
      <c r="H1062" s="29"/>
      <c r="I1062" s="30"/>
      <c r="J1062" s="155">
        <v>0</v>
      </c>
    </row>
    <row r="1063" spans="1:10" ht="15.75" hidden="1" thickBot="1" x14ac:dyDescent="0.3">
      <c r="A1063" s="200"/>
      <c r="B1063" s="202"/>
      <c r="C1063" s="32"/>
      <c r="D1063" s="32"/>
      <c r="E1063" s="33"/>
      <c r="F1063" s="43" t="s">
        <v>558</v>
      </c>
      <c r="G1063" s="31" t="str">
        <f>IF(ISNUMBER(F1063),E1063*F1063,"")</f>
        <v/>
      </c>
      <c r="H1063" s="35"/>
      <c r="I1063" s="31"/>
      <c r="J1063" s="155">
        <v>0</v>
      </c>
    </row>
    <row r="1064" spans="1:10" ht="26.25" hidden="1" thickBot="1" x14ac:dyDescent="0.3">
      <c r="A1064" s="200"/>
      <c r="B1064" s="202"/>
      <c r="C1064" s="36" t="s">
        <v>364</v>
      </c>
      <c r="D1064" s="47" t="s">
        <v>292</v>
      </c>
      <c r="E1064" s="37">
        <v>2</v>
      </c>
      <c r="F1064" s="34">
        <v>10.459499999999998</v>
      </c>
      <c r="G1064" s="34">
        <f>IF(ISNUMBER(F1064),E1064*F1064,"")</f>
        <v>20.918999999999997</v>
      </c>
      <c r="H1064" s="39">
        <f>SUM(G1064:G1067)</f>
        <v>34.2880422</v>
      </c>
      <c r="I1064" s="40"/>
      <c r="J1064" s="155">
        <v>0</v>
      </c>
    </row>
    <row r="1065" spans="1:10" ht="15.75" hidden="1" thickBot="1" x14ac:dyDescent="0.3">
      <c r="A1065" s="200"/>
      <c r="B1065" s="202"/>
      <c r="C1065" s="36" t="s">
        <v>3621</v>
      </c>
      <c r="D1065" s="47" t="s">
        <v>42</v>
      </c>
      <c r="E1065" s="37">
        <v>3.04E-2</v>
      </c>
      <c r="F1065" s="34">
        <v>52.8675</v>
      </c>
      <c r="G1065" s="34">
        <f>IF(ISNUMBER(F1065),E1065*F1065,"")</f>
        <v>1.607172</v>
      </c>
      <c r="H1065" s="35"/>
      <c r="I1065" s="31"/>
      <c r="J1065" s="155">
        <v>0</v>
      </c>
    </row>
    <row r="1066" spans="1:10" ht="15.75" hidden="1" thickBot="1" x14ac:dyDescent="0.3">
      <c r="A1066" s="200"/>
      <c r="B1066" s="202"/>
      <c r="C1066" s="36" t="s">
        <v>39</v>
      </c>
      <c r="D1066" s="47" t="s">
        <v>12</v>
      </c>
      <c r="E1066" s="37">
        <v>0.38700000000000001</v>
      </c>
      <c r="F1066" s="31">
        <v>22.2395</v>
      </c>
      <c r="G1066" s="34">
        <f>IF(ISNUMBER(F1066),E1066*F1066,"")</f>
        <v>8.6066865000000004</v>
      </c>
      <c r="H1066" s="35"/>
      <c r="I1066" s="31"/>
      <c r="J1066" s="155">
        <v>0</v>
      </c>
    </row>
    <row r="1067" spans="1:10" ht="15.75" hidden="1" thickBot="1" x14ac:dyDescent="0.3">
      <c r="A1067" s="200"/>
      <c r="B1067" s="202"/>
      <c r="C1067" s="36" t="s">
        <v>23</v>
      </c>
      <c r="D1067" s="47" t="s">
        <v>12</v>
      </c>
      <c r="E1067" s="37">
        <v>0.18859999999999999</v>
      </c>
      <c r="F1067" s="31">
        <v>16.729499999999998</v>
      </c>
      <c r="G1067" s="34">
        <f>IF(ISNUMBER(F1067),E1067*F1067,"")</f>
        <v>3.1551836999999994</v>
      </c>
      <c r="H1067" s="35"/>
      <c r="I1067" s="31"/>
      <c r="J1067" s="155">
        <v>0</v>
      </c>
    </row>
    <row r="1068" spans="1:10" ht="15.75" hidden="1" thickBot="1" x14ac:dyDescent="0.3">
      <c r="A1068" s="200"/>
      <c r="B1068" s="202"/>
      <c r="C1068" s="36"/>
      <c r="D1068" s="47"/>
      <c r="E1068" s="37"/>
      <c r="F1068" s="34" t="s">
        <v>558</v>
      </c>
      <c r="G1068" s="34" t="str">
        <f>IF(ISNUMBER(F1068),E1068*F1068,"")</f>
        <v/>
      </c>
      <c r="H1068" s="35"/>
      <c r="I1068" s="31"/>
      <c r="J1068" s="155">
        <v>0</v>
      </c>
    </row>
    <row r="1069" spans="1:10" ht="15.75" hidden="1" thickBot="1" x14ac:dyDescent="0.3">
      <c r="A1069" s="180" t="s">
        <v>365</v>
      </c>
      <c r="B1069" s="186" t="str">
        <f>INDEX(Orçamentária!A:B,MATCH(Composições!A1069,Orçamentária!A:A,0),2)</f>
        <v>Instalação de mictório reaproveitado</v>
      </c>
      <c r="C1069" s="41"/>
      <c r="D1069" s="26" t="str">
        <f>TRIM(INDEX(Orçamentária!C:C,MATCH(Composições!A1069,Orçamentária!A:A,0),1))</f>
        <v>un</v>
      </c>
      <c r="E1069" s="27"/>
      <c r="F1069" s="42" t="s">
        <v>558</v>
      </c>
      <c r="G1069" s="28" t="str">
        <f>IF(ISNUMBER(F1069),E1069*F1069,"")</f>
        <v/>
      </c>
      <c r="H1069" s="29"/>
      <c r="I1069" s="30"/>
      <c r="J1069" s="155">
        <v>0</v>
      </c>
    </row>
    <row r="1070" spans="1:10" ht="15.75" hidden="1" thickBot="1" x14ac:dyDescent="0.3">
      <c r="A1070" s="200"/>
      <c r="B1070" s="202"/>
      <c r="C1070" s="32"/>
      <c r="D1070" s="32"/>
      <c r="E1070" s="33"/>
      <c r="F1070" s="43" t="s">
        <v>558</v>
      </c>
      <c r="G1070" s="31" t="str">
        <f>IF(ISNUMBER(F1070),E1070*F1070,"")</f>
        <v/>
      </c>
      <c r="H1070" s="35"/>
      <c r="I1070" s="31"/>
      <c r="J1070" s="155">
        <v>0</v>
      </c>
    </row>
    <row r="1071" spans="1:10" ht="26.25" hidden="1" thickBot="1" x14ac:dyDescent="0.3">
      <c r="A1071" s="200"/>
      <c r="B1071" s="202"/>
      <c r="C1071" s="36" t="s">
        <v>364</v>
      </c>
      <c r="D1071" s="47" t="s">
        <v>292</v>
      </c>
      <c r="E1071" s="37">
        <v>2</v>
      </c>
      <c r="F1071" s="34">
        <v>10.459499999999998</v>
      </c>
      <c r="G1071" s="31">
        <f>IF(ISNUMBER(F1071),E1071*F1071,"")</f>
        <v>20.918999999999997</v>
      </c>
      <c r="H1071" s="39">
        <f>SUM(G1071:G1074)</f>
        <v>34.925728749999998</v>
      </c>
      <c r="I1071" s="40"/>
      <c r="J1071" s="155">
        <v>0</v>
      </c>
    </row>
    <row r="1072" spans="1:10" ht="15.75" hidden="1" thickBot="1" x14ac:dyDescent="0.3">
      <c r="A1072" s="200"/>
      <c r="B1072" s="202"/>
      <c r="C1072" s="36" t="s">
        <v>366</v>
      </c>
      <c r="D1072" s="47" t="s">
        <v>292</v>
      </c>
      <c r="E1072" s="37">
        <v>3.6499999999999998E-2</v>
      </c>
      <c r="F1072" s="34">
        <v>3.4769999999999999</v>
      </c>
      <c r="G1072" s="31">
        <f>IF(ISNUMBER(F1072),E1072*F1072,"")</f>
        <v>0.12691049999999998</v>
      </c>
      <c r="H1072" s="35"/>
      <c r="I1072" s="31"/>
      <c r="J1072" s="155">
        <v>0</v>
      </c>
    </row>
    <row r="1073" spans="1:10" ht="15.75" hidden="1" thickBot="1" x14ac:dyDescent="0.3">
      <c r="A1073" s="200"/>
      <c r="B1073" s="202"/>
      <c r="C1073" s="36" t="s">
        <v>23</v>
      </c>
      <c r="D1073" s="47" t="s">
        <v>12</v>
      </c>
      <c r="E1073" s="37">
        <f>ROUND(0.3179/2,4)</f>
        <v>0.159</v>
      </c>
      <c r="F1073" s="31">
        <v>16.729499999999998</v>
      </c>
      <c r="G1073" s="34">
        <f>IF(ISNUMBER(F1073),E1073*F1073,"")</f>
        <v>2.6599904999999997</v>
      </c>
      <c r="H1073" s="35"/>
      <c r="I1073" s="31"/>
      <c r="J1073" s="155">
        <v>0</v>
      </c>
    </row>
    <row r="1074" spans="1:10" ht="15.75" hidden="1" thickBot="1" x14ac:dyDescent="0.3">
      <c r="A1074" s="200"/>
      <c r="B1074" s="202"/>
      <c r="C1074" s="36" t="s">
        <v>39</v>
      </c>
      <c r="D1074" s="47" t="s">
        <v>12</v>
      </c>
      <c r="E1074" s="37">
        <f>1.009/2</f>
        <v>0.50449999999999995</v>
      </c>
      <c r="F1074" s="31">
        <v>22.2395</v>
      </c>
      <c r="G1074" s="34">
        <f>IF(ISNUMBER(F1074),E1074*F1074,"")</f>
        <v>11.219827749999999</v>
      </c>
      <c r="H1074" s="35"/>
      <c r="I1074" s="31"/>
      <c r="J1074" s="155">
        <v>0</v>
      </c>
    </row>
    <row r="1075" spans="1:10" ht="15.75" hidden="1" thickBot="1" x14ac:dyDescent="0.3">
      <c r="A1075" s="200"/>
      <c r="B1075" s="202"/>
      <c r="C1075" s="36"/>
      <c r="D1075" s="47"/>
      <c r="E1075" s="37"/>
      <c r="F1075" s="34" t="s">
        <v>558</v>
      </c>
      <c r="G1075" s="34" t="str">
        <f>IF(ISNUMBER(F1075),E1075*F1075,"")</f>
        <v/>
      </c>
      <c r="H1075" s="35"/>
      <c r="I1075" s="31"/>
      <c r="J1075" s="155">
        <v>0</v>
      </c>
    </row>
    <row r="1076" spans="1:10" ht="26.25" hidden="1" thickBot="1" x14ac:dyDescent="0.3">
      <c r="A1076" s="200"/>
      <c r="B1076" s="202"/>
      <c r="C1076" s="52" t="s">
        <v>367</v>
      </c>
      <c r="D1076" s="47"/>
      <c r="E1076" s="37"/>
      <c r="F1076" s="34" t="s">
        <v>558</v>
      </c>
      <c r="G1076" s="34" t="str">
        <f>IF(ISNUMBER(F1076),E1076*F1076,"")</f>
        <v/>
      </c>
      <c r="H1076" s="35"/>
      <c r="I1076" s="31"/>
      <c r="J1076" s="155">
        <v>0</v>
      </c>
    </row>
    <row r="1077" spans="1:10" ht="15.75" hidden="1" thickBot="1" x14ac:dyDescent="0.3">
      <c r="A1077" s="200"/>
      <c r="B1077" s="202"/>
      <c r="C1077" s="36"/>
      <c r="D1077" s="36"/>
      <c r="E1077" s="37"/>
      <c r="F1077" s="34" t="s">
        <v>558</v>
      </c>
      <c r="G1077" s="34" t="str">
        <f>IF(ISNUMBER(F1077),E1077*F1077,"")</f>
        <v/>
      </c>
      <c r="H1077" s="35"/>
      <c r="I1077" s="31"/>
      <c r="J1077" s="155">
        <v>0</v>
      </c>
    </row>
    <row r="1078" spans="1:10" ht="15.75" hidden="1" thickBot="1" x14ac:dyDescent="0.3">
      <c r="A1078" s="180" t="s">
        <v>368</v>
      </c>
      <c r="B1078" s="186" t="str">
        <f>INDEX(Orçamentária!A:B,MATCH(Composições!A1078,Orçamentária!A:A,0),2)</f>
        <v>Instalação de vaso sanitário reaproveitado</v>
      </c>
      <c r="C1078" s="41"/>
      <c r="D1078" s="26" t="str">
        <f>TRIM(INDEX(Orçamentária!C:C,MATCH(Composições!A1078,Orçamentária!A:A,0),1))</f>
        <v>un</v>
      </c>
      <c r="E1078" s="27"/>
      <c r="F1078" s="42" t="s">
        <v>558</v>
      </c>
      <c r="G1078" s="28" t="str">
        <f>IF(ISNUMBER(F1078),E1078*F1078,"")</f>
        <v/>
      </c>
      <c r="H1078" s="29"/>
      <c r="I1078" s="30"/>
      <c r="J1078" s="155">
        <v>0</v>
      </c>
    </row>
    <row r="1079" spans="1:10" ht="15.75" hidden="1" thickBot="1" x14ac:dyDescent="0.3">
      <c r="A1079" s="200"/>
      <c r="B1079" s="202"/>
      <c r="C1079" s="32"/>
      <c r="D1079" s="32"/>
      <c r="E1079" s="33"/>
      <c r="F1079" s="43" t="s">
        <v>558</v>
      </c>
      <c r="G1079" s="31" t="str">
        <f>IF(ISNUMBER(F1079),E1079*F1079,"")</f>
        <v/>
      </c>
      <c r="H1079" s="35"/>
      <c r="I1079" s="31"/>
      <c r="J1079" s="155">
        <v>0</v>
      </c>
    </row>
    <row r="1080" spans="1:10" ht="26.25" hidden="1" thickBot="1" x14ac:dyDescent="0.3">
      <c r="A1080" s="200"/>
      <c r="B1080" s="202"/>
      <c r="C1080" s="36" t="s">
        <v>353</v>
      </c>
      <c r="D1080" s="47" t="s">
        <v>292</v>
      </c>
      <c r="E1080" s="37">
        <v>2</v>
      </c>
      <c r="F1080" s="34">
        <v>14.107499999999998</v>
      </c>
      <c r="G1080" s="34">
        <f>IF(ISNUMBER(F1080),E1080*F1080,"")</f>
        <v>28.214999999999996</v>
      </c>
      <c r="H1080" s="39">
        <f>SUM(G1080:G1084)</f>
        <v>52.5231706</v>
      </c>
      <c r="I1080" s="40"/>
      <c r="J1080" s="155">
        <v>0</v>
      </c>
    </row>
    <row r="1081" spans="1:10" ht="15.75" hidden="1" thickBot="1" x14ac:dyDescent="0.3">
      <c r="A1081" s="200"/>
      <c r="B1081" s="202"/>
      <c r="C1081" s="36" t="s">
        <v>317</v>
      </c>
      <c r="D1081" s="47" t="s">
        <v>20</v>
      </c>
      <c r="E1081" s="37">
        <v>1</v>
      </c>
      <c r="F1081" s="34">
        <v>2.7549999999999999</v>
      </c>
      <c r="G1081" s="54">
        <f>IF(ISNUMBER(F1081),E1081*F1081,"")</f>
        <v>2.7549999999999999</v>
      </c>
      <c r="H1081" s="35"/>
      <c r="I1081" s="31"/>
      <c r="J1081" s="155">
        <v>0</v>
      </c>
    </row>
    <row r="1082" spans="1:10" ht="15.75" hidden="1" thickBot="1" x14ac:dyDescent="0.3">
      <c r="A1082" s="200"/>
      <c r="B1082" s="202"/>
      <c r="C1082" s="36" t="s">
        <v>3621</v>
      </c>
      <c r="D1082" s="47" t="s">
        <v>42</v>
      </c>
      <c r="E1082" s="37">
        <v>8.8099999999999998E-2</v>
      </c>
      <c r="F1082" s="34">
        <v>52.8675</v>
      </c>
      <c r="G1082" s="34">
        <f>IF(ISNUMBER(F1082),E1082*F1082,"")</f>
        <v>4.6576267499999995</v>
      </c>
      <c r="H1082" s="35"/>
      <c r="I1082" s="31"/>
      <c r="J1082" s="155">
        <v>0</v>
      </c>
    </row>
    <row r="1083" spans="1:10" ht="15.75" hidden="1" thickBot="1" x14ac:dyDescent="0.3">
      <c r="A1083" s="200"/>
      <c r="B1083" s="202"/>
      <c r="C1083" s="36" t="s">
        <v>39</v>
      </c>
      <c r="D1083" s="47" t="s">
        <v>12</v>
      </c>
      <c r="E1083" s="37">
        <v>0.49680000000000002</v>
      </c>
      <c r="F1083" s="31">
        <v>22.2395</v>
      </c>
      <c r="G1083" s="34">
        <f>IF(ISNUMBER(F1083),E1083*F1083,"")</f>
        <v>11.048583600000001</v>
      </c>
      <c r="H1083" s="35"/>
      <c r="I1083" s="31"/>
      <c r="J1083" s="155">
        <v>0</v>
      </c>
    </row>
    <row r="1084" spans="1:10" ht="15.75" hidden="1" thickBot="1" x14ac:dyDescent="0.3">
      <c r="A1084" s="200"/>
      <c r="B1084" s="202"/>
      <c r="C1084" s="36" t="s">
        <v>23</v>
      </c>
      <c r="D1084" s="47" t="s">
        <v>12</v>
      </c>
      <c r="E1084" s="37">
        <v>0.34949999999999998</v>
      </c>
      <c r="F1084" s="31">
        <v>16.729499999999998</v>
      </c>
      <c r="G1084" s="34">
        <f>IF(ISNUMBER(F1084),E1084*F1084,"")</f>
        <v>5.8469602499999986</v>
      </c>
      <c r="H1084" s="35"/>
      <c r="I1084" s="31"/>
      <c r="J1084" s="155">
        <v>0</v>
      </c>
    </row>
    <row r="1085" spans="1:10" ht="15.75" hidden="1" thickBot="1" x14ac:dyDescent="0.3">
      <c r="A1085" s="200"/>
      <c r="B1085" s="202"/>
      <c r="C1085" s="36"/>
      <c r="D1085" s="36"/>
      <c r="E1085" s="37"/>
      <c r="F1085" s="31" t="s">
        <v>558</v>
      </c>
      <c r="G1085" s="34" t="str">
        <f>IF(ISNUMBER(F1085),E1085*F1085,"")</f>
        <v/>
      </c>
      <c r="H1085" s="35"/>
      <c r="I1085" s="31"/>
      <c r="J1085" s="155">
        <v>0</v>
      </c>
    </row>
    <row r="1086" spans="1:10" ht="15.75" hidden="1" thickBot="1" x14ac:dyDescent="0.3">
      <c r="A1086" s="180" t="s">
        <v>369</v>
      </c>
      <c r="B1086" s="186" t="str">
        <f>INDEX(Orçamentária!A:B,MATCH(Composições!A1086,Orçamentária!A:A,0),2)</f>
        <v>Lavatório suspenso</v>
      </c>
      <c r="C1086" s="41"/>
      <c r="D1086" s="26" t="str">
        <f>TRIM(INDEX(Orçamentária!C:C,MATCH(Composições!A1086,Orçamentária!A:A,0),1))</f>
        <v>un</v>
      </c>
      <c r="E1086" s="27"/>
      <c r="F1086" s="42" t="s">
        <v>558</v>
      </c>
      <c r="G1086" s="28" t="str">
        <f>IF(ISNUMBER(F1086),E1086*F1086,"")</f>
        <v/>
      </c>
      <c r="H1086" s="29"/>
      <c r="I1086" s="30"/>
      <c r="J1086" s="155">
        <v>0</v>
      </c>
    </row>
    <row r="1087" spans="1:10" ht="15.75" hidden="1" thickBot="1" x14ac:dyDescent="0.3">
      <c r="A1087" s="200"/>
      <c r="B1087" s="202"/>
      <c r="C1087" s="32"/>
      <c r="D1087" s="32"/>
      <c r="E1087" s="33"/>
      <c r="F1087" s="43" t="s">
        <v>558</v>
      </c>
      <c r="G1087" s="31" t="str">
        <f>IF(ISNUMBER(F1087),E1087*F1087,"")</f>
        <v/>
      </c>
      <c r="H1087" s="35"/>
      <c r="I1087" s="31"/>
      <c r="J1087" s="155">
        <v>0</v>
      </c>
    </row>
    <row r="1088" spans="1:10" ht="15.75" hidden="1" thickBot="1" x14ac:dyDescent="0.3">
      <c r="A1088" s="200"/>
      <c r="B1088" s="202"/>
      <c r="C1088" s="36" t="s">
        <v>370</v>
      </c>
      <c r="D1088" s="47" t="s">
        <v>292</v>
      </c>
      <c r="E1088" s="37">
        <v>1</v>
      </c>
      <c r="F1088" s="34">
        <v>62.747499999999995</v>
      </c>
      <c r="G1088" s="34">
        <f>IF(ISNUMBER(F1088),E1088*F1088,"")</f>
        <v>62.747499999999995</v>
      </c>
      <c r="H1088" s="39">
        <f>SUM(G1088:G1092)</f>
        <v>97.035542199999981</v>
      </c>
      <c r="I1088" s="40"/>
      <c r="J1088" s="155">
        <v>0</v>
      </c>
    </row>
    <row r="1089" spans="1:10" ht="26.25" hidden="1" thickBot="1" x14ac:dyDescent="0.3">
      <c r="A1089" s="200"/>
      <c r="B1089" s="202"/>
      <c r="C1089" s="36" t="s">
        <v>364</v>
      </c>
      <c r="D1089" s="47" t="s">
        <v>292</v>
      </c>
      <c r="E1089" s="37">
        <v>2</v>
      </c>
      <c r="F1089" s="34">
        <v>10.459499999999998</v>
      </c>
      <c r="G1089" s="34">
        <f>IF(ISNUMBER(F1089),E1089*F1089,"")</f>
        <v>20.918999999999997</v>
      </c>
      <c r="H1089" s="35"/>
      <c r="I1089" s="31"/>
      <c r="J1089" s="155">
        <v>0</v>
      </c>
    </row>
    <row r="1090" spans="1:10" ht="15.75" hidden="1" thickBot="1" x14ac:dyDescent="0.3">
      <c r="A1090" s="200"/>
      <c r="B1090" s="202"/>
      <c r="C1090" s="36" t="s">
        <v>3621</v>
      </c>
      <c r="D1090" s="47" t="s">
        <v>42</v>
      </c>
      <c r="E1090" s="37">
        <v>3.04E-2</v>
      </c>
      <c r="F1090" s="34">
        <v>52.8675</v>
      </c>
      <c r="G1090" s="34">
        <f>IF(ISNUMBER(F1090),E1090*F1090,"")</f>
        <v>1.607172</v>
      </c>
      <c r="H1090" s="35"/>
      <c r="I1090" s="31"/>
      <c r="J1090" s="155">
        <v>0</v>
      </c>
    </row>
    <row r="1091" spans="1:10" ht="15.75" hidden="1" thickBot="1" x14ac:dyDescent="0.3">
      <c r="A1091" s="200"/>
      <c r="B1091" s="202"/>
      <c r="C1091" s="36" t="s">
        <v>39</v>
      </c>
      <c r="D1091" s="47" t="s">
        <v>12</v>
      </c>
      <c r="E1091" s="37">
        <v>0.38700000000000001</v>
      </c>
      <c r="F1091" s="31">
        <v>22.2395</v>
      </c>
      <c r="G1091" s="34">
        <f>IF(ISNUMBER(F1091),E1091*F1091,"")</f>
        <v>8.6066865000000004</v>
      </c>
      <c r="H1091" s="35"/>
      <c r="I1091" s="31"/>
      <c r="J1091" s="155">
        <v>0</v>
      </c>
    </row>
    <row r="1092" spans="1:10" ht="15.75" hidden="1" thickBot="1" x14ac:dyDescent="0.3">
      <c r="A1092" s="200"/>
      <c r="B1092" s="202"/>
      <c r="C1092" s="36" t="s">
        <v>23</v>
      </c>
      <c r="D1092" s="47" t="s">
        <v>12</v>
      </c>
      <c r="E1092" s="37">
        <v>0.18859999999999999</v>
      </c>
      <c r="F1092" s="31">
        <v>16.729499999999998</v>
      </c>
      <c r="G1092" s="34">
        <f>IF(ISNUMBER(F1092),E1092*F1092,"")</f>
        <v>3.1551836999999994</v>
      </c>
      <c r="H1092" s="35"/>
      <c r="I1092" s="31"/>
      <c r="J1092" s="155">
        <v>0</v>
      </c>
    </row>
    <row r="1093" spans="1:10" ht="15.75" hidden="1" thickBot="1" x14ac:dyDescent="0.3">
      <c r="A1093" s="201"/>
      <c r="B1093" s="188"/>
      <c r="C1093" s="36"/>
      <c r="D1093" s="36"/>
      <c r="E1093" s="37"/>
      <c r="F1093" s="31" t="s">
        <v>558</v>
      </c>
      <c r="G1093" s="31" t="str">
        <f>IF(ISNUMBER(F1093),E1093*F1093,"")</f>
        <v/>
      </c>
      <c r="H1093" s="35"/>
      <c r="I1093" s="31"/>
      <c r="J1093" s="155">
        <v>0</v>
      </c>
    </row>
    <row r="1094" spans="1:10" ht="15.75" hidden="1" thickBot="1" x14ac:dyDescent="0.3">
      <c r="A1094" s="180" t="s">
        <v>371</v>
      </c>
      <c r="B1094" s="186" t="str">
        <f>INDEX(Orçamentária!A:B,MATCH(Composições!A1094,Orçamentária!A:A,0),2)</f>
        <v>Mictório – Linha Administrativa</v>
      </c>
      <c r="C1094" s="41"/>
      <c r="D1094" s="26" t="str">
        <f>TRIM(INDEX(Orçamentária!C:C,MATCH(Composições!A1094,Orçamentária!A:A,0),1))</f>
        <v>un</v>
      </c>
      <c r="E1094" s="27"/>
      <c r="F1094" s="42" t="s">
        <v>558</v>
      </c>
      <c r="G1094" s="28" t="str">
        <f>IF(ISNUMBER(F1094),E1094*F1094,"")</f>
        <v/>
      </c>
      <c r="H1094" s="29"/>
      <c r="I1094" s="30"/>
      <c r="J1094" s="155">
        <v>0</v>
      </c>
    </row>
    <row r="1095" spans="1:10" ht="15.75" hidden="1" thickBot="1" x14ac:dyDescent="0.3">
      <c r="A1095" s="200"/>
      <c r="B1095" s="202"/>
      <c r="C1095" s="32"/>
      <c r="D1095" s="32"/>
      <c r="E1095" s="33"/>
      <c r="F1095" s="43" t="s">
        <v>558</v>
      </c>
      <c r="G1095" s="31" t="str">
        <f>IF(ISNUMBER(F1095),E1095*F1095,"")</f>
        <v/>
      </c>
      <c r="H1095" s="35"/>
      <c r="I1095" s="31"/>
      <c r="J1095" s="155">
        <v>0</v>
      </c>
    </row>
    <row r="1096" spans="1:10" ht="15.75" hidden="1" thickBot="1" x14ac:dyDescent="0.3">
      <c r="A1096" s="200"/>
      <c r="B1096" s="202"/>
      <c r="C1096" s="36" t="s">
        <v>372</v>
      </c>
      <c r="D1096" s="47" t="s">
        <v>292</v>
      </c>
      <c r="E1096" s="37">
        <v>1</v>
      </c>
      <c r="F1096" s="34">
        <v>241.31899999999999</v>
      </c>
      <c r="G1096" s="34">
        <f>IF(ISNUMBER(F1096),E1096*F1096,"")</f>
        <v>241.31899999999999</v>
      </c>
      <c r="H1096" s="39">
        <f>SUM(G1096:G1100)</f>
        <v>276.27602174999998</v>
      </c>
      <c r="I1096" s="40"/>
      <c r="J1096" s="155">
        <v>0</v>
      </c>
    </row>
    <row r="1097" spans="1:10" ht="26.25" hidden="1" thickBot="1" x14ac:dyDescent="0.3">
      <c r="A1097" s="200"/>
      <c r="B1097" s="202"/>
      <c r="C1097" s="36" t="s">
        <v>364</v>
      </c>
      <c r="D1097" s="47" t="s">
        <v>292</v>
      </c>
      <c r="E1097" s="37">
        <v>2</v>
      </c>
      <c r="F1097" s="34">
        <v>10.459499999999998</v>
      </c>
      <c r="G1097" s="31">
        <f>IF(ISNUMBER(F1097),E1097*F1097,"")</f>
        <v>20.918999999999997</v>
      </c>
      <c r="H1097" s="35"/>
      <c r="I1097" s="31"/>
      <c r="J1097" s="155">
        <v>0</v>
      </c>
    </row>
    <row r="1098" spans="1:10" ht="15.75" hidden="1" thickBot="1" x14ac:dyDescent="0.3">
      <c r="A1098" s="200"/>
      <c r="B1098" s="202"/>
      <c r="C1098" s="36" t="s">
        <v>366</v>
      </c>
      <c r="D1098" s="47" t="s">
        <v>292</v>
      </c>
      <c r="E1098" s="37">
        <f>0.076-0.0175-0.013</f>
        <v>4.5499999999999999E-2</v>
      </c>
      <c r="F1098" s="34">
        <v>3.4769999999999999</v>
      </c>
      <c r="G1098" s="31">
        <f>IF(ISNUMBER(F1098),E1098*F1098,"")</f>
        <v>0.1582035</v>
      </c>
      <c r="H1098" s="35"/>
      <c r="I1098" s="31"/>
      <c r="J1098" s="155">
        <v>0</v>
      </c>
    </row>
    <row r="1099" spans="1:10" ht="15.75" hidden="1" thickBot="1" x14ac:dyDescent="0.3">
      <c r="A1099" s="200"/>
      <c r="B1099" s="202"/>
      <c r="C1099" s="36" t="s">
        <v>23</v>
      </c>
      <c r="D1099" s="47" t="s">
        <v>12</v>
      </c>
      <c r="E1099" s="37">
        <f>ROUND(0.3179/2,4)</f>
        <v>0.159</v>
      </c>
      <c r="F1099" s="31">
        <v>16.729499999999998</v>
      </c>
      <c r="G1099" s="34">
        <f>IF(ISNUMBER(F1099),E1099*F1099,"")</f>
        <v>2.6599904999999997</v>
      </c>
      <c r="H1099" s="35"/>
      <c r="I1099" s="31"/>
      <c r="J1099" s="155">
        <v>0</v>
      </c>
    </row>
    <row r="1100" spans="1:10" ht="15.75" hidden="1" thickBot="1" x14ac:dyDescent="0.3">
      <c r="A1100" s="200"/>
      <c r="B1100" s="202"/>
      <c r="C1100" s="36" t="s">
        <v>39</v>
      </c>
      <c r="D1100" s="47" t="s">
        <v>12</v>
      </c>
      <c r="E1100" s="37">
        <f>1.009/2</f>
        <v>0.50449999999999995</v>
      </c>
      <c r="F1100" s="31">
        <v>22.2395</v>
      </c>
      <c r="G1100" s="34">
        <f>IF(ISNUMBER(F1100),E1100*F1100,"")</f>
        <v>11.219827749999999</v>
      </c>
      <c r="H1100" s="35"/>
      <c r="I1100" s="31"/>
      <c r="J1100" s="155">
        <v>0</v>
      </c>
    </row>
    <row r="1101" spans="1:10" ht="15.75" hidden="1" thickBot="1" x14ac:dyDescent="0.3">
      <c r="A1101" s="200"/>
      <c r="B1101" s="202"/>
      <c r="C1101" s="36"/>
      <c r="D1101" s="47"/>
      <c r="E1101" s="37"/>
      <c r="F1101" s="34" t="s">
        <v>558</v>
      </c>
      <c r="G1101" s="34" t="str">
        <f>IF(ISNUMBER(F1101),E1101*F1101,"")</f>
        <v/>
      </c>
      <c r="H1101" s="35"/>
      <c r="I1101" s="31"/>
      <c r="J1101" s="155">
        <v>0</v>
      </c>
    </row>
    <row r="1102" spans="1:10" ht="26.25" hidden="1" thickBot="1" x14ac:dyDescent="0.3">
      <c r="A1102" s="200"/>
      <c r="B1102" s="202"/>
      <c r="C1102" s="52" t="s">
        <v>367</v>
      </c>
      <c r="D1102" s="47"/>
      <c r="E1102" s="37"/>
      <c r="F1102" s="34" t="s">
        <v>558</v>
      </c>
      <c r="G1102" s="34" t="str">
        <f>IF(ISNUMBER(F1102),E1102*F1102,"")</f>
        <v/>
      </c>
      <c r="H1102" s="35"/>
      <c r="I1102" s="31"/>
      <c r="J1102" s="155">
        <v>0</v>
      </c>
    </row>
    <row r="1103" spans="1:10" ht="15.75" hidden="1" thickBot="1" x14ac:dyDescent="0.3">
      <c r="A1103" s="200"/>
      <c r="B1103" s="202"/>
      <c r="C1103" s="36"/>
      <c r="D1103" s="47"/>
      <c r="E1103" s="37"/>
      <c r="F1103" s="34" t="s">
        <v>558</v>
      </c>
      <c r="G1103" s="34" t="str">
        <f>IF(ISNUMBER(F1103),E1103*F1103,"")</f>
        <v/>
      </c>
      <c r="H1103" s="35"/>
      <c r="I1103" s="31"/>
      <c r="J1103" s="155">
        <v>0</v>
      </c>
    </row>
    <row r="1104" spans="1:10" ht="15.75" hidden="1" thickBot="1" x14ac:dyDescent="0.3">
      <c r="A1104" s="180" t="s">
        <v>373</v>
      </c>
      <c r="B1104" s="186" t="str">
        <f>INDEX(Orçamentária!A:B,MATCH(Composições!A1104,Orçamentária!A:A,0),2)</f>
        <v>Tanque 38 litros</v>
      </c>
      <c r="C1104" s="41"/>
      <c r="D1104" s="26" t="str">
        <f>TRIM(INDEX(Orçamentária!C:C,MATCH(Composições!A1104,Orçamentária!A:A,0),1))</f>
        <v>un</v>
      </c>
      <c r="E1104" s="27"/>
      <c r="F1104" s="42" t="s">
        <v>558</v>
      </c>
      <c r="G1104" s="28" t="str">
        <f>IF(ISNUMBER(F1104),E1104*F1104,"")</f>
        <v/>
      </c>
      <c r="H1104" s="29"/>
      <c r="I1104" s="30"/>
      <c r="J1104" s="155">
        <v>0</v>
      </c>
    </row>
    <row r="1105" spans="1:10" ht="15.75" hidden="1" thickBot="1" x14ac:dyDescent="0.3">
      <c r="A1105" s="200"/>
      <c r="B1105" s="202"/>
      <c r="C1105" s="32"/>
      <c r="D1105" s="32"/>
      <c r="E1105" s="33"/>
      <c r="F1105" s="43" t="s">
        <v>558</v>
      </c>
      <c r="G1105" s="31" t="str">
        <f>IF(ISNUMBER(F1105),E1105*F1105,"")</f>
        <v/>
      </c>
      <c r="H1105" s="35"/>
      <c r="I1105" s="31"/>
      <c r="J1105" s="155">
        <v>0</v>
      </c>
    </row>
    <row r="1106" spans="1:10" ht="26.25" hidden="1" thickBot="1" x14ac:dyDescent="0.3">
      <c r="A1106" s="200"/>
      <c r="B1106" s="202"/>
      <c r="C1106" s="36" t="s">
        <v>374</v>
      </c>
      <c r="D1106" s="47" t="s">
        <v>147</v>
      </c>
      <c r="E1106" s="37">
        <v>1</v>
      </c>
      <c r="F1106" s="34" t="s">
        <v>558</v>
      </c>
      <c r="G1106" s="34" t="str">
        <f>IF(ISNUMBER(F1106),E1106*F1106,"")</f>
        <v/>
      </c>
      <c r="H1106" s="39">
        <f>SUM(G1106:G1110)</f>
        <v>67.959030899999988</v>
      </c>
      <c r="I1106" s="40"/>
      <c r="J1106" s="155">
        <v>0</v>
      </c>
    </row>
    <row r="1107" spans="1:10" ht="26.25" hidden="1" thickBot="1" x14ac:dyDescent="0.3">
      <c r="A1107" s="200"/>
      <c r="B1107" s="202"/>
      <c r="C1107" s="36" t="s">
        <v>364</v>
      </c>
      <c r="D1107" s="47" t="s">
        <v>292</v>
      </c>
      <c r="E1107" s="37">
        <v>4</v>
      </c>
      <c r="F1107" s="34">
        <v>10.459499999999998</v>
      </c>
      <c r="G1107" s="34">
        <f>IF(ISNUMBER(F1107),E1107*F1107,"")</f>
        <v>41.837999999999994</v>
      </c>
      <c r="H1107" s="35"/>
      <c r="I1107" s="31"/>
      <c r="J1107" s="155">
        <v>0</v>
      </c>
    </row>
    <row r="1108" spans="1:10" ht="15.75" hidden="1" thickBot="1" x14ac:dyDescent="0.3">
      <c r="A1108" s="200"/>
      <c r="B1108" s="202"/>
      <c r="C1108" s="36" t="s">
        <v>3621</v>
      </c>
      <c r="D1108" s="47" t="s">
        <v>42</v>
      </c>
      <c r="E1108" s="37">
        <v>3.9E-2</v>
      </c>
      <c r="F1108" s="34">
        <v>52.8675</v>
      </c>
      <c r="G1108" s="34">
        <f>IF(ISNUMBER(F1108),E1108*F1108,"")</f>
        <v>2.0618325</v>
      </c>
      <c r="H1108" s="35"/>
      <c r="I1108" s="31"/>
      <c r="J1108" s="155">
        <v>0</v>
      </c>
    </row>
    <row r="1109" spans="1:10" ht="15.75" hidden="1" thickBot="1" x14ac:dyDescent="0.3">
      <c r="A1109" s="200"/>
      <c r="B1109" s="202"/>
      <c r="C1109" s="36" t="s">
        <v>39</v>
      </c>
      <c r="D1109" s="47" t="s">
        <v>12</v>
      </c>
      <c r="E1109" s="37">
        <v>0.8226</v>
      </c>
      <c r="F1109" s="31">
        <v>22.2395</v>
      </c>
      <c r="G1109" s="34">
        <f>IF(ISNUMBER(F1109),E1109*F1109,"")</f>
        <v>18.294212699999999</v>
      </c>
      <c r="H1109" s="35"/>
      <c r="I1109" s="31"/>
      <c r="J1109" s="155">
        <v>0</v>
      </c>
    </row>
    <row r="1110" spans="1:10" ht="15.75" hidden="1" thickBot="1" x14ac:dyDescent="0.3">
      <c r="A1110" s="200"/>
      <c r="B1110" s="202"/>
      <c r="C1110" s="36" t="s">
        <v>23</v>
      </c>
      <c r="D1110" s="47" t="s">
        <v>12</v>
      </c>
      <c r="E1110" s="37">
        <v>0.34460000000000002</v>
      </c>
      <c r="F1110" s="31">
        <v>16.729499999999998</v>
      </c>
      <c r="G1110" s="34">
        <f>IF(ISNUMBER(F1110),E1110*F1110,"")</f>
        <v>5.7649856999999995</v>
      </c>
      <c r="H1110" s="35"/>
      <c r="I1110" s="31"/>
      <c r="J1110" s="155">
        <v>0</v>
      </c>
    </row>
    <row r="1111" spans="1:10" ht="15.75" hidden="1" thickBot="1" x14ac:dyDescent="0.3">
      <c r="A1111" s="201"/>
      <c r="B1111" s="188"/>
      <c r="C1111" s="36"/>
      <c r="D1111" s="36"/>
      <c r="E1111" s="37"/>
      <c r="F1111" s="31" t="s">
        <v>558</v>
      </c>
      <c r="G1111" s="31" t="str">
        <f>IF(ISNUMBER(F1111),E1111*F1111,"")</f>
        <v/>
      </c>
      <c r="H1111" s="35"/>
      <c r="I1111" s="31"/>
      <c r="J1111" s="155">
        <v>0</v>
      </c>
    </row>
    <row r="1112" spans="1:10" ht="15.75" hidden="1" thickBot="1" x14ac:dyDescent="0.3">
      <c r="A1112" s="180" t="s">
        <v>375</v>
      </c>
      <c r="B1112" s="186" t="str">
        <f>INDEX(Orçamentária!A:B,MATCH(Composições!A1112,Orçamentária!A:A,0),2)</f>
        <v>Acabamento para registro GD</v>
      </c>
      <c r="C1112" s="41"/>
      <c r="D1112" s="26" t="str">
        <f>TRIM(INDEX(Orçamentária!C:C,MATCH(Composições!A1112,Orçamentária!A:A,0),1))</f>
        <v>un</v>
      </c>
      <c r="E1112" s="27"/>
      <c r="F1112" s="42" t="s">
        <v>558</v>
      </c>
      <c r="G1112" s="28" t="str">
        <f>IF(ISNUMBER(F1112),E1112*F1112,"")</f>
        <v/>
      </c>
      <c r="H1112" s="29"/>
      <c r="I1112" s="30"/>
      <c r="J1112" s="155">
        <v>0</v>
      </c>
    </row>
    <row r="1113" spans="1:10" ht="15.75" hidden="1" thickBot="1" x14ac:dyDescent="0.3">
      <c r="A1113" s="200"/>
      <c r="B1113" s="202"/>
      <c r="C1113" s="32"/>
      <c r="D1113" s="32"/>
      <c r="E1113" s="33"/>
      <c r="F1113" s="43" t="s">
        <v>558</v>
      </c>
      <c r="G1113" s="31" t="str">
        <f>IF(ISNUMBER(F1113),E1113*F1113,"")</f>
        <v/>
      </c>
      <c r="H1113" s="35"/>
      <c r="I1113" s="31"/>
      <c r="J1113" s="155">
        <v>0</v>
      </c>
    </row>
    <row r="1114" spans="1:10" ht="26.25" hidden="1" thickBot="1" x14ac:dyDescent="0.3">
      <c r="A1114" s="200"/>
      <c r="B1114" s="202"/>
      <c r="C1114" s="36" t="s">
        <v>376</v>
      </c>
      <c r="D1114" s="47" t="s">
        <v>147</v>
      </c>
      <c r="E1114" s="37">
        <v>1</v>
      </c>
      <c r="F1114" s="34" t="s">
        <v>558</v>
      </c>
      <c r="G1114" s="34" t="str">
        <f>IF(ISNUMBER(F1114),E1114*F1114,"")</f>
        <v/>
      </c>
      <c r="H1114" s="39">
        <f>SUM(G1114:G1115)</f>
        <v>1.7791600000000001</v>
      </c>
      <c r="I1114" s="40"/>
      <c r="J1114" s="155">
        <v>0</v>
      </c>
    </row>
    <row r="1115" spans="1:10" ht="15.75" hidden="1" thickBot="1" x14ac:dyDescent="0.3">
      <c r="A1115" s="200"/>
      <c r="B1115" s="202"/>
      <c r="C1115" s="36" t="s">
        <v>39</v>
      </c>
      <c r="D1115" s="47" t="s">
        <v>12</v>
      </c>
      <c r="E1115" s="37">
        <v>0.08</v>
      </c>
      <c r="F1115" s="31">
        <v>22.2395</v>
      </c>
      <c r="G1115" s="34">
        <f>IF(ISNUMBER(F1115),E1115*F1115,"")</f>
        <v>1.7791600000000001</v>
      </c>
      <c r="H1115" s="35"/>
      <c r="I1115" s="31"/>
      <c r="J1115" s="155">
        <v>0</v>
      </c>
    </row>
    <row r="1116" spans="1:10" ht="15.75" hidden="1" thickBot="1" x14ac:dyDescent="0.3">
      <c r="A1116" s="201"/>
      <c r="B1116" s="188"/>
      <c r="C1116" s="52"/>
      <c r="D1116" s="36"/>
      <c r="E1116" s="37"/>
      <c r="F1116" s="31" t="s">
        <v>558</v>
      </c>
      <c r="G1116" s="31" t="str">
        <f>IF(ISNUMBER(F1116),E1116*F1116,"")</f>
        <v/>
      </c>
      <c r="H1116" s="35"/>
      <c r="I1116" s="31"/>
      <c r="J1116" s="155">
        <v>0</v>
      </c>
    </row>
    <row r="1117" spans="1:10" ht="15.75" hidden="1" thickBot="1" x14ac:dyDescent="0.3">
      <c r="A1117" s="180" t="s">
        <v>377</v>
      </c>
      <c r="B1117" s="186" t="str">
        <f>INDEX(Orçamentária!A:B,MATCH(Composições!A1117,Orçamentária!A:A,0),2)</f>
        <v>Acabamento para registro PQ</v>
      </c>
      <c r="C1117" s="41"/>
      <c r="D1117" s="26" t="str">
        <f>TRIM(INDEX(Orçamentária!C:C,MATCH(Composições!A1117,Orçamentária!A:A,0),1))</f>
        <v>un</v>
      </c>
      <c r="E1117" s="27"/>
      <c r="F1117" s="42" t="s">
        <v>558</v>
      </c>
      <c r="G1117" s="28" t="str">
        <f>IF(ISNUMBER(F1117),E1117*F1117,"")</f>
        <v/>
      </c>
      <c r="H1117" s="29"/>
      <c r="I1117" s="30"/>
      <c r="J1117" s="155">
        <v>0</v>
      </c>
    </row>
    <row r="1118" spans="1:10" ht="15.75" hidden="1" thickBot="1" x14ac:dyDescent="0.3">
      <c r="A1118" s="200"/>
      <c r="B1118" s="202"/>
      <c r="C1118" s="32"/>
      <c r="D1118" s="32"/>
      <c r="E1118" s="33"/>
      <c r="F1118" s="43" t="s">
        <v>558</v>
      </c>
      <c r="G1118" s="31" t="str">
        <f>IF(ISNUMBER(F1118),E1118*F1118,"")</f>
        <v/>
      </c>
      <c r="H1118" s="35"/>
      <c r="I1118" s="31"/>
      <c r="J1118" s="155">
        <v>0</v>
      </c>
    </row>
    <row r="1119" spans="1:10" ht="26.25" hidden="1" thickBot="1" x14ac:dyDescent="0.3">
      <c r="A1119" s="200"/>
      <c r="B1119" s="202"/>
      <c r="C1119" s="36" t="s">
        <v>378</v>
      </c>
      <c r="D1119" s="47" t="s">
        <v>147</v>
      </c>
      <c r="E1119" s="37">
        <v>1</v>
      </c>
      <c r="F1119" s="34" t="s">
        <v>558</v>
      </c>
      <c r="G1119" s="34" t="str">
        <f>IF(ISNUMBER(F1119),E1119*F1119,"")</f>
        <v/>
      </c>
      <c r="H1119" s="39">
        <f>SUM(G1119:G1120)</f>
        <v>1.7791600000000001</v>
      </c>
      <c r="I1119" s="40"/>
      <c r="J1119" s="155">
        <v>0</v>
      </c>
    </row>
    <row r="1120" spans="1:10" ht="15.75" hidden="1" thickBot="1" x14ac:dyDescent="0.3">
      <c r="A1120" s="200"/>
      <c r="B1120" s="202"/>
      <c r="C1120" s="36" t="s">
        <v>39</v>
      </c>
      <c r="D1120" s="47" t="s">
        <v>12</v>
      </c>
      <c r="E1120" s="37">
        <v>0.08</v>
      </c>
      <c r="F1120" s="31">
        <v>22.2395</v>
      </c>
      <c r="G1120" s="34">
        <f>IF(ISNUMBER(F1120),E1120*F1120,"")</f>
        <v>1.7791600000000001</v>
      </c>
      <c r="H1120" s="35"/>
      <c r="I1120" s="31"/>
      <c r="J1120" s="155">
        <v>0</v>
      </c>
    </row>
    <row r="1121" spans="1:10" ht="15.75" hidden="1" thickBot="1" x14ac:dyDescent="0.3">
      <c r="A1121" s="201"/>
      <c r="B1121" s="188"/>
      <c r="C1121" s="36"/>
      <c r="D1121" s="36"/>
      <c r="E1121" s="37"/>
      <c r="F1121" s="31" t="s">
        <v>558</v>
      </c>
      <c r="G1121" s="31" t="str">
        <f>IF(ISNUMBER(F1121),E1121*F1121,"")</f>
        <v/>
      </c>
      <c r="H1121" s="35"/>
      <c r="I1121" s="31"/>
      <c r="J1121" s="155">
        <v>0</v>
      </c>
    </row>
    <row r="1122" spans="1:10" ht="15.75" hidden="1" thickBot="1" x14ac:dyDescent="0.3">
      <c r="A1122" s="180" t="s">
        <v>379</v>
      </c>
      <c r="B1122" s="186" t="str">
        <f>INDEX(Orçamentária!A:B,MATCH(Composições!A1122,Orçamentária!A:A,0),2)</f>
        <v>Ducha higiênica</v>
      </c>
      <c r="C1122" s="41"/>
      <c r="D1122" s="26" t="str">
        <f>TRIM(INDEX(Orçamentária!C:C,MATCH(Composições!A1122,Orçamentária!A:A,0),1))</f>
        <v>un</v>
      </c>
      <c r="E1122" s="27"/>
      <c r="F1122" s="42" t="s">
        <v>558</v>
      </c>
      <c r="G1122" s="28" t="str">
        <f>IF(ISNUMBER(F1122),E1122*F1122,"")</f>
        <v/>
      </c>
      <c r="H1122" s="29"/>
      <c r="I1122" s="30"/>
      <c r="J1122" s="155">
        <v>0</v>
      </c>
    </row>
    <row r="1123" spans="1:10" ht="15.75" hidden="1" thickBot="1" x14ac:dyDescent="0.3">
      <c r="A1123" s="200"/>
      <c r="B1123" s="202"/>
      <c r="C1123" s="32"/>
      <c r="D1123" s="32"/>
      <c r="E1123" s="33"/>
      <c r="F1123" s="43" t="s">
        <v>558</v>
      </c>
      <c r="G1123" s="31" t="str">
        <f>IF(ISNUMBER(F1123),E1123*F1123,"")</f>
        <v/>
      </c>
      <c r="H1123" s="35"/>
      <c r="I1123" s="31"/>
      <c r="J1123" s="155">
        <v>0</v>
      </c>
    </row>
    <row r="1124" spans="1:10" ht="26.25" hidden="1" thickBot="1" x14ac:dyDescent="0.3">
      <c r="A1124" s="200"/>
      <c r="B1124" s="202"/>
      <c r="C1124" s="36" t="s">
        <v>380</v>
      </c>
      <c r="D1124" s="47" t="s">
        <v>147</v>
      </c>
      <c r="E1124" s="37">
        <v>1</v>
      </c>
      <c r="F1124" s="34" t="s">
        <v>558</v>
      </c>
      <c r="G1124" s="34" t="str">
        <f>IF(ISNUMBER(F1124),E1124*F1124,"")</f>
        <v/>
      </c>
      <c r="H1124" s="39">
        <f>SUM(G1124:G1126)</f>
        <v>19.779</v>
      </c>
      <c r="I1124" s="40"/>
      <c r="J1124" s="155">
        <v>0</v>
      </c>
    </row>
    <row r="1125" spans="1:10" ht="15.75" hidden="1" thickBot="1" x14ac:dyDescent="0.3">
      <c r="A1125" s="200"/>
      <c r="B1125" s="202"/>
      <c r="C1125" s="36" t="s">
        <v>39</v>
      </c>
      <c r="D1125" s="47" t="s">
        <v>12</v>
      </c>
      <c r="E1125" s="37">
        <v>0.5</v>
      </c>
      <c r="F1125" s="31">
        <v>22.2395</v>
      </c>
      <c r="G1125" s="34">
        <f>IF(ISNUMBER(F1125),E1125*F1125,"")</f>
        <v>11.11975</v>
      </c>
      <c r="H1125" s="35"/>
      <c r="I1125" s="31"/>
      <c r="J1125" s="155">
        <v>0</v>
      </c>
    </row>
    <row r="1126" spans="1:10" ht="26.25" hidden="1" thickBot="1" x14ac:dyDescent="0.3">
      <c r="A1126" s="200"/>
      <c r="B1126" s="202"/>
      <c r="C1126" s="36" t="s">
        <v>108</v>
      </c>
      <c r="D1126" s="47" t="s">
        <v>12</v>
      </c>
      <c r="E1126" s="37">
        <v>0.5</v>
      </c>
      <c r="F1126" s="31">
        <v>17.3185</v>
      </c>
      <c r="G1126" s="34">
        <f>IF(ISNUMBER(F1126),E1126*F1126,"")</f>
        <v>8.6592500000000001</v>
      </c>
      <c r="H1126" s="35"/>
      <c r="I1126" s="31"/>
      <c r="J1126" s="155">
        <v>0</v>
      </c>
    </row>
    <row r="1127" spans="1:10" ht="15.75" hidden="1" thickBot="1" x14ac:dyDescent="0.3">
      <c r="A1127" s="201"/>
      <c r="B1127" s="188"/>
      <c r="C1127" s="36"/>
      <c r="D1127" s="36"/>
      <c r="E1127" s="37"/>
      <c r="F1127" s="31" t="s">
        <v>558</v>
      </c>
      <c r="G1127" s="31" t="str">
        <f>IF(ISNUMBER(F1127),E1127*F1127,"")</f>
        <v/>
      </c>
      <c r="H1127" s="35"/>
      <c r="I1127" s="31"/>
      <c r="J1127" s="155">
        <v>0</v>
      </c>
    </row>
    <row r="1128" spans="1:10" ht="15.75" hidden="1" thickBot="1" x14ac:dyDescent="0.3">
      <c r="A1128" s="180" t="s">
        <v>381</v>
      </c>
      <c r="B1128" s="186" t="str">
        <f>INDEX(Orçamentária!A:B,MATCH(Composições!A1128,Orçamentária!A:A,0),2)</f>
        <v>Instalação de metais e acessórios reaproveitados</v>
      </c>
      <c r="C1128" s="41"/>
      <c r="D1128" s="26" t="str">
        <f>TRIM(INDEX(Orçamentária!C:C,MATCH(Composições!A1128,Orçamentária!A:A,0),1))</f>
        <v>un</v>
      </c>
      <c r="E1128" s="27"/>
      <c r="F1128" s="42" t="s">
        <v>558</v>
      </c>
      <c r="G1128" s="28" t="str">
        <f>IF(ISNUMBER(F1128),E1128*F1128,"")</f>
        <v/>
      </c>
      <c r="H1128" s="29"/>
      <c r="I1128" s="30"/>
      <c r="J1128" s="155">
        <v>0</v>
      </c>
    </row>
    <row r="1129" spans="1:10" ht="15.75" hidden="1" thickBot="1" x14ac:dyDescent="0.3">
      <c r="A1129" s="200"/>
      <c r="B1129" s="202"/>
      <c r="C1129" s="32"/>
      <c r="D1129" s="32"/>
      <c r="E1129" s="33"/>
      <c r="F1129" s="43" t="s">
        <v>558</v>
      </c>
      <c r="G1129" s="31" t="str">
        <f>IF(ISNUMBER(F1129),E1129*F1129,"")</f>
        <v/>
      </c>
      <c r="H1129" s="35"/>
      <c r="I1129" s="31"/>
      <c r="J1129" s="155">
        <v>0</v>
      </c>
    </row>
    <row r="1130" spans="1:10" ht="15.75" hidden="1" thickBot="1" x14ac:dyDescent="0.3">
      <c r="A1130" s="200"/>
      <c r="B1130" s="202"/>
      <c r="C1130" s="36" t="s">
        <v>39</v>
      </c>
      <c r="D1130" s="47" t="s">
        <v>12</v>
      </c>
      <c r="E1130" s="37">
        <v>0.16209999999999999</v>
      </c>
      <c r="F1130" s="31">
        <v>22.2395</v>
      </c>
      <c r="G1130" s="34">
        <f>IF(ISNUMBER(F1130),E1130*F1130,"")</f>
        <v>3.6050229499999999</v>
      </c>
      <c r="H1130" s="39">
        <f>SUM(G1130:G1131)</f>
        <v>3.9981529</v>
      </c>
      <c r="I1130" s="40"/>
      <c r="J1130" s="155">
        <v>0</v>
      </c>
    </row>
    <row r="1131" spans="1:10" ht="26.25" hidden="1" thickBot="1" x14ac:dyDescent="0.3">
      <c r="A1131" s="200"/>
      <c r="B1131" s="202"/>
      <c r="C1131" s="36" t="s">
        <v>108</v>
      </c>
      <c r="D1131" s="47" t="s">
        <v>12</v>
      </c>
      <c r="E1131" s="37">
        <v>2.2700000000000001E-2</v>
      </c>
      <c r="F1131" s="31">
        <v>17.3185</v>
      </c>
      <c r="G1131" s="34">
        <f>IF(ISNUMBER(F1131),E1131*F1131,"")</f>
        <v>0.39312995000000001</v>
      </c>
      <c r="H1131" s="45"/>
      <c r="I1131" s="46"/>
      <c r="J1131" s="155">
        <v>0</v>
      </c>
    </row>
    <row r="1132" spans="1:10" ht="15.75" hidden="1" thickBot="1" x14ac:dyDescent="0.3">
      <c r="A1132" s="201"/>
      <c r="B1132" s="188"/>
      <c r="C1132" s="36"/>
      <c r="D1132" s="36"/>
      <c r="E1132" s="37"/>
      <c r="F1132" s="31" t="s">
        <v>558</v>
      </c>
      <c r="G1132" s="31" t="str">
        <f>IF(ISNUMBER(F1132),E1132*F1132,"")</f>
        <v/>
      </c>
      <c r="H1132" s="35"/>
      <c r="I1132" s="31"/>
      <c r="J1132" s="155">
        <v>0</v>
      </c>
    </row>
    <row r="1133" spans="1:10" ht="15.75" hidden="1" thickBot="1" x14ac:dyDescent="0.3">
      <c r="A1133" s="180" t="s">
        <v>382</v>
      </c>
      <c r="B1133" s="186" t="str">
        <f>INDEX(Orçamentária!A:B,MATCH(Composições!A1133,Orçamentária!A:A,0),2)</f>
        <v>Ligação flexível 1/2” x 40 cm</v>
      </c>
      <c r="C1133" s="41"/>
      <c r="D1133" s="26" t="str">
        <f>TRIM(INDEX(Orçamentária!C:C,MATCH(Composições!A1133,Orçamentária!A:A,0),1))</f>
        <v>un</v>
      </c>
      <c r="E1133" s="27"/>
      <c r="F1133" s="42" t="s">
        <v>558</v>
      </c>
      <c r="G1133" s="28" t="str">
        <f>IF(ISNUMBER(F1133),E1133*F1133,"")</f>
        <v/>
      </c>
      <c r="H1133" s="29"/>
      <c r="I1133" s="30"/>
      <c r="J1133" s="155">
        <v>0</v>
      </c>
    </row>
    <row r="1134" spans="1:10" ht="15.75" hidden="1" thickBot="1" x14ac:dyDescent="0.3">
      <c r="A1134" s="200"/>
      <c r="B1134" s="202"/>
      <c r="C1134" s="32"/>
      <c r="D1134" s="32"/>
      <c r="E1134" s="33"/>
      <c r="F1134" s="43" t="s">
        <v>558</v>
      </c>
      <c r="G1134" s="31" t="str">
        <f>IF(ISNUMBER(F1134),E1134*F1134,"")</f>
        <v/>
      </c>
      <c r="H1134" s="35"/>
      <c r="I1134" s="31"/>
      <c r="J1134" s="155">
        <v>0</v>
      </c>
    </row>
    <row r="1135" spans="1:10" ht="15.75" hidden="1" thickBot="1" x14ac:dyDescent="0.3">
      <c r="A1135" s="200"/>
      <c r="B1135" s="202"/>
      <c r="C1135" s="36" t="s">
        <v>383</v>
      </c>
      <c r="D1135" s="47" t="s">
        <v>292</v>
      </c>
      <c r="E1135" s="37">
        <v>1</v>
      </c>
      <c r="F1135" s="34">
        <v>30.855999999999995</v>
      </c>
      <c r="G1135" s="34">
        <f>IF(ISNUMBER(F1135),E1135*F1135,"")</f>
        <v>30.855999999999995</v>
      </c>
      <c r="H1135" s="39">
        <f>SUM(G1135:G1138)</f>
        <v>35.089247499999999</v>
      </c>
      <c r="I1135" s="40"/>
      <c r="J1135" s="155">
        <v>0</v>
      </c>
    </row>
    <row r="1136" spans="1:10" ht="15.75" hidden="1" thickBot="1" x14ac:dyDescent="0.3">
      <c r="A1136" s="200"/>
      <c r="B1136" s="202"/>
      <c r="C1136" s="36" t="s">
        <v>366</v>
      </c>
      <c r="D1136" s="47" t="s">
        <v>292</v>
      </c>
      <c r="E1136" s="37">
        <v>1.7500000000000002E-2</v>
      </c>
      <c r="F1136" s="34">
        <v>3.4769999999999999</v>
      </c>
      <c r="G1136" s="34">
        <f>IF(ISNUMBER(F1136),E1136*F1136,"")</f>
        <v>6.0847500000000006E-2</v>
      </c>
      <c r="H1136" s="35"/>
      <c r="I1136" s="31"/>
      <c r="J1136" s="155">
        <v>0</v>
      </c>
    </row>
    <row r="1137" spans="1:10" ht="15.75" hidden="1" thickBot="1" x14ac:dyDescent="0.3">
      <c r="A1137" s="200"/>
      <c r="B1137" s="202"/>
      <c r="C1137" s="36" t="s">
        <v>39</v>
      </c>
      <c r="D1137" s="47" t="s">
        <v>12</v>
      </c>
      <c r="E1137" s="37">
        <v>0.15</v>
      </c>
      <c r="F1137" s="31">
        <v>22.2395</v>
      </c>
      <c r="G1137" s="34">
        <f>IF(ISNUMBER(F1137),E1137*F1137,"")</f>
        <v>3.335925</v>
      </c>
      <c r="H1137" s="35"/>
      <c r="I1137" s="31"/>
      <c r="J1137" s="155">
        <v>0</v>
      </c>
    </row>
    <row r="1138" spans="1:10" ht="15.75" hidden="1" thickBot="1" x14ac:dyDescent="0.3">
      <c r="A1138" s="200"/>
      <c r="B1138" s="202"/>
      <c r="C1138" s="36" t="s">
        <v>23</v>
      </c>
      <c r="D1138" s="47" t="s">
        <v>12</v>
      </c>
      <c r="E1138" s="37">
        <v>0.05</v>
      </c>
      <c r="F1138" s="31">
        <v>16.729499999999998</v>
      </c>
      <c r="G1138" s="34">
        <f>IF(ISNUMBER(F1138),E1138*F1138,"")</f>
        <v>0.83647499999999997</v>
      </c>
      <c r="H1138" s="35"/>
      <c r="I1138" s="31"/>
      <c r="J1138" s="155">
        <v>0</v>
      </c>
    </row>
    <row r="1139" spans="1:10" ht="15.75" hidden="1" thickBot="1" x14ac:dyDescent="0.3">
      <c r="A1139" s="201"/>
      <c r="B1139" s="188"/>
      <c r="C1139" s="36"/>
      <c r="D1139" s="36"/>
      <c r="E1139" s="37"/>
      <c r="F1139" s="31" t="s">
        <v>558</v>
      </c>
      <c r="G1139" s="31" t="str">
        <f>IF(ISNUMBER(F1139),E1139*F1139,"")</f>
        <v/>
      </c>
      <c r="H1139" s="35"/>
      <c r="I1139" s="31"/>
      <c r="J1139" s="155">
        <v>0</v>
      </c>
    </row>
    <row r="1140" spans="1:10" ht="15.75" hidden="1" thickBot="1" x14ac:dyDescent="0.3">
      <c r="A1140" s="180" t="s">
        <v>384</v>
      </c>
      <c r="B1140" s="186" t="str">
        <f>INDEX(Orçamentária!A:B,MATCH(Composições!A1140,Orçamentária!A:A,0),2)</f>
        <v>Sifão articulado para cozinha</v>
      </c>
      <c r="C1140" s="41"/>
      <c r="D1140" s="26" t="str">
        <f>TRIM(INDEX(Orçamentária!C:C,MATCH(Composições!A1140,Orçamentária!A:A,0),1))</f>
        <v>un</v>
      </c>
      <c r="E1140" s="27"/>
      <c r="F1140" s="42" t="s">
        <v>558</v>
      </c>
      <c r="G1140" s="28" t="str">
        <f>IF(ISNUMBER(F1140),E1140*F1140,"")</f>
        <v/>
      </c>
      <c r="H1140" s="29"/>
      <c r="I1140" s="30"/>
      <c r="J1140" s="155">
        <v>0</v>
      </c>
    </row>
    <row r="1141" spans="1:10" ht="15.75" hidden="1" thickBot="1" x14ac:dyDescent="0.3">
      <c r="A1141" s="200"/>
      <c r="B1141" s="202"/>
      <c r="C1141" s="32"/>
      <c r="D1141" s="32"/>
      <c r="E1141" s="33"/>
      <c r="F1141" s="43" t="s">
        <v>558</v>
      </c>
      <c r="G1141" s="31" t="str">
        <f>IF(ISNUMBER(F1141),E1141*F1141,"")</f>
        <v/>
      </c>
      <c r="H1141" s="35"/>
      <c r="I1141" s="31"/>
      <c r="J1141" s="155">
        <v>0</v>
      </c>
    </row>
    <row r="1142" spans="1:10" ht="26.25" hidden="1" thickBot="1" x14ac:dyDescent="0.3">
      <c r="A1142" s="200"/>
      <c r="B1142" s="202"/>
      <c r="C1142" s="36" t="s">
        <v>385</v>
      </c>
      <c r="D1142" s="47" t="s">
        <v>147</v>
      </c>
      <c r="E1142" s="37">
        <v>1</v>
      </c>
      <c r="F1142" s="34" t="s">
        <v>558</v>
      </c>
      <c r="G1142" s="34" t="str">
        <f>IF(ISNUMBER(F1142),E1142*F1142,"")</f>
        <v/>
      </c>
      <c r="H1142" s="39">
        <f>SUM(G1142:G1145)</f>
        <v>7.6377985999999982</v>
      </c>
      <c r="I1142" s="40"/>
      <c r="J1142" s="155">
        <v>0</v>
      </c>
    </row>
    <row r="1143" spans="1:10" ht="15.75" hidden="1" thickBot="1" x14ac:dyDescent="0.3">
      <c r="A1143" s="200"/>
      <c r="B1143" s="202"/>
      <c r="C1143" s="36" t="s">
        <v>366</v>
      </c>
      <c r="D1143" s="47" t="s">
        <v>292</v>
      </c>
      <c r="E1143" s="37">
        <v>3.32E-2</v>
      </c>
      <c r="F1143" s="34">
        <v>3.4769999999999999</v>
      </c>
      <c r="G1143" s="34">
        <f>IF(ISNUMBER(F1143),E1143*F1143,"")</f>
        <v>0.11543639999999999</v>
      </c>
      <c r="H1143" s="35"/>
      <c r="I1143" s="31"/>
      <c r="J1143" s="155">
        <v>0</v>
      </c>
    </row>
    <row r="1144" spans="1:10" ht="15.75" hidden="1" thickBot="1" x14ac:dyDescent="0.3">
      <c r="A1144" s="200"/>
      <c r="B1144" s="202"/>
      <c r="C1144" s="36" t="s">
        <v>23</v>
      </c>
      <c r="D1144" s="47" t="s">
        <v>12</v>
      </c>
      <c r="E1144" s="37">
        <v>8.6199999999999999E-2</v>
      </c>
      <c r="F1144" s="31">
        <v>16.729499999999998</v>
      </c>
      <c r="G1144" s="34">
        <f>IF(ISNUMBER(F1144),E1144*F1144,"")</f>
        <v>1.4420828999999997</v>
      </c>
      <c r="H1144" s="35"/>
      <c r="I1144" s="31"/>
      <c r="J1144" s="155">
        <v>0</v>
      </c>
    </row>
    <row r="1145" spans="1:10" ht="15.75" hidden="1" thickBot="1" x14ac:dyDescent="0.3">
      <c r="A1145" s="200"/>
      <c r="B1145" s="202"/>
      <c r="C1145" s="36" t="s">
        <v>39</v>
      </c>
      <c r="D1145" s="47" t="s">
        <v>12</v>
      </c>
      <c r="E1145" s="37">
        <v>0.27339999999999998</v>
      </c>
      <c r="F1145" s="31">
        <v>22.2395</v>
      </c>
      <c r="G1145" s="34">
        <f>IF(ISNUMBER(F1145),E1145*F1145,"")</f>
        <v>6.0802792999999991</v>
      </c>
      <c r="H1145" s="35"/>
      <c r="I1145" s="31"/>
      <c r="J1145" s="155">
        <v>0</v>
      </c>
    </row>
    <row r="1146" spans="1:10" ht="15.75" hidden="1" thickBot="1" x14ac:dyDescent="0.3">
      <c r="A1146" s="201"/>
      <c r="B1146" s="188"/>
      <c r="C1146" s="36"/>
      <c r="D1146" s="36"/>
      <c r="E1146" s="37"/>
      <c r="F1146" s="31" t="s">
        <v>558</v>
      </c>
      <c r="G1146" s="31" t="str">
        <f>IF(ISNUMBER(F1146),E1146*F1146,"")</f>
        <v/>
      </c>
      <c r="H1146" s="35"/>
      <c r="I1146" s="31"/>
      <c r="J1146" s="155">
        <v>0</v>
      </c>
    </row>
    <row r="1147" spans="1:10" ht="15.75" hidden="1" thickBot="1" x14ac:dyDescent="0.3">
      <c r="A1147" s="180" t="s">
        <v>386</v>
      </c>
      <c r="B1147" s="186" t="str">
        <f>INDEX(Orçamentária!A:B,MATCH(Composições!A1147,Orçamentária!A:A,0),2)</f>
        <v>Sifão para lavatório 1 1/2"</v>
      </c>
      <c r="C1147" s="41"/>
      <c r="D1147" s="26" t="str">
        <f>TRIM(INDEX(Orçamentária!C:C,MATCH(Composições!A1147,Orçamentária!A:A,0),1))</f>
        <v>un</v>
      </c>
      <c r="E1147" s="27"/>
      <c r="F1147" s="42" t="s">
        <v>558</v>
      </c>
      <c r="G1147" s="28" t="str">
        <f>IF(ISNUMBER(F1147),E1147*F1147,"")</f>
        <v/>
      </c>
      <c r="H1147" s="29"/>
      <c r="I1147" s="30"/>
      <c r="J1147" s="155">
        <v>0</v>
      </c>
    </row>
    <row r="1148" spans="1:10" ht="15.75" hidden="1" thickBot="1" x14ac:dyDescent="0.3">
      <c r="A1148" s="200"/>
      <c r="B1148" s="202"/>
      <c r="C1148" s="32"/>
      <c r="D1148" s="32"/>
      <c r="E1148" s="33"/>
      <c r="F1148" s="43" t="s">
        <v>558</v>
      </c>
      <c r="G1148" s="31" t="str">
        <f>IF(ISNUMBER(F1148),E1148*F1148,"")</f>
        <v/>
      </c>
      <c r="H1148" s="35"/>
      <c r="I1148" s="31"/>
      <c r="J1148" s="155">
        <v>0</v>
      </c>
    </row>
    <row r="1149" spans="1:10" ht="15.75" hidden="1" thickBot="1" x14ac:dyDescent="0.3">
      <c r="A1149" s="200"/>
      <c r="B1149" s="202"/>
      <c r="C1149" s="36" t="s">
        <v>387</v>
      </c>
      <c r="D1149" s="47" t="s">
        <v>292</v>
      </c>
      <c r="E1149" s="37">
        <v>1</v>
      </c>
      <c r="F1149" s="34">
        <v>122.92999999999999</v>
      </c>
      <c r="G1149" s="34">
        <f>IF(ISNUMBER(F1149),E1149*F1149,"")</f>
        <v>122.92999999999999</v>
      </c>
      <c r="H1149" s="39">
        <f>SUM(G1149:G1152)</f>
        <v>130.61416999999997</v>
      </c>
      <c r="I1149" s="40"/>
      <c r="J1149" s="155">
        <v>0</v>
      </c>
    </row>
    <row r="1150" spans="1:10" ht="15.75" hidden="1" thickBot="1" x14ac:dyDescent="0.3">
      <c r="A1150" s="200"/>
      <c r="B1150" s="202"/>
      <c r="C1150" s="36" t="s">
        <v>366</v>
      </c>
      <c r="D1150" s="47" t="s">
        <v>292</v>
      </c>
      <c r="E1150" s="37">
        <v>0.05</v>
      </c>
      <c r="F1150" s="34">
        <v>3.4769999999999999</v>
      </c>
      <c r="G1150" s="34">
        <f>IF(ISNUMBER(F1150),E1150*F1150,"")</f>
        <v>0.17385</v>
      </c>
      <c r="H1150" s="35"/>
      <c r="I1150" s="31"/>
      <c r="J1150" s="155">
        <v>0</v>
      </c>
    </row>
    <row r="1151" spans="1:10" ht="15.75" hidden="1" thickBot="1" x14ac:dyDescent="0.3">
      <c r="A1151" s="200"/>
      <c r="B1151" s="202"/>
      <c r="C1151" s="36" t="s">
        <v>39</v>
      </c>
      <c r="D1151" s="47" t="s">
        <v>12</v>
      </c>
      <c r="E1151" s="37">
        <v>0.27</v>
      </c>
      <c r="F1151" s="31">
        <v>22.2395</v>
      </c>
      <c r="G1151" s="34">
        <f>IF(ISNUMBER(F1151),E1151*F1151,"")</f>
        <v>6.0046650000000001</v>
      </c>
      <c r="H1151" s="35"/>
      <c r="I1151" s="31"/>
      <c r="J1151" s="155">
        <v>0</v>
      </c>
    </row>
    <row r="1152" spans="1:10" ht="15.75" hidden="1" thickBot="1" x14ac:dyDescent="0.3">
      <c r="A1152" s="200"/>
      <c r="B1152" s="202"/>
      <c r="C1152" s="36" t="s">
        <v>23</v>
      </c>
      <c r="D1152" s="47" t="s">
        <v>12</v>
      </c>
      <c r="E1152" s="37">
        <v>0.09</v>
      </c>
      <c r="F1152" s="31">
        <v>16.729499999999998</v>
      </c>
      <c r="G1152" s="34">
        <f>IF(ISNUMBER(F1152),E1152*F1152,"")</f>
        <v>1.5056549999999997</v>
      </c>
      <c r="H1152" s="35"/>
      <c r="I1152" s="31"/>
      <c r="J1152" s="155">
        <v>0</v>
      </c>
    </row>
    <row r="1153" spans="1:10" ht="15.75" hidden="1" thickBot="1" x14ac:dyDescent="0.3">
      <c r="A1153" s="201"/>
      <c r="B1153" s="188"/>
      <c r="C1153" s="36"/>
      <c r="D1153" s="36"/>
      <c r="E1153" s="37"/>
      <c r="F1153" s="31" t="s">
        <v>558</v>
      </c>
      <c r="G1153" s="31" t="str">
        <f>IF(ISNUMBER(F1153),E1153*F1153,"")</f>
        <v/>
      </c>
      <c r="H1153" s="35"/>
      <c r="I1153" s="31"/>
      <c r="J1153" s="155">
        <v>0</v>
      </c>
    </row>
    <row r="1154" spans="1:10" ht="15.75" hidden="1" thickBot="1" x14ac:dyDescent="0.3">
      <c r="A1154" s="180" t="s">
        <v>388</v>
      </c>
      <c r="B1154" s="186" t="str">
        <f>INDEX(Orçamentária!A:B,MATCH(Composições!A1154,Orçamentária!A:A,0),2)</f>
        <v>Sifão para tanque</v>
      </c>
      <c r="C1154" s="41"/>
      <c r="D1154" s="26" t="str">
        <f>TRIM(INDEX(Orçamentária!C:C,MATCH(Composições!A1154,Orçamentária!A:A,0),1))</f>
        <v>un</v>
      </c>
      <c r="E1154" s="27"/>
      <c r="F1154" s="42" t="s">
        <v>558</v>
      </c>
      <c r="G1154" s="28" t="str">
        <f>IF(ISNUMBER(F1154),E1154*F1154,"")</f>
        <v/>
      </c>
      <c r="H1154" s="29"/>
      <c r="I1154" s="30"/>
      <c r="J1154" s="155">
        <v>0</v>
      </c>
    </row>
    <row r="1155" spans="1:10" ht="15.75" hidden="1" thickBot="1" x14ac:dyDescent="0.3">
      <c r="A1155" s="200"/>
      <c r="B1155" s="202"/>
      <c r="C1155" s="32"/>
      <c r="D1155" s="32"/>
      <c r="E1155" s="33"/>
      <c r="F1155" s="43" t="s">
        <v>558</v>
      </c>
      <c r="G1155" s="31" t="str">
        <f>IF(ISNUMBER(F1155),E1155*F1155,"")</f>
        <v/>
      </c>
      <c r="H1155" s="35"/>
      <c r="I1155" s="31"/>
      <c r="J1155" s="155">
        <v>0</v>
      </c>
    </row>
    <row r="1156" spans="1:10" ht="15.75" hidden="1" thickBot="1" x14ac:dyDescent="0.3">
      <c r="A1156" s="200"/>
      <c r="B1156" s="202"/>
      <c r="C1156" s="36" t="s">
        <v>366</v>
      </c>
      <c r="D1156" s="47" t="s">
        <v>292</v>
      </c>
      <c r="E1156" s="37">
        <v>3.32E-2</v>
      </c>
      <c r="F1156" s="34">
        <v>3.4769999999999999</v>
      </c>
      <c r="G1156" s="34">
        <f>IF(ISNUMBER(F1156),E1156*F1156,"")</f>
        <v>0.11543639999999999</v>
      </c>
      <c r="H1156" s="39">
        <f>SUM(G1156:G1159)</f>
        <v>137.82579859999998</v>
      </c>
      <c r="I1156" s="40"/>
      <c r="J1156" s="155">
        <v>0</v>
      </c>
    </row>
    <row r="1157" spans="1:10" ht="15.75" hidden="1" thickBot="1" x14ac:dyDescent="0.3">
      <c r="A1157" s="200"/>
      <c r="B1157" s="202"/>
      <c r="C1157" s="36" t="s">
        <v>23</v>
      </c>
      <c r="D1157" s="47" t="s">
        <v>12</v>
      </c>
      <c r="E1157" s="37">
        <v>8.6199999999999999E-2</v>
      </c>
      <c r="F1157" s="31">
        <v>16.729499999999998</v>
      </c>
      <c r="G1157" s="34">
        <f>IF(ISNUMBER(F1157),E1157*F1157,"")</f>
        <v>1.4420828999999997</v>
      </c>
      <c r="H1157" s="45"/>
      <c r="I1157" s="46"/>
      <c r="J1157" s="155">
        <v>0</v>
      </c>
    </row>
    <row r="1158" spans="1:10" ht="15.75" hidden="1" thickBot="1" x14ac:dyDescent="0.3">
      <c r="A1158" s="200"/>
      <c r="B1158" s="202"/>
      <c r="C1158" s="36" t="s">
        <v>39</v>
      </c>
      <c r="D1158" s="47" t="s">
        <v>12</v>
      </c>
      <c r="E1158" s="37">
        <v>0.27339999999999998</v>
      </c>
      <c r="F1158" s="31">
        <v>22.2395</v>
      </c>
      <c r="G1158" s="34">
        <f>IF(ISNUMBER(F1158),E1158*F1158,"")</f>
        <v>6.0802792999999991</v>
      </c>
      <c r="H1158" s="35"/>
      <c r="I1158" s="31"/>
      <c r="J1158" s="155">
        <v>0</v>
      </c>
    </row>
    <row r="1159" spans="1:10" ht="15.75" hidden="1" thickBot="1" x14ac:dyDescent="0.3">
      <c r="A1159" s="200"/>
      <c r="B1159" s="202"/>
      <c r="C1159" s="36" t="s">
        <v>389</v>
      </c>
      <c r="D1159" s="36" t="s">
        <v>20</v>
      </c>
      <c r="E1159" s="37">
        <v>1</v>
      </c>
      <c r="F1159" s="34">
        <v>130.18799999999999</v>
      </c>
      <c r="G1159" s="31">
        <f>IF(ISNUMBER(F1159),E1159*F1159,"")</f>
        <v>130.18799999999999</v>
      </c>
      <c r="H1159" s="35"/>
      <c r="I1159" s="31"/>
      <c r="J1159" s="155">
        <v>0</v>
      </c>
    </row>
    <row r="1160" spans="1:10" ht="15.75" hidden="1" thickBot="1" x14ac:dyDescent="0.3">
      <c r="A1160" s="201"/>
      <c r="B1160" s="188"/>
      <c r="C1160" s="36"/>
      <c r="D1160" s="36"/>
      <c r="E1160" s="37"/>
      <c r="F1160" s="31" t="s">
        <v>558</v>
      </c>
      <c r="G1160" s="31" t="str">
        <f>IF(ISNUMBER(F1160),E1160*F1160,"")</f>
        <v/>
      </c>
      <c r="H1160" s="35"/>
      <c r="I1160" s="31"/>
      <c r="J1160" s="155">
        <v>0</v>
      </c>
    </row>
    <row r="1161" spans="1:10" ht="15.75" hidden="1" thickBot="1" x14ac:dyDescent="0.3">
      <c r="A1161" s="180" t="s">
        <v>390</v>
      </c>
      <c r="B1161" s="186" t="str">
        <f>INDEX(Orçamentária!A:B,MATCH(Composições!A1161,Orçamentária!A:A,0),2)</f>
        <v>Torneira de mesa para cozinha bica móvel – Linha Administrativa</v>
      </c>
      <c r="C1161" s="41"/>
      <c r="D1161" s="26" t="str">
        <f>TRIM(INDEX(Orçamentária!C:C,MATCH(Composições!A1161,Orçamentária!A:A,0),1))</f>
        <v>un</v>
      </c>
      <c r="E1161" s="27"/>
      <c r="F1161" s="42" t="s">
        <v>558</v>
      </c>
      <c r="G1161" s="28" t="str">
        <f>IF(ISNUMBER(F1161),E1161*F1161,"")</f>
        <v/>
      </c>
      <c r="H1161" s="29"/>
      <c r="I1161" s="30"/>
      <c r="J1161" s="155">
        <v>0</v>
      </c>
    </row>
    <row r="1162" spans="1:10" ht="15.75" hidden="1" thickBot="1" x14ac:dyDescent="0.3">
      <c r="A1162" s="200"/>
      <c r="B1162" s="202"/>
      <c r="C1162" s="32"/>
      <c r="D1162" s="32"/>
      <c r="E1162" s="33"/>
      <c r="F1162" s="43" t="s">
        <v>558</v>
      </c>
      <c r="G1162" s="31" t="str">
        <f>IF(ISNUMBER(F1162),E1162*F1162,"")</f>
        <v/>
      </c>
      <c r="H1162" s="35"/>
      <c r="I1162" s="31"/>
      <c r="J1162" s="155">
        <v>0</v>
      </c>
    </row>
    <row r="1163" spans="1:10" ht="15.75" hidden="1" thickBot="1" x14ac:dyDescent="0.3">
      <c r="A1163" s="200"/>
      <c r="B1163" s="202"/>
      <c r="C1163" s="36" t="s">
        <v>391</v>
      </c>
      <c r="D1163" s="47" t="s">
        <v>147</v>
      </c>
      <c r="E1163" s="37">
        <v>1</v>
      </c>
      <c r="F1163" s="34" t="s">
        <v>558</v>
      </c>
      <c r="G1163" s="34" t="str">
        <f>IF(ISNUMBER(F1163),E1163*F1163,"")</f>
        <v/>
      </c>
      <c r="H1163" s="39">
        <f>SUM(G1163:G1166)</f>
        <v>4.6586403999999995</v>
      </c>
      <c r="I1163" s="40"/>
      <c r="J1163" s="155">
        <v>0</v>
      </c>
    </row>
    <row r="1164" spans="1:10" ht="15.75" hidden="1" thickBot="1" x14ac:dyDescent="0.3">
      <c r="A1164" s="200"/>
      <c r="B1164" s="202"/>
      <c r="C1164" s="36" t="s">
        <v>366</v>
      </c>
      <c r="D1164" s="47" t="s">
        <v>292</v>
      </c>
      <c r="E1164" s="37">
        <v>2.1000000000000001E-2</v>
      </c>
      <c r="F1164" s="34">
        <v>3.4769999999999999</v>
      </c>
      <c r="G1164" s="34">
        <f>IF(ISNUMBER(F1164),E1164*F1164,"")</f>
        <v>7.3016999999999999E-2</v>
      </c>
      <c r="H1164" s="35"/>
      <c r="I1164" s="31"/>
      <c r="J1164" s="155">
        <v>0</v>
      </c>
    </row>
    <row r="1165" spans="1:10" ht="15.75" hidden="1" thickBot="1" x14ac:dyDescent="0.3">
      <c r="A1165" s="200"/>
      <c r="B1165" s="202"/>
      <c r="C1165" s="36" t="s">
        <v>39</v>
      </c>
      <c r="D1165" s="47" t="s">
        <v>12</v>
      </c>
      <c r="E1165" s="37">
        <v>0.16669999999999999</v>
      </c>
      <c r="F1165" s="31">
        <v>22.2395</v>
      </c>
      <c r="G1165" s="34">
        <f>IF(ISNUMBER(F1165),E1165*F1165,"")</f>
        <v>3.7073246499999994</v>
      </c>
      <c r="H1165" s="35"/>
      <c r="I1165" s="31"/>
      <c r="J1165" s="155">
        <v>0</v>
      </c>
    </row>
    <row r="1166" spans="1:10" ht="15.75" hidden="1" thickBot="1" x14ac:dyDescent="0.3">
      <c r="A1166" s="200"/>
      <c r="B1166" s="202"/>
      <c r="C1166" s="36" t="s">
        <v>23</v>
      </c>
      <c r="D1166" s="47" t="s">
        <v>12</v>
      </c>
      <c r="E1166" s="37">
        <v>5.2499999999999998E-2</v>
      </c>
      <c r="F1166" s="31">
        <v>16.729499999999998</v>
      </c>
      <c r="G1166" s="34">
        <f>IF(ISNUMBER(F1166),E1166*F1166,"")</f>
        <v>0.87829874999999991</v>
      </c>
      <c r="H1166" s="35"/>
      <c r="I1166" s="31"/>
      <c r="J1166" s="155">
        <v>0</v>
      </c>
    </row>
    <row r="1167" spans="1:10" ht="15.75" hidden="1" thickBot="1" x14ac:dyDescent="0.3">
      <c r="A1167" s="201"/>
      <c r="B1167" s="188"/>
      <c r="C1167" s="36"/>
      <c r="D1167" s="36"/>
      <c r="E1167" s="37"/>
      <c r="F1167" s="31" t="s">
        <v>558</v>
      </c>
      <c r="G1167" s="31" t="str">
        <f>IF(ISNUMBER(F1167),E1167*F1167,"")</f>
        <v/>
      </c>
      <c r="H1167" s="35"/>
      <c r="I1167" s="31"/>
      <c r="J1167" s="155">
        <v>0</v>
      </c>
    </row>
    <row r="1168" spans="1:10" ht="15.75" hidden="1" thickBot="1" x14ac:dyDescent="0.3">
      <c r="A1168" s="180" t="s">
        <v>392</v>
      </c>
      <c r="B1168" s="186" t="str">
        <f>INDEX(Orçamentária!A:B,MATCH(Composições!A1168,Orçamentária!A:A,0),2)</f>
        <v>Torneira de mesa para cozinha bica móvel</v>
      </c>
      <c r="C1168" s="41"/>
      <c r="D1168" s="26" t="str">
        <f>TRIM(INDEX(Orçamentária!C:C,MATCH(Composições!A1168,Orçamentária!A:A,0),1))</f>
        <v>un</v>
      </c>
      <c r="E1168" s="27"/>
      <c r="F1168" s="42" t="s">
        <v>558</v>
      </c>
      <c r="G1168" s="28" t="str">
        <f>IF(ISNUMBER(F1168),E1168*F1168,"")</f>
        <v/>
      </c>
      <c r="H1168" s="29"/>
      <c r="I1168" s="30"/>
      <c r="J1168" s="155">
        <v>0</v>
      </c>
    </row>
    <row r="1169" spans="1:10" ht="15.75" hidden="1" thickBot="1" x14ac:dyDescent="0.3">
      <c r="A1169" s="200"/>
      <c r="B1169" s="202"/>
      <c r="C1169" s="32"/>
      <c r="D1169" s="32"/>
      <c r="E1169" s="33"/>
      <c r="F1169" s="43" t="s">
        <v>558</v>
      </c>
      <c r="G1169" s="31" t="str">
        <f>IF(ISNUMBER(F1169),E1169*F1169,"")</f>
        <v/>
      </c>
      <c r="H1169" s="35"/>
      <c r="I1169" s="31"/>
      <c r="J1169" s="155">
        <v>0</v>
      </c>
    </row>
    <row r="1170" spans="1:10" ht="26.25" hidden="1" thickBot="1" x14ac:dyDescent="0.3">
      <c r="A1170" s="200"/>
      <c r="B1170" s="202"/>
      <c r="C1170" s="36" t="s">
        <v>393</v>
      </c>
      <c r="D1170" s="47" t="s">
        <v>147</v>
      </c>
      <c r="E1170" s="37">
        <v>1</v>
      </c>
      <c r="F1170" s="34" t="s">
        <v>558</v>
      </c>
      <c r="G1170" s="34" t="str">
        <f>IF(ISNUMBER(F1170),E1170*F1170,"")</f>
        <v/>
      </c>
      <c r="H1170" s="39">
        <f>SUM(G1170:G1173)</f>
        <v>4.6586403999999995</v>
      </c>
      <c r="I1170" s="40"/>
      <c r="J1170" s="155">
        <v>0</v>
      </c>
    </row>
    <row r="1171" spans="1:10" ht="15.75" hidden="1" thickBot="1" x14ac:dyDescent="0.3">
      <c r="A1171" s="200"/>
      <c r="B1171" s="202"/>
      <c r="C1171" s="36" t="s">
        <v>366</v>
      </c>
      <c r="D1171" s="47" t="s">
        <v>292</v>
      </c>
      <c r="E1171" s="37">
        <v>2.1000000000000001E-2</v>
      </c>
      <c r="F1171" s="34">
        <v>3.4769999999999999</v>
      </c>
      <c r="G1171" s="34">
        <f>IF(ISNUMBER(F1171),E1171*F1171,"")</f>
        <v>7.3016999999999999E-2</v>
      </c>
      <c r="H1171" s="35"/>
      <c r="I1171" s="31"/>
      <c r="J1171" s="155">
        <v>0</v>
      </c>
    </row>
    <row r="1172" spans="1:10" ht="15.75" hidden="1" thickBot="1" x14ac:dyDescent="0.3">
      <c r="A1172" s="200"/>
      <c r="B1172" s="202"/>
      <c r="C1172" s="36" t="s">
        <v>39</v>
      </c>
      <c r="D1172" s="47" t="s">
        <v>12</v>
      </c>
      <c r="E1172" s="37">
        <v>0.16669999999999999</v>
      </c>
      <c r="F1172" s="31">
        <v>22.2395</v>
      </c>
      <c r="G1172" s="34">
        <f>IF(ISNUMBER(F1172),E1172*F1172,"")</f>
        <v>3.7073246499999994</v>
      </c>
      <c r="H1172" s="35"/>
      <c r="I1172" s="31"/>
      <c r="J1172" s="155">
        <v>0</v>
      </c>
    </row>
    <row r="1173" spans="1:10" ht="15.75" hidden="1" thickBot="1" x14ac:dyDescent="0.3">
      <c r="A1173" s="200"/>
      <c r="B1173" s="202"/>
      <c r="C1173" s="36" t="s">
        <v>23</v>
      </c>
      <c r="D1173" s="47" t="s">
        <v>12</v>
      </c>
      <c r="E1173" s="37">
        <v>5.2499999999999998E-2</v>
      </c>
      <c r="F1173" s="31">
        <v>16.729499999999998</v>
      </c>
      <c r="G1173" s="34">
        <f>IF(ISNUMBER(F1173),E1173*F1173,"")</f>
        <v>0.87829874999999991</v>
      </c>
      <c r="H1173" s="35"/>
      <c r="I1173" s="31"/>
      <c r="J1173" s="155">
        <v>0</v>
      </c>
    </row>
    <row r="1174" spans="1:10" ht="15.75" hidden="1" thickBot="1" x14ac:dyDescent="0.3">
      <c r="A1174" s="201"/>
      <c r="B1174" s="188"/>
      <c r="C1174" s="36"/>
      <c r="D1174" s="36"/>
      <c r="E1174" s="37"/>
      <c r="F1174" s="31" t="s">
        <v>558</v>
      </c>
      <c r="G1174" s="31" t="str">
        <f>IF(ISNUMBER(F1174),E1174*F1174,"")</f>
        <v/>
      </c>
      <c r="H1174" s="35"/>
      <c r="I1174" s="31"/>
      <c r="J1174" s="155">
        <v>0</v>
      </c>
    </row>
    <row r="1175" spans="1:10" ht="15.75" hidden="1" thickBot="1" x14ac:dyDescent="0.3">
      <c r="A1175" s="180" t="s">
        <v>394</v>
      </c>
      <c r="B1175" s="186" t="str">
        <f>INDEX(Orçamentária!A:B,MATCH(Composições!A1175,Orçamentária!A:A,0),2)</f>
        <v>Torneira de mesa para lavatório – Linha Acessibilidade</v>
      </c>
      <c r="C1175" s="41"/>
      <c r="D1175" s="26" t="str">
        <f>TRIM(INDEX(Orçamentária!C:C,MATCH(Composições!A1175,Orçamentária!A:A,0),1))</f>
        <v>un</v>
      </c>
      <c r="E1175" s="27"/>
      <c r="F1175" s="42" t="s">
        <v>558</v>
      </c>
      <c r="G1175" s="28" t="str">
        <f>IF(ISNUMBER(F1175),E1175*F1175,"")</f>
        <v/>
      </c>
      <c r="H1175" s="29"/>
      <c r="I1175" s="30"/>
      <c r="J1175" s="155">
        <v>0</v>
      </c>
    </row>
    <row r="1176" spans="1:10" ht="15.75" hidden="1" thickBot="1" x14ac:dyDescent="0.3">
      <c r="A1176" s="200"/>
      <c r="B1176" s="202"/>
      <c r="C1176" s="32"/>
      <c r="D1176" s="32"/>
      <c r="E1176" s="33"/>
      <c r="F1176" s="43" t="s">
        <v>558</v>
      </c>
      <c r="G1176" s="31" t="str">
        <f>IF(ISNUMBER(F1176),E1176*F1176,"")</f>
        <v/>
      </c>
      <c r="H1176" s="35"/>
      <c r="I1176" s="31"/>
      <c r="J1176" s="155">
        <v>0</v>
      </c>
    </row>
    <row r="1177" spans="1:10" ht="26.25" hidden="1" thickBot="1" x14ac:dyDescent="0.3">
      <c r="A1177" s="200"/>
      <c r="B1177" s="202"/>
      <c r="C1177" s="36" t="s">
        <v>395</v>
      </c>
      <c r="D1177" s="47" t="s">
        <v>147</v>
      </c>
      <c r="E1177" s="37">
        <v>1</v>
      </c>
      <c r="F1177" s="34" t="s">
        <v>558</v>
      </c>
      <c r="G1177" s="34" t="str">
        <f>IF(ISNUMBER(F1177),E1177*F1177,"")</f>
        <v/>
      </c>
      <c r="H1177" s="39">
        <f>SUM(G1177:G1180)</f>
        <v>2.7149128500000002</v>
      </c>
      <c r="I1177" s="40"/>
      <c r="J1177" s="155">
        <v>0</v>
      </c>
    </row>
    <row r="1178" spans="1:10" ht="15.75" hidden="1" thickBot="1" x14ac:dyDescent="0.3">
      <c r="A1178" s="200"/>
      <c r="B1178" s="202"/>
      <c r="C1178" s="36" t="s">
        <v>366</v>
      </c>
      <c r="D1178" s="47" t="s">
        <v>292</v>
      </c>
      <c r="E1178" s="37">
        <v>2.1000000000000001E-2</v>
      </c>
      <c r="F1178" s="34">
        <v>3.4769999999999999</v>
      </c>
      <c r="G1178" s="34">
        <f>IF(ISNUMBER(F1178),E1178*F1178,"")</f>
        <v>7.3016999999999999E-2</v>
      </c>
      <c r="H1178" s="35"/>
      <c r="I1178" s="31"/>
      <c r="J1178" s="155">
        <v>0</v>
      </c>
    </row>
    <row r="1179" spans="1:10" ht="15.75" hidden="1" thickBot="1" x14ac:dyDescent="0.3">
      <c r="A1179" s="200"/>
      <c r="B1179" s="202"/>
      <c r="C1179" s="36" t="s">
        <v>39</v>
      </c>
      <c r="D1179" s="47" t="s">
        <v>12</v>
      </c>
      <c r="E1179" s="37">
        <v>9.6000000000000002E-2</v>
      </c>
      <c r="F1179" s="31">
        <v>22.2395</v>
      </c>
      <c r="G1179" s="34">
        <f>IF(ISNUMBER(F1179),E1179*F1179,"")</f>
        <v>2.134992</v>
      </c>
      <c r="H1179" s="35"/>
      <c r="I1179" s="31"/>
      <c r="J1179" s="155">
        <v>0</v>
      </c>
    </row>
    <row r="1180" spans="1:10" ht="15.75" hidden="1" thickBot="1" x14ac:dyDescent="0.3">
      <c r="A1180" s="200"/>
      <c r="B1180" s="202"/>
      <c r="C1180" s="36" t="s">
        <v>23</v>
      </c>
      <c r="D1180" s="47" t="s">
        <v>12</v>
      </c>
      <c r="E1180" s="37">
        <v>3.0300000000000001E-2</v>
      </c>
      <c r="F1180" s="31">
        <v>16.729499999999998</v>
      </c>
      <c r="G1180" s="34">
        <f>IF(ISNUMBER(F1180),E1180*F1180,"")</f>
        <v>0.50690384999999993</v>
      </c>
      <c r="H1180" s="35"/>
      <c r="I1180" s="31"/>
      <c r="J1180" s="155">
        <v>0</v>
      </c>
    </row>
    <row r="1181" spans="1:10" ht="15.75" hidden="1" thickBot="1" x14ac:dyDescent="0.3">
      <c r="A1181" s="201"/>
      <c r="B1181" s="188"/>
      <c r="C1181" s="36"/>
      <c r="D1181" s="36"/>
      <c r="E1181" s="37"/>
      <c r="F1181" s="31" t="s">
        <v>558</v>
      </c>
      <c r="G1181" s="31" t="str">
        <f>IF(ISNUMBER(F1181),E1181*F1181,"")</f>
        <v/>
      </c>
      <c r="H1181" s="35"/>
      <c r="I1181" s="31"/>
      <c r="J1181" s="155">
        <v>0</v>
      </c>
    </row>
    <row r="1182" spans="1:10" ht="15.75" hidden="1" thickBot="1" x14ac:dyDescent="0.3">
      <c r="A1182" s="180" t="s">
        <v>396</v>
      </c>
      <c r="B1182" s="186" t="str">
        <f>INDEX(Orçamentária!A:B,MATCH(Composições!A1182,Orçamentária!A:A,0),2)</f>
        <v>Torneira de mesa para lavatório bica alta</v>
      </c>
      <c r="C1182" s="41"/>
      <c r="D1182" s="26" t="str">
        <f>TRIM(INDEX(Orçamentária!C:C,MATCH(Composições!A1182,Orçamentária!A:A,0),1))</f>
        <v>un</v>
      </c>
      <c r="E1182" s="27"/>
      <c r="F1182" s="42" t="s">
        <v>558</v>
      </c>
      <c r="G1182" s="28" t="str">
        <f>IF(ISNUMBER(F1182),E1182*F1182,"")</f>
        <v/>
      </c>
      <c r="H1182" s="29"/>
      <c r="I1182" s="30"/>
      <c r="J1182" s="155">
        <v>0</v>
      </c>
    </row>
    <row r="1183" spans="1:10" ht="15.75" hidden="1" thickBot="1" x14ac:dyDescent="0.3">
      <c r="A1183" s="200"/>
      <c r="B1183" s="202"/>
      <c r="C1183" s="32"/>
      <c r="D1183" s="32"/>
      <c r="E1183" s="33"/>
      <c r="F1183" s="43" t="s">
        <v>558</v>
      </c>
      <c r="G1183" s="31" t="str">
        <f>IF(ISNUMBER(F1183),E1183*F1183,"")</f>
        <v/>
      </c>
      <c r="H1183" s="35"/>
      <c r="I1183" s="31"/>
      <c r="J1183" s="155">
        <v>0</v>
      </c>
    </row>
    <row r="1184" spans="1:10" ht="26.25" hidden="1" thickBot="1" x14ac:dyDescent="0.3">
      <c r="A1184" s="200"/>
      <c r="B1184" s="202"/>
      <c r="C1184" s="36" t="s">
        <v>397</v>
      </c>
      <c r="D1184" s="47" t="s">
        <v>147</v>
      </c>
      <c r="E1184" s="37">
        <v>1</v>
      </c>
      <c r="F1184" s="34" t="s">
        <v>558</v>
      </c>
      <c r="G1184" s="34" t="str">
        <f>IF(ISNUMBER(F1184),E1184*F1184,"")</f>
        <v/>
      </c>
      <c r="H1184" s="39">
        <f>SUM(G1184:G1187)</f>
        <v>2.7149128500000002</v>
      </c>
      <c r="I1184" s="40"/>
      <c r="J1184" s="155">
        <v>0</v>
      </c>
    </row>
    <row r="1185" spans="1:10" ht="15.75" hidden="1" thickBot="1" x14ac:dyDescent="0.3">
      <c r="A1185" s="200"/>
      <c r="B1185" s="202"/>
      <c r="C1185" s="36" t="s">
        <v>366</v>
      </c>
      <c r="D1185" s="47" t="s">
        <v>292</v>
      </c>
      <c r="E1185" s="37">
        <v>2.1000000000000001E-2</v>
      </c>
      <c r="F1185" s="34">
        <v>3.4769999999999999</v>
      </c>
      <c r="G1185" s="34">
        <f>IF(ISNUMBER(F1185),E1185*F1185,"")</f>
        <v>7.3016999999999999E-2</v>
      </c>
      <c r="H1185" s="35"/>
      <c r="I1185" s="31"/>
      <c r="J1185" s="155">
        <v>0</v>
      </c>
    </row>
    <row r="1186" spans="1:10" ht="15.75" hidden="1" thickBot="1" x14ac:dyDescent="0.3">
      <c r="A1186" s="200"/>
      <c r="B1186" s="202"/>
      <c r="C1186" s="36" t="s">
        <v>39</v>
      </c>
      <c r="D1186" s="47" t="s">
        <v>12</v>
      </c>
      <c r="E1186" s="37">
        <v>9.6000000000000002E-2</v>
      </c>
      <c r="F1186" s="31">
        <v>22.2395</v>
      </c>
      <c r="G1186" s="34">
        <f>IF(ISNUMBER(F1186),E1186*F1186,"")</f>
        <v>2.134992</v>
      </c>
      <c r="H1186" s="35"/>
      <c r="I1186" s="31"/>
      <c r="J1186" s="155">
        <v>0</v>
      </c>
    </row>
    <row r="1187" spans="1:10" ht="15.75" hidden="1" thickBot="1" x14ac:dyDescent="0.3">
      <c r="A1187" s="200"/>
      <c r="B1187" s="202"/>
      <c r="C1187" s="36" t="s">
        <v>23</v>
      </c>
      <c r="D1187" s="47" t="s">
        <v>12</v>
      </c>
      <c r="E1187" s="37">
        <v>3.0300000000000001E-2</v>
      </c>
      <c r="F1187" s="31">
        <v>16.729499999999998</v>
      </c>
      <c r="G1187" s="34">
        <f>IF(ISNUMBER(F1187),E1187*F1187,"")</f>
        <v>0.50690384999999993</v>
      </c>
      <c r="H1187" s="35"/>
      <c r="I1187" s="31"/>
      <c r="J1187" s="155">
        <v>0</v>
      </c>
    </row>
    <row r="1188" spans="1:10" ht="15.75" hidden="1" thickBot="1" x14ac:dyDescent="0.3">
      <c r="A1188" s="201"/>
      <c r="B1188" s="188"/>
      <c r="C1188" s="36"/>
      <c r="D1188" s="36"/>
      <c r="E1188" s="37"/>
      <c r="F1188" s="31" t="s">
        <v>558</v>
      </c>
      <c r="G1188" s="31" t="str">
        <f>IF(ISNUMBER(F1188),E1188*F1188,"")</f>
        <v/>
      </c>
      <c r="H1188" s="35"/>
      <c r="I1188" s="31"/>
      <c r="J1188" s="155">
        <v>0</v>
      </c>
    </row>
    <row r="1189" spans="1:10" ht="15.75" hidden="1" thickBot="1" x14ac:dyDescent="0.3">
      <c r="A1189" s="180" t="s">
        <v>398</v>
      </c>
      <c r="B1189" s="186" t="str">
        <f>INDEX(Orçamentária!A:B,MATCH(Composições!A1189,Orçamentária!A:A,0),2)</f>
        <v>Torneira de mesa para lavatório bica baixa</v>
      </c>
      <c r="C1189" s="41"/>
      <c r="D1189" s="26" t="str">
        <f>TRIM(INDEX(Orçamentária!C:C,MATCH(Composições!A1189,Orçamentária!A:A,0),1))</f>
        <v>un</v>
      </c>
      <c r="E1189" s="27"/>
      <c r="F1189" s="42" t="s">
        <v>558</v>
      </c>
      <c r="G1189" s="28" t="str">
        <f>IF(ISNUMBER(F1189),E1189*F1189,"")</f>
        <v/>
      </c>
      <c r="H1189" s="29"/>
      <c r="I1189" s="30"/>
      <c r="J1189" s="155">
        <v>0</v>
      </c>
    </row>
    <row r="1190" spans="1:10" ht="15.75" hidden="1" thickBot="1" x14ac:dyDescent="0.3">
      <c r="A1190" s="200"/>
      <c r="B1190" s="202"/>
      <c r="C1190" s="32"/>
      <c r="D1190" s="32"/>
      <c r="E1190" s="33"/>
      <c r="F1190" s="43" t="s">
        <v>558</v>
      </c>
      <c r="G1190" s="31" t="str">
        <f>IF(ISNUMBER(F1190),E1190*F1190,"")</f>
        <v/>
      </c>
      <c r="H1190" s="35"/>
      <c r="I1190" s="31"/>
      <c r="J1190" s="155">
        <v>0</v>
      </c>
    </row>
    <row r="1191" spans="1:10" ht="26.25" hidden="1" thickBot="1" x14ac:dyDescent="0.3">
      <c r="A1191" s="200"/>
      <c r="B1191" s="202"/>
      <c r="C1191" s="36" t="s">
        <v>399</v>
      </c>
      <c r="D1191" s="47" t="s">
        <v>147</v>
      </c>
      <c r="E1191" s="37">
        <v>1</v>
      </c>
      <c r="F1191" s="34" t="s">
        <v>558</v>
      </c>
      <c r="G1191" s="34" t="str">
        <f>IF(ISNUMBER(F1191),E1191*F1191,"")</f>
        <v/>
      </c>
      <c r="H1191" s="39">
        <f>SUM(G1191:G1194)</f>
        <v>2.7149128500000002</v>
      </c>
      <c r="I1191" s="40"/>
      <c r="J1191" s="155">
        <v>0</v>
      </c>
    </row>
    <row r="1192" spans="1:10" ht="15.75" hidden="1" thickBot="1" x14ac:dyDescent="0.3">
      <c r="A1192" s="200"/>
      <c r="B1192" s="202"/>
      <c r="C1192" s="36" t="s">
        <v>366</v>
      </c>
      <c r="D1192" s="47" t="s">
        <v>292</v>
      </c>
      <c r="E1192" s="37">
        <v>2.1000000000000001E-2</v>
      </c>
      <c r="F1192" s="34">
        <v>3.4769999999999999</v>
      </c>
      <c r="G1192" s="34">
        <f>IF(ISNUMBER(F1192),E1192*F1192,"")</f>
        <v>7.3016999999999999E-2</v>
      </c>
      <c r="H1192" s="35"/>
      <c r="I1192" s="31"/>
      <c r="J1192" s="155">
        <v>0</v>
      </c>
    </row>
    <row r="1193" spans="1:10" ht="15.75" hidden="1" thickBot="1" x14ac:dyDescent="0.3">
      <c r="A1193" s="200"/>
      <c r="B1193" s="202"/>
      <c r="C1193" s="36" t="s">
        <v>39</v>
      </c>
      <c r="D1193" s="47" t="s">
        <v>12</v>
      </c>
      <c r="E1193" s="37">
        <v>9.6000000000000002E-2</v>
      </c>
      <c r="F1193" s="31">
        <v>22.2395</v>
      </c>
      <c r="G1193" s="34">
        <f>IF(ISNUMBER(F1193),E1193*F1193,"")</f>
        <v>2.134992</v>
      </c>
      <c r="H1193" s="35"/>
      <c r="I1193" s="31"/>
      <c r="J1193" s="155">
        <v>0</v>
      </c>
    </row>
    <row r="1194" spans="1:10" ht="15.75" hidden="1" thickBot="1" x14ac:dyDescent="0.3">
      <c r="A1194" s="200"/>
      <c r="B1194" s="202"/>
      <c r="C1194" s="36" t="s">
        <v>23</v>
      </c>
      <c r="D1194" s="47" t="s">
        <v>12</v>
      </c>
      <c r="E1194" s="37">
        <v>3.0300000000000001E-2</v>
      </c>
      <c r="F1194" s="31">
        <v>16.729499999999998</v>
      </c>
      <c r="G1194" s="34">
        <f>IF(ISNUMBER(F1194),E1194*F1194,"")</f>
        <v>0.50690384999999993</v>
      </c>
      <c r="H1194" s="35"/>
      <c r="I1194" s="31"/>
      <c r="J1194" s="155">
        <v>0</v>
      </c>
    </row>
    <row r="1195" spans="1:10" ht="15.75" hidden="1" thickBot="1" x14ac:dyDescent="0.3">
      <c r="A1195" s="201"/>
      <c r="B1195" s="188"/>
      <c r="C1195" s="36"/>
      <c r="D1195" s="36"/>
      <c r="E1195" s="37"/>
      <c r="F1195" s="31" t="s">
        <v>558</v>
      </c>
      <c r="G1195" s="31" t="str">
        <f>IF(ISNUMBER(F1195),E1195*F1195,"")</f>
        <v/>
      </c>
      <c r="H1195" s="35"/>
      <c r="I1195" s="31"/>
      <c r="J1195" s="155">
        <v>0</v>
      </c>
    </row>
    <row r="1196" spans="1:10" ht="15.75" hidden="1" thickBot="1" x14ac:dyDescent="0.3">
      <c r="A1196" s="180" t="s">
        <v>400</v>
      </c>
      <c r="B1196" s="186" t="str">
        <f>INDEX(Orçamentária!A:B,MATCH(Composições!A1196,Orçamentária!A:A,0),2)</f>
        <v>Torneira de mesa para lavatório com fechamento automático – Linha Administrativa</v>
      </c>
      <c r="C1196" s="41"/>
      <c r="D1196" s="26" t="str">
        <f>TRIM(INDEX(Orçamentária!C:C,MATCH(Composições!A1196,Orçamentária!A:A,0),1))</f>
        <v>un</v>
      </c>
      <c r="E1196" s="27"/>
      <c r="F1196" s="42" t="s">
        <v>558</v>
      </c>
      <c r="G1196" s="28" t="str">
        <f>IF(ISNUMBER(F1196),E1196*F1196,"")</f>
        <v/>
      </c>
      <c r="H1196" s="29"/>
      <c r="I1196" s="30"/>
      <c r="J1196" s="155">
        <v>0</v>
      </c>
    </row>
    <row r="1197" spans="1:10" ht="15.75" hidden="1" thickBot="1" x14ac:dyDescent="0.3">
      <c r="A1197" s="200"/>
      <c r="B1197" s="202"/>
      <c r="C1197" s="32"/>
      <c r="D1197" s="32"/>
      <c r="E1197" s="33"/>
      <c r="F1197" s="43" t="s">
        <v>558</v>
      </c>
      <c r="G1197" s="31" t="str">
        <f>IF(ISNUMBER(F1197),E1197*F1197,"")</f>
        <v/>
      </c>
      <c r="H1197" s="35"/>
      <c r="I1197" s="31"/>
      <c r="J1197" s="155">
        <v>0</v>
      </c>
    </row>
    <row r="1198" spans="1:10" ht="26.25" hidden="1" thickBot="1" x14ac:dyDescent="0.3">
      <c r="A1198" s="200"/>
      <c r="B1198" s="202"/>
      <c r="C1198" s="36" t="s">
        <v>401</v>
      </c>
      <c r="D1198" s="47" t="s">
        <v>292</v>
      </c>
      <c r="E1198" s="37">
        <v>1</v>
      </c>
      <c r="F1198" s="34">
        <v>158.56449999999998</v>
      </c>
      <c r="G1198" s="34">
        <f>IF(ISNUMBER(F1198),E1198*F1198,"")</f>
        <v>158.56449999999998</v>
      </c>
      <c r="H1198" s="39">
        <f>SUM(G1198:G1201)</f>
        <v>161.27941284999997</v>
      </c>
      <c r="I1198" s="40"/>
      <c r="J1198" s="155">
        <v>0</v>
      </c>
    </row>
    <row r="1199" spans="1:10" ht="15.75" hidden="1" thickBot="1" x14ac:dyDescent="0.3">
      <c r="A1199" s="200"/>
      <c r="B1199" s="202"/>
      <c r="C1199" s="36" t="s">
        <v>366</v>
      </c>
      <c r="D1199" s="47" t="s">
        <v>292</v>
      </c>
      <c r="E1199" s="37">
        <v>2.1000000000000001E-2</v>
      </c>
      <c r="F1199" s="34">
        <v>3.4769999999999999</v>
      </c>
      <c r="G1199" s="34">
        <f>IF(ISNUMBER(F1199),E1199*F1199,"")</f>
        <v>7.3016999999999999E-2</v>
      </c>
      <c r="H1199" s="35"/>
      <c r="I1199" s="31"/>
      <c r="J1199" s="155">
        <v>0</v>
      </c>
    </row>
    <row r="1200" spans="1:10" ht="15.75" hidden="1" thickBot="1" x14ac:dyDescent="0.3">
      <c r="A1200" s="200"/>
      <c r="B1200" s="202"/>
      <c r="C1200" s="36" t="s">
        <v>39</v>
      </c>
      <c r="D1200" s="47" t="s">
        <v>12</v>
      </c>
      <c r="E1200" s="37">
        <v>9.6000000000000002E-2</v>
      </c>
      <c r="F1200" s="31">
        <v>22.2395</v>
      </c>
      <c r="G1200" s="34">
        <f>IF(ISNUMBER(F1200),E1200*F1200,"")</f>
        <v>2.134992</v>
      </c>
      <c r="H1200" s="35"/>
      <c r="I1200" s="31"/>
      <c r="J1200" s="155">
        <v>0</v>
      </c>
    </row>
    <row r="1201" spans="1:10" ht="15.75" hidden="1" thickBot="1" x14ac:dyDescent="0.3">
      <c r="A1201" s="200"/>
      <c r="B1201" s="202"/>
      <c r="C1201" s="36" t="s">
        <v>23</v>
      </c>
      <c r="D1201" s="47" t="s">
        <v>12</v>
      </c>
      <c r="E1201" s="37">
        <v>3.0300000000000001E-2</v>
      </c>
      <c r="F1201" s="31">
        <v>16.729499999999998</v>
      </c>
      <c r="G1201" s="34">
        <f>IF(ISNUMBER(F1201),E1201*F1201,"")</f>
        <v>0.50690384999999993</v>
      </c>
      <c r="H1201" s="35"/>
      <c r="I1201" s="31"/>
      <c r="J1201" s="155">
        <v>0</v>
      </c>
    </row>
    <row r="1202" spans="1:10" ht="15.75" hidden="1" thickBot="1" x14ac:dyDescent="0.3">
      <c r="A1202" s="201"/>
      <c r="B1202" s="188"/>
      <c r="C1202" s="36"/>
      <c r="D1202" s="36"/>
      <c r="E1202" s="37"/>
      <c r="F1202" s="31" t="s">
        <v>558</v>
      </c>
      <c r="G1202" s="31" t="str">
        <f>IF(ISNUMBER(F1202),E1202*F1202,"")</f>
        <v/>
      </c>
      <c r="H1202" s="35"/>
      <c r="I1202" s="31"/>
      <c r="J1202" s="155">
        <v>0</v>
      </c>
    </row>
    <row r="1203" spans="1:10" ht="15.75" hidden="1" thickBot="1" x14ac:dyDescent="0.3">
      <c r="A1203" s="180" t="s">
        <v>402</v>
      </c>
      <c r="B1203" s="186" t="str">
        <f>INDEX(Orçamentária!A:B,MATCH(Composições!A1203,Orçamentária!A:A,0),2)</f>
        <v>Torneira de parede para cozinha</v>
      </c>
      <c r="C1203" s="41"/>
      <c r="D1203" s="26" t="str">
        <f>TRIM(INDEX(Orçamentária!C:C,MATCH(Composições!A1203,Orçamentária!A:A,0),1))</f>
        <v>un</v>
      </c>
      <c r="E1203" s="27"/>
      <c r="F1203" s="42" t="s">
        <v>558</v>
      </c>
      <c r="G1203" s="28" t="str">
        <f>IF(ISNUMBER(F1203),E1203*F1203,"")</f>
        <v/>
      </c>
      <c r="H1203" s="29"/>
      <c r="I1203" s="30"/>
      <c r="J1203" s="155">
        <v>0</v>
      </c>
    </row>
    <row r="1204" spans="1:10" ht="15.75" hidden="1" thickBot="1" x14ac:dyDescent="0.3">
      <c r="A1204" s="200"/>
      <c r="B1204" s="202"/>
      <c r="C1204" s="32"/>
      <c r="D1204" s="32"/>
      <c r="E1204" s="33"/>
      <c r="F1204" s="43" t="s">
        <v>558</v>
      </c>
      <c r="G1204" s="31" t="str">
        <f>IF(ISNUMBER(F1204),E1204*F1204,"")</f>
        <v/>
      </c>
      <c r="H1204" s="35"/>
      <c r="I1204" s="31"/>
      <c r="J1204" s="155">
        <v>0</v>
      </c>
    </row>
    <row r="1205" spans="1:10" ht="26.25" hidden="1" thickBot="1" x14ac:dyDescent="0.3">
      <c r="A1205" s="200"/>
      <c r="B1205" s="202"/>
      <c r="C1205" s="36" t="s">
        <v>403</v>
      </c>
      <c r="D1205" s="47" t="s">
        <v>147</v>
      </c>
      <c r="E1205" s="37">
        <v>1</v>
      </c>
      <c r="F1205" s="34" t="s">
        <v>558</v>
      </c>
      <c r="G1205" s="34" t="str">
        <f>IF(ISNUMBER(F1205),E1205*F1205,"")</f>
        <v/>
      </c>
      <c r="H1205" s="39">
        <f>SUM(G1205:G1208)</f>
        <v>3.2756674500000003</v>
      </c>
      <c r="I1205" s="40"/>
      <c r="J1205" s="155">
        <v>0</v>
      </c>
    </row>
    <row r="1206" spans="1:10" ht="15.75" hidden="1" thickBot="1" x14ac:dyDescent="0.3">
      <c r="A1206" s="200"/>
      <c r="B1206" s="202"/>
      <c r="C1206" s="36" t="s">
        <v>366</v>
      </c>
      <c r="D1206" s="47" t="s">
        <v>292</v>
      </c>
      <c r="E1206" s="37">
        <v>2.1000000000000001E-2</v>
      </c>
      <c r="F1206" s="34">
        <v>3.4769999999999999</v>
      </c>
      <c r="G1206" s="34">
        <f>IF(ISNUMBER(F1206),E1206*F1206,"")</f>
        <v>7.3016999999999999E-2</v>
      </c>
      <c r="H1206" s="35"/>
      <c r="I1206" s="31"/>
      <c r="J1206" s="155">
        <v>0</v>
      </c>
    </row>
    <row r="1207" spans="1:10" ht="15.75" hidden="1" thickBot="1" x14ac:dyDescent="0.3">
      <c r="A1207" s="200"/>
      <c r="B1207" s="202"/>
      <c r="C1207" s="36" t="s">
        <v>39</v>
      </c>
      <c r="D1207" s="47" t="s">
        <v>12</v>
      </c>
      <c r="E1207" s="37">
        <v>0.1164</v>
      </c>
      <c r="F1207" s="31">
        <v>22.2395</v>
      </c>
      <c r="G1207" s="34">
        <f>IF(ISNUMBER(F1207),E1207*F1207,"")</f>
        <v>2.5886778000000001</v>
      </c>
      <c r="H1207" s="35"/>
      <c r="I1207" s="31"/>
      <c r="J1207" s="155">
        <v>0</v>
      </c>
    </row>
    <row r="1208" spans="1:10" ht="15.75" hidden="1" thickBot="1" x14ac:dyDescent="0.3">
      <c r="A1208" s="200"/>
      <c r="B1208" s="202"/>
      <c r="C1208" s="36" t="s">
        <v>23</v>
      </c>
      <c r="D1208" s="47" t="s">
        <v>12</v>
      </c>
      <c r="E1208" s="37">
        <v>3.6700000000000003E-2</v>
      </c>
      <c r="F1208" s="31">
        <v>16.729499999999998</v>
      </c>
      <c r="G1208" s="34">
        <f>IF(ISNUMBER(F1208),E1208*F1208,"")</f>
        <v>0.61397265000000001</v>
      </c>
      <c r="H1208" s="35"/>
      <c r="I1208" s="31"/>
      <c r="J1208" s="155">
        <v>0</v>
      </c>
    </row>
    <row r="1209" spans="1:10" ht="15.75" hidden="1" thickBot="1" x14ac:dyDescent="0.3">
      <c r="A1209" s="201"/>
      <c r="B1209" s="188"/>
      <c r="C1209" s="36"/>
      <c r="D1209" s="36"/>
      <c r="E1209" s="37"/>
      <c r="F1209" s="31" t="s">
        <v>558</v>
      </c>
      <c r="G1209" s="31" t="str">
        <f>IF(ISNUMBER(F1209),E1209*F1209,"")</f>
        <v/>
      </c>
      <c r="H1209" s="35"/>
      <c r="I1209" s="31"/>
      <c r="J1209" s="155">
        <v>0</v>
      </c>
    </row>
    <row r="1210" spans="1:10" ht="15.75" hidden="1" thickBot="1" x14ac:dyDescent="0.3">
      <c r="A1210" s="180" t="s">
        <v>404</v>
      </c>
      <c r="B1210" s="186" t="str">
        <f>INDEX(Orçamentária!A:B,MATCH(Composições!A1210,Orçamentária!A:A,0),2)</f>
        <v>Torneira de parede para tanque</v>
      </c>
      <c r="C1210" s="41"/>
      <c r="D1210" s="26" t="str">
        <f>TRIM(INDEX(Orçamentária!C:C,MATCH(Composições!A1210,Orçamentária!A:A,0),1))</f>
        <v>un</v>
      </c>
      <c r="E1210" s="27"/>
      <c r="F1210" s="42" t="s">
        <v>558</v>
      </c>
      <c r="G1210" s="28" t="str">
        <f>IF(ISNUMBER(F1210),E1210*F1210,"")</f>
        <v/>
      </c>
      <c r="H1210" s="29"/>
      <c r="I1210" s="30"/>
      <c r="J1210" s="155">
        <v>0</v>
      </c>
    </row>
    <row r="1211" spans="1:10" ht="15.75" hidden="1" thickBot="1" x14ac:dyDescent="0.3">
      <c r="A1211" s="200"/>
      <c r="B1211" s="202"/>
      <c r="C1211" s="32"/>
      <c r="D1211" s="32"/>
      <c r="E1211" s="33"/>
      <c r="F1211" s="43" t="s">
        <v>558</v>
      </c>
      <c r="G1211" s="31" t="str">
        <f>IF(ISNUMBER(F1211),E1211*F1211,"")</f>
        <v/>
      </c>
      <c r="H1211" s="35"/>
      <c r="I1211" s="31"/>
      <c r="J1211" s="155">
        <v>0</v>
      </c>
    </row>
    <row r="1212" spans="1:10" ht="15.75" hidden="1" thickBot="1" x14ac:dyDescent="0.3">
      <c r="A1212" s="200"/>
      <c r="B1212" s="202"/>
      <c r="C1212" s="36" t="s">
        <v>366</v>
      </c>
      <c r="D1212" s="47" t="s">
        <v>292</v>
      </c>
      <c r="E1212" s="37">
        <v>2.1000000000000001E-2</v>
      </c>
      <c r="F1212" s="34">
        <v>3.4769999999999999</v>
      </c>
      <c r="G1212" s="34">
        <f>IF(ISNUMBER(F1212),E1212*F1212,"")</f>
        <v>7.3016999999999999E-2</v>
      </c>
      <c r="H1212" s="39">
        <f>SUM(G1212:G1215)</f>
        <v>60.689729699999994</v>
      </c>
      <c r="I1212" s="40"/>
      <c r="J1212" s="155">
        <v>0</v>
      </c>
    </row>
    <row r="1213" spans="1:10" ht="15.75" hidden="1" thickBot="1" x14ac:dyDescent="0.3">
      <c r="A1213" s="200"/>
      <c r="B1213" s="202"/>
      <c r="C1213" s="36" t="s">
        <v>39</v>
      </c>
      <c r="D1213" s="47" t="s">
        <v>12</v>
      </c>
      <c r="E1213" s="37">
        <v>0.1525</v>
      </c>
      <c r="F1213" s="31">
        <v>22.2395</v>
      </c>
      <c r="G1213" s="34">
        <f>IF(ISNUMBER(F1213),E1213*F1213,"")</f>
        <v>3.3915237499999997</v>
      </c>
      <c r="H1213" s="35"/>
      <c r="I1213" s="31"/>
      <c r="J1213" s="155">
        <v>0</v>
      </c>
    </row>
    <row r="1214" spans="1:10" ht="15.75" hidden="1" thickBot="1" x14ac:dyDescent="0.3">
      <c r="A1214" s="200"/>
      <c r="B1214" s="202"/>
      <c r="C1214" s="36" t="s">
        <v>23</v>
      </c>
      <c r="D1214" s="36" t="s">
        <v>12</v>
      </c>
      <c r="E1214" s="37">
        <v>4.8099999999999997E-2</v>
      </c>
      <c r="F1214" s="31">
        <v>16.729499999999998</v>
      </c>
      <c r="G1214" s="34">
        <f>IF(ISNUMBER(F1214),E1214*F1214,"")</f>
        <v>0.80468894999999985</v>
      </c>
      <c r="H1214" s="35"/>
      <c r="I1214" s="31"/>
      <c r="J1214" s="155">
        <v>0</v>
      </c>
    </row>
    <row r="1215" spans="1:10" ht="15.75" hidden="1" thickBot="1" x14ac:dyDescent="0.3">
      <c r="A1215" s="200"/>
      <c r="B1215" s="202"/>
      <c r="C1215" s="36" t="s">
        <v>405</v>
      </c>
      <c r="D1215" s="36" t="s">
        <v>20</v>
      </c>
      <c r="E1215" s="37">
        <v>1</v>
      </c>
      <c r="F1215" s="34">
        <v>56.420499999999997</v>
      </c>
      <c r="G1215" s="31">
        <f>IF(ISNUMBER(F1215),E1215*F1215,"")</f>
        <v>56.420499999999997</v>
      </c>
      <c r="H1215" s="35"/>
      <c r="I1215" s="31"/>
      <c r="J1215" s="155">
        <v>0</v>
      </c>
    </row>
    <row r="1216" spans="1:10" ht="15.75" hidden="1" thickBot="1" x14ac:dyDescent="0.3">
      <c r="A1216" s="201"/>
      <c r="B1216" s="188"/>
      <c r="C1216" s="36"/>
      <c r="D1216" s="36"/>
      <c r="E1216" s="37"/>
      <c r="F1216" s="31" t="s">
        <v>558</v>
      </c>
      <c r="G1216" s="31" t="str">
        <f>IF(ISNUMBER(F1216),E1216*F1216,"")</f>
        <v/>
      </c>
      <c r="H1216" s="35"/>
      <c r="I1216" s="31"/>
      <c r="J1216" s="155">
        <v>0</v>
      </c>
    </row>
    <row r="1217" spans="1:10" ht="15.75" hidden="1" thickBot="1" x14ac:dyDescent="0.3">
      <c r="A1217" s="180" t="s">
        <v>406</v>
      </c>
      <c r="B1217" s="186" t="str">
        <f>INDEX(Orçamentária!A:B,MATCH(Composições!A1217,Orçamentária!A:A,0),2)</f>
        <v>Acabamento para válvula de descarga 1 1/2" – Linha Acessibilidade</v>
      </c>
      <c r="C1217" s="41"/>
      <c r="D1217" s="26" t="str">
        <f>TRIM(INDEX(Orçamentária!C:C,MATCH(Composições!A1217,Orçamentária!A:A,0),1))</f>
        <v>un</v>
      </c>
      <c r="E1217" s="27"/>
      <c r="F1217" s="42" t="s">
        <v>558</v>
      </c>
      <c r="G1217" s="28" t="str">
        <f>IF(ISNUMBER(F1217),E1217*F1217,"")</f>
        <v/>
      </c>
      <c r="H1217" s="29"/>
      <c r="I1217" s="30"/>
      <c r="J1217" s="155">
        <v>0</v>
      </c>
    </row>
    <row r="1218" spans="1:10" ht="15.75" hidden="1" thickBot="1" x14ac:dyDescent="0.3">
      <c r="A1218" s="200"/>
      <c r="B1218" s="202"/>
      <c r="C1218" s="32"/>
      <c r="D1218" s="32"/>
      <c r="E1218" s="33"/>
      <c r="F1218" s="43" t="s">
        <v>558</v>
      </c>
      <c r="G1218" s="31" t="str">
        <f>IF(ISNUMBER(F1218),E1218*F1218,"")</f>
        <v/>
      </c>
      <c r="H1218" s="35"/>
      <c r="I1218" s="31"/>
      <c r="J1218" s="155">
        <v>0</v>
      </c>
    </row>
    <row r="1219" spans="1:10" ht="26.25" hidden="1" thickBot="1" x14ac:dyDescent="0.3">
      <c r="A1219" s="200"/>
      <c r="B1219" s="202"/>
      <c r="C1219" s="171" t="s">
        <v>407</v>
      </c>
      <c r="D1219" s="47" t="s">
        <v>147</v>
      </c>
      <c r="E1219" s="37">
        <v>1</v>
      </c>
      <c r="F1219" s="34" t="s">
        <v>558</v>
      </c>
      <c r="G1219" s="34" t="str">
        <f>IF(ISNUMBER(F1219),E1219*F1219,"")</f>
        <v/>
      </c>
      <c r="H1219" s="39">
        <f>SUM(G1219:G1222)</f>
        <v>31.454756500000002</v>
      </c>
      <c r="I1219" s="40"/>
      <c r="J1219" s="155">
        <v>0</v>
      </c>
    </row>
    <row r="1220" spans="1:10" ht="15.75" hidden="1" thickBot="1" x14ac:dyDescent="0.3">
      <c r="A1220" s="200"/>
      <c r="B1220" s="202"/>
      <c r="C1220" s="36" t="s">
        <v>408</v>
      </c>
      <c r="D1220" s="50" t="s">
        <v>292</v>
      </c>
      <c r="E1220" s="37">
        <v>1.9E-2</v>
      </c>
      <c r="F1220" s="34">
        <v>12.8155</v>
      </c>
      <c r="G1220" s="34">
        <f>IF(ISNUMBER(F1220),E1220*F1220,"")</f>
        <v>0.2434945</v>
      </c>
      <c r="H1220" s="35"/>
      <c r="I1220" s="31"/>
      <c r="J1220" s="155">
        <v>0</v>
      </c>
    </row>
    <row r="1221" spans="1:10" ht="26.25" hidden="1" thickBot="1" x14ac:dyDescent="0.3">
      <c r="A1221" s="200"/>
      <c r="B1221" s="202"/>
      <c r="C1221" s="36" t="s">
        <v>108</v>
      </c>
      <c r="D1221" s="47" t="s">
        <v>12</v>
      </c>
      <c r="E1221" s="37">
        <v>0.78900000000000003</v>
      </c>
      <c r="F1221" s="31">
        <v>17.3185</v>
      </c>
      <c r="G1221" s="34">
        <f>IF(ISNUMBER(F1221),E1221*F1221,"")</f>
        <v>13.664296500000001</v>
      </c>
      <c r="H1221" s="35"/>
      <c r="I1221" s="31"/>
      <c r="J1221" s="155">
        <v>0</v>
      </c>
    </row>
    <row r="1222" spans="1:10" ht="15.75" hidden="1" thickBot="1" x14ac:dyDescent="0.3">
      <c r="A1222" s="200"/>
      <c r="B1222" s="202"/>
      <c r="C1222" s="36" t="s">
        <v>39</v>
      </c>
      <c r="D1222" s="47" t="s">
        <v>12</v>
      </c>
      <c r="E1222" s="37">
        <v>0.78900000000000003</v>
      </c>
      <c r="F1222" s="31">
        <v>22.2395</v>
      </c>
      <c r="G1222" s="34">
        <f>IF(ISNUMBER(F1222),E1222*F1222,"")</f>
        <v>17.546965499999999</v>
      </c>
      <c r="H1222" s="35"/>
      <c r="I1222" s="31"/>
      <c r="J1222" s="155">
        <v>0</v>
      </c>
    </row>
    <row r="1223" spans="1:10" ht="15.75" hidden="1" thickBot="1" x14ac:dyDescent="0.3">
      <c r="A1223" s="201"/>
      <c r="B1223" s="188"/>
      <c r="C1223" s="36"/>
      <c r="D1223" s="36"/>
      <c r="E1223" s="37"/>
      <c r="F1223" s="31" t="s">
        <v>558</v>
      </c>
      <c r="G1223" s="31" t="str">
        <f>IF(ISNUMBER(F1223),E1223*F1223,"")</f>
        <v/>
      </c>
      <c r="H1223" s="35"/>
      <c r="I1223" s="31"/>
      <c r="J1223" s="155">
        <v>0</v>
      </c>
    </row>
    <row r="1224" spans="1:10" ht="15.75" hidden="1" thickBot="1" x14ac:dyDescent="0.3">
      <c r="A1224" s="180" t="s">
        <v>409</v>
      </c>
      <c r="B1224" s="186" t="str">
        <f>INDEX(Orçamentária!A:B,MATCH(Composições!A1224,Orçamentária!A:A,0),2)</f>
        <v>Acabamento para válvula de descarga 1 1/2"</v>
      </c>
      <c r="C1224" s="41"/>
      <c r="D1224" s="26" t="str">
        <f>TRIM(INDEX(Orçamentária!C:C,MATCH(Composições!A1224,Orçamentária!A:A,0),1))</f>
        <v>un</v>
      </c>
      <c r="E1224" s="27"/>
      <c r="F1224" s="42" t="s">
        <v>558</v>
      </c>
      <c r="G1224" s="28" t="str">
        <f>IF(ISNUMBER(F1224),E1224*F1224,"")</f>
        <v/>
      </c>
      <c r="H1224" s="29"/>
      <c r="I1224" s="30"/>
      <c r="J1224" s="155">
        <v>0</v>
      </c>
    </row>
    <row r="1225" spans="1:10" ht="15.75" hidden="1" thickBot="1" x14ac:dyDescent="0.3">
      <c r="A1225" s="200"/>
      <c r="B1225" s="202"/>
      <c r="C1225" s="32"/>
      <c r="D1225" s="32"/>
      <c r="E1225" s="33"/>
      <c r="F1225" s="43" t="s">
        <v>558</v>
      </c>
      <c r="G1225" s="31" t="str">
        <f>IF(ISNUMBER(F1225),E1225*F1225,"")</f>
        <v/>
      </c>
      <c r="H1225" s="35"/>
      <c r="I1225" s="31"/>
      <c r="J1225" s="155">
        <v>0</v>
      </c>
    </row>
    <row r="1226" spans="1:10" ht="26.25" hidden="1" thickBot="1" x14ac:dyDescent="0.3">
      <c r="A1226" s="200"/>
      <c r="B1226" s="202"/>
      <c r="C1226" s="171" t="s">
        <v>410</v>
      </c>
      <c r="D1226" s="47" t="s">
        <v>292</v>
      </c>
      <c r="E1226" s="37">
        <v>1</v>
      </c>
      <c r="F1226" s="34">
        <v>222.77499999999998</v>
      </c>
      <c r="G1226" s="34">
        <f>IF(ISNUMBER(F1226),E1226*F1226,"")</f>
        <v>222.77499999999998</v>
      </c>
      <c r="H1226" s="39">
        <f>SUM(G1226:G1229)</f>
        <v>254.22975649999998</v>
      </c>
      <c r="I1226" s="40"/>
      <c r="J1226" s="155">
        <v>0</v>
      </c>
    </row>
    <row r="1227" spans="1:10" ht="15.75" hidden="1" thickBot="1" x14ac:dyDescent="0.3">
      <c r="A1227" s="200"/>
      <c r="B1227" s="202"/>
      <c r="C1227" s="36" t="s">
        <v>408</v>
      </c>
      <c r="D1227" s="50" t="s">
        <v>292</v>
      </c>
      <c r="E1227" s="37">
        <v>1.9E-2</v>
      </c>
      <c r="F1227" s="34">
        <v>12.8155</v>
      </c>
      <c r="G1227" s="34">
        <f>IF(ISNUMBER(F1227),E1227*F1227,"")</f>
        <v>0.2434945</v>
      </c>
      <c r="H1227" s="35"/>
      <c r="I1227" s="31"/>
      <c r="J1227" s="155">
        <v>0</v>
      </c>
    </row>
    <row r="1228" spans="1:10" ht="26.25" hidden="1" thickBot="1" x14ac:dyDescent="0.3">
      <c r="A1228" s="200"/>
      <c r="B1228" s="202"/>
      <c r="C1228" s="36" t="s">
        <v>108</v>
      </c>
      <c r="D1228" s="47" t="s">
        <v>12</v>
      </c>
      <c r="E1228" s="37">
        <v>0.78900000000000003</v>
      </c>
      <c r="F1228" s="31">
        <v>17.3185</v>
      </c>
      <c r="G1228" s="34">
        <f>IF(ISNUMBER(F1228),E1228*F1228,"")</f>
        <v>13.664296500000001</v>
      </c>
      <c r="H1228" s="35"/>
      <c r="I1228" s="31"/>
      <c r="J1228" s="155">
        <v>0</v>
      </c>
    </row>
    <row r="1229" spans="1:10" ht="15.75" hidden="1" thickBot="1" x14ac:dyDescent="0.3">
      <c r="A1229" s="200"/>
      <c r="B1229" s="202"/>
      <c r="C1229" s="36" t="s">
        <v>39</v>
      </c>
      <c r="D1229" s="47" t="s">
        <v>12</v>
      </c>
      <c r="E1229" s="37">
        <v>0.78900000000000003</v>
      </c>
      <c r="F1229" s="31">
        <v>22.2395</v>
      </c>
      <c r="G1229" s="34">
        <f>IF(ISNUMBER(F1229),E1229*F1229,"")</f>
        <v>17.546965499999999</v>
      </c>
      <c r="H1229" s="35"/>
      <c r="I1229" s="31"/>
      <c r="J1229" s="155">
        <v>0</v>
      </c>
    </row>
    <row r="1230" spans="1:10" ht="15.75" hidden="1" thickBot="1" x14ac:dyDescent="0.3">
      <c r="A1230" s="201"/>
      <c r="B1230" s="188"/>
      <c r="C1230" s="36"/>
      <c r="D1230" s="36"/>
      <c r="E1230" s="37"/>
      <c r="F1230" s="31" t="s">
        <v>558</v>
      </c>
      <c r="G1230" s="31" t="str">
        <f>IF(ISNUMBER(F1230),E1230*F1230,"")</f>
        <v/>
      </c>
      <c r="H1230" s="35"/>
      <c r="I1230" s="31"/>
      <c r="J1230" s="155">
        <v>0</v>
      </c>
    </row>
    <row r="1231" spans="1:10" ht="15.75" hidden="1" thickBot="1" x14ac:dyDescent="0.3">
      <c r="A1231" s="180" t="s">
        <v>411</v>
      </c>
      <c r="B1231" s="186" t="str">
        <f>INDEX(Orçamentária!A:B,MATCH(Composições!A1231,Orçamentária!A:A,0),2)</f>
        <v>Acabamento para válvula de descarga 1 1/4" – Linha Acessibilidade</v>
      </c>
      <c r="C1231" s="41"/>
      <c r="D1231" s="26" t="str">
        <f>TRIM(INDEX(Orçamentária!C:C,MATCH(Composições!A1231,Orçamentária!A:A,0),1))</f>
        <v>un</v>
      </c>
      <c r="E1231" s="27"/>
      <c r="F1231" s="42" t="s">
        <v>558</v>
      </c>
      <c r="G1231" s="28" t="str">
        <f>IF(ISNUMBER(F1231),E1231*F1231,"")</f>
        <v/>
      </c>
      <c r="H1231" s="29"/>
      <c r="I1231" s="30"/>
      <c r="J1231" s="155">
        <v>0</v>
      </c>
    </row>
    <row r="1232" spans="1:10" ht="15.75" hidden="1" thickBot="1" x14ac:dyDescent="0.3">
      <c r="A1232" s="200"/>
      <c r="B1232" s="202"/>
      <c r="C1232" s="32"/>
      <c r="D1232" s="32"/>
      <c r="E1232" s="33"/>
      <c r="F1232" s="43" t="s">
        <v>558</v>
      </c>
      <c r="G1232" s="31" t="str">
        <f>IF(ISNUMBER(F1232),E1232*F1232,"")</f>
        <v/>
      </c>
      <c r="H1232" s="35"/>
      <c r="I1232" s="31"/>
      <c r="J1232" s="155">
        <v>0</v>
      </c>
    </row>
    <row r="1233" spans="1:10" ht="26.25" hidden="1" thickBot="1" x14ac:dyDescent="0.3">
      <c r="A1233" s="200"/>
      <c r="B1233" s="202"/>
      <c r="C1233" s="171" t="s">
        <v>412</v>
      </c>
      <c r="D1233" s="47" t="s">
        <v>147</v>
      </c>
      <c r="E1233" s="37">
        <v>1</v>
      </c>
      <c r="F1233" s="34" t="s">
        <v>558</v>
      </c>
      <c r="G1233" s="34" t="str">
        <f>IF(ISNUMBER(F1233),E1233*F1233,"")</f>
        <v/>
      </c>
      <c r="H1233" s="39">
        <f>SUM(G1233:G1236)</f>
        <v>31.454756500000002</v>
      </c>
      <c r="I1233" s="40"/>
      <c r="J1233" s="155">
        <v>0</v>
      </c>
    </row>
    <row r="1234" spans="1:10" ht="15.75" hidden="1" thickBot="1" x14ac:dyDescent="0.3">
      <c r="A1234" s="200"/>
      <c r="B1234" s="202"/>
      <c r="C1234" s="36" t="s">
        <v>408</v>
      </c>
      <c r="D1234" s="50" t="s">
        <v>292</v>
      </c>
      <c r="E1234" s="37">
        <v>1.9E-2</v>
      </c>
      <c r="F1234" s="34">
        <v>12.8155</v>
      </c>
      <c r="G1234" s="34">
        <f>IF(ISNUMBER(F1234),E1234*F1234,"")</f>
        <v>0.2434945</v>
      </c>
      <c r="H1234" s="35"/>
      <c r="I1234" s="31"/>
      <c r="J1234" s="155">
        <v>0</v>
      </c>
    </row>
    <row r="1235" spans="1:10" ht="26.25" hidden="1" thickBot="1" x14ac:dyDescent="0.3">
      <c r="A1235" s="200"/>
      <c r="B1235" s="202"/>
      <c r="C1235" s="36" t="s">
        <v>108</v>
      </c>
      <c r="D1235" s="47" t="s">
        <v>12</v>
      </c>
      <c r="E1235" s="37">
        <v>0.78900000000000003</v>
      </c>
      <c r="F1235" s="31">
        <v>17.3185</v>
      </c>
      <c r="G1235" s="34">
        <f>IF(ISNUMBER(F1235),E1235*F1235,"")</f>
        <v>13.664296500000001</v>
      </c>
      <c r="H1235" s="35"/>
      <c r="I1235" s="31"/>
      <c r="J1235" s="155">
        <v>0</v>
      </c>
    </row>
    <row r="1236" spans="1:10" ht="15.75" hidden="1" thickBot="1" x14ac:dyDescent="0.3">
      <c r="A1236" s="200"/>
      <c r="B1236" s="202"/>
      <c r="C1236" s="36" t="s">
        <v>39</v>
      </c>
      <c r="D1236" s="47" t="s">
        <v>12</v>
      </c>
      <c r="E1236" s="37">
        <v>0.78900000000000003</v>
      </c>
      <c r="F1236" s="31">
        <v>22.2395</v>
      </c>
      <c r="G1236" s="34">
        <f>IF(ISNUMBER(F1236),E1236*F1236,"")</f>
        <v>17.546965499999999</v>
      </c>
      <c r="H1236" s="35"/>
      <c r="I1236" s="31"/>
      <c r="J1236" s="155">
        <v>0</v>
      </c>
    </row>
    <row r="1237" spans="1:10" ht="15.75" hidden="1" thickBot="1" x14ac:dyDescent="0.3">
      <c r="A1237" s="201"/>
      <c r="B1237" s="188"/>
      <c r="C1237" s="36"/>
      <c r="D1237" s="36"/>
      <c r="E1237" s="37"/>
      <c r="F1237" s="31" t="s">
        <v>558</v>
      </c>
      <c r="G1237" s="31" t="str">
        <f>IF(ISNUMBER(F1237),E1237*F1237,"")</f>
        <v/>
      </c>
      <c r="H1237" s="35"/>
      <c r="I1237" s="31"/>
      <c r="J1237" s="155">
        <v>0</v>
      </c>
    </row>
    <row r="1238" spans="1:10" ht="15.75" hidden="1" thickBot="1" x14ac:dyDescent="0.3">
      <c r="A1238" s="180" t="s">
        <v>413</v>
      </c>
      <c r="B1238" s="186" t="str">
        <f>INDEX(Orçamentária!A:B,MATCH(Composições!A1238,Orçamentária!A:A,0),2)</f>
        <v>Acabamento para válvula de descarga 1 1/4"</v>
      </c>
      <c r="C1238" s="41"/>
      <c r="D1238" s="26" t="str">
        <f>TRIM(INDEX(Orçamentária!C:C,MATCH(Composições!A1238,Orçamentária!A:A,0),1))</f>
        <v>un</v>
      </c>
      <c r="E1238" s="27"/>
      <c r="F1238" s="42" t="s">
        <v>558</v>
      </c>
      <c r="G1238" s="28" t="str">
        <f>IF(ISNUMBER(F1238),E1238*F1238,"")</f>
        <v/>
      </c>
      <c r="H1238" s="29"/>
      <c r="I1238" s="30"/>
      <c r="J1238" s="155">
        <v>0</v>
      </c>
    </row>
    <row r="1239" spans="1:10" ht="15.75" hidden="1" thickBot="1" x14ac:dyDescent="0.3">
      <c r="A1239" s="200"/>
      <c r="B1239" s="202"/>
      <c r="C1239" s="32"/>
      <c r="D1239" s="32"/>
      <c r="E1239" s="33"/>
      <c r="F1239" s="43" t="s">
        <v>558</v>
      </c>
      <c r="G1239" s="31" t="str">
        <f>IF(ISNUMBER(F1239),E1239*F1239,"")</f>
        <v/>
      </c>
      <c r="H1239" s="35"/>
      <c r="I1239" s="31"/>
      <c r="J1239" s="155">
        <v>0</v>
      </c>
    </row>
    <row r="1240" spans="1:10" ht="26.25" hidden="1" thickBot="1" x14ac:dyDescent="0.3">
      <c r="A1240" s="200"/>
      <c r="B1240" s="202"/>
      <c r="C1240" s="171" t="s">
        <v>414</v>
      </c>
      <c r="D1240" s="47" t="s">
        <v>292</v>
      </c>
      <c r="E1240" s="37">
        <v>1</v>
      </c>
      <c r="F1240" s="34">
        <v>180.47149999999999</v>
      </c>
      <c r="G1240" s="34">
        <f>IF(ISNUMBER(F1240),E1240*F1240,"")</f>
        <v>180.47149999999999</v>
      </c>
      <c r="H1240" s="39">
        <f>SUM(G1240:G1243)</f>
        <v>211.92625649999999</v>
      </c>
      <c r="I1240" s="40"/>
      <c r="J1240" s="155">
        <v>0</v>
      </c>
    </row>
    <row r="1241" spans="1:10" ht="15.75" hidden="1" thickBot="1" x14ac:dyDescent="0.3">
      <c r="A1241" s="200"/>
      <c r="B1241" s="202"/>
      <c r="C1241" s="36" t="s">
        <v>408</v>
      </c>
      <c r="D1241" s="50" t="s">
        <v>292</v>
      </c>
      <c r="E1241" s="37">
        <v>1.9E-2</v>
      </c>
      <c r="F1241" s="34">
        <v>12.8155</v>
      </c>
      <c r="G1241" s="34">
        <f>IF(ISNUMBER(F1241),E1241*F1241,"")</f>
        <v>0.2434945</v>
      </c>
      <c r="H1241" s="35"/>
      <c r="I1241" s="31"/>
      <c r="J1241" s="155">
        <v>0</v>
      </c>
    </row>
    <row r="1242" spans="1:10" ht="26.25" hidden="1" thickBot="1" x14ac:dyDescent="0.3">
      <c r="A1242" s="200"/>
      <c r="B1242" s="202"/>
      <c r="C1242" s="36" t="s">
        <v>108</v>
      </c>
      <c r="D1242" s="47" t="s">
        <v>12</v>
      </c>
      <c r="E1242" s="37">
        <v>0.78900000000000003</v>
      </c>
      <c r="F1242" s="31">
        <v>17.3185</v>
      </c>
      <c r="G1242" s="34">
        <f>IF(ISNUMBER(F1242),E1242*F1242,"")</f>
        <v>13.664296500000001</v>
      </c>
      <c r="H1242" s="35"/>
      <c r="I1242" s="31"/>
      <c r="J1242" s="155">
        <v>0</v>
      </c>
    </row>
    <row r="1243" spans="1:10" ht="15.75" hidden="1" thickBot="1" x14ac:dyDescent="0.3">
      <c r="A1243" s="200"/>
      <c r="B1243" s="202"/>
      <c r="C1243" s="36" t="s">
        <v>39</v>
      </c>
      <c r="D1243" s="47" t="s">
        <v>12</v>
      </c>
      <c r="E1243" s="37">
        <v>0.78900000000000003</v>
      </c>
      <c r="F1243" s="31">
        <v>22.2395</v>
      </c>
      <c r="G1243" s="34">
        <f>IF(ISNUMBER(F1243),E1243*F1243,"")</f>
        <v>17.546965499999999</v>
      </c>
      <c r="H1243" s="35"/>
      <c r="I1243" s="31"/>
      <c r="J1243" s="155">
        <v>0</v>
      </c>
    </row>
    <row r="1244" spans="1:10" ht="15.75" hidden="1" thickBot="1" x14ac:dyDescent="0.3">
      <c r="A1244" s="201"/>
      <c r="B1244" s="188"/>
      <c r="C1244" s="36"/>
      <c r="D1244" s="36"/>
      <c r="E1244" s="37"/>
      <c r="F1244" s="31" t="s">
        <v>558</v>
      </c>
      <c r="G1244" s="31" t="str">
        <f>IF(ISNUMBER(F1244),E1244*F1244,"")</f>
        <v/>
      </c>
      <c r="H1244" s="35"/>
      <c r="I1244" s="31"/>
      <c r="J1244" s="155">
        <v>0</v>
      </c>
    </row>
    <row r="1245" spans="1:10" ht="15.75" hidden="1" thickBot="1" x14ac:dyDescent="0.3">
      <c r="A1245" s="180" t="s">
        <v>415</v>
      </c>
      <c r="B1245" s="186" t="str">
        <f>INDEX(Orçamentária!A:B,MATCH(Composições!A1245,Orçamentária!A:A,0),2)</f>
        <v>Válvula de escoamento para lavatório</v>
      </c>
      <c r="C1245" s="41"/>
      <c r="D1245" s="26" t="str">
        <f>TRIM(INDEX(Orçamentária!C:C,MATCH(Composições!A1245,Orçamentária!A:A,0),1))</f>
        <v>un</v>
      </c>
      <c r="E1245" s="27"/>
      <c r="F1245" s="42" t="s">
        <v>558</v>
      </c>
      <c r="G1245" s="28" t="str">
        <f>IF(ISNUMBER(F1245),E1245*F1245,"")</f>
        <v/>
      </c>
      <c r="H1245" s="29"/>
      <c r="I1245" s="30"/>
      <c r="J1245" s="155">
        <v>0</v>
      </c>
    </row>
    <row r="1246" spans="1:10" ht="15.75" hidden="1" thickBot="1" x14ac:dyDescent="0.3">
      <c r="A1246" s="200"/>
      <c r="B1246" s="202"/>
      <c r="C1246" s="32"/>
      <c r="D1246" s="32"/>
      <c r="E1246" s="33"/>
      <c r="F1246" s="43" t="s">
        <v>558</v>
      </c>
      <c r="G1246" s="31" t="str">
        <f>IF(ISNUMBER(F1246),E1246*F1246,"")</f>
        <v/>
      </c>
      <c r="H1246" s="35"/>
      <c r="I1246" s="31"/>
      <c r="J1246" s="155">
        <v>0</v>
      </c>
    </row>
    <row r="1247" spans="1:10" ht="15.75" hidden="1" thickBot="1" x14ac:dyDescent="0.3">
      <c r="A1247" s="200"/>
      <c r="B1247" s="202"/>
      <c r="C1247" s="36" t="s">
        <v>416</v>
      </c>
      <c r="D1247" s="47" t="s">
        <v>292</v>
      </c>
      <c r="E1247" s="37">
        <v>1</v>
      </c>
      <c r="F1247" s="34">
        <v>30.732499999999998</v>
      </c>
      <c r="G1247" s="34">
        <f>IF(ISNUMBER(F1247),E1247*F1247,"")</f>
        <v>30.732499999999998</v>
      </c>
      <c r="H1247" s="39">
        <f>SUM(G1247:G1250)</f>
        <v>35.6858456</v>
      </c>
      <c r="I1247" s="40"/>
      <c r="J1247" s="155">
        <v>0</v>
      </c>
    </row>
    <row r="1248" spans="1:10" ht="15.75" hidden="1" thickBot="1" x14ac:dyDescent="0.3">
      <c r="A1248" s="200"/>
      <c r="B1248" s="202"/>
      <c r="C1248" s="36" t="s">
        <v>366</v>
      </c>
      <c r="D1248" s="47" t="s">
        <v>292</v>
      </c>
      <c r="E1248" s="37">
        <v>4.8000000000000001E-2</v>
      </c>
      <c r="F1248" s="34">
        <v>3.4769999999999999</v>
      </c>
      <c r="G1248" s="34">
        <f>IF(ISNUMBER(F1248),E1248*F1248,"")</f>
        <v>0.16689599999999999</v>
      </c>
      <c r="H1248" s="35"/>
      <c r="I1248" s="31"/>
      <c r="J1248" s="155">
        <v>0</v>
      </c>
    </row>
    <row r="1249" spans="1:10" ht="15.75" hidden="1" thickBot="1" x14ac:dyDescent="0.3">
      <c r="A1249" s="200"/>
      <c r="B1249" s="202"/>
      <c r="C1249" s="36" t="s">
        <v>39</v>
      </c>
      <c r="D1249" s="47" t="s">
        <v>12</v>
      </c>
      <c r="E1249" s="37">
        <v>0.17399999999999999</v>
      </c>
      <c r="F1249" s="31">
        <v>22.2395</v>
      </c>
      <c r="G1249" s="34">
        <f>IF(ISNUMBER(F1249),E1249*F1249,"")</f>
        <v>3.8696729999999997</v>
      </c>
      <c r="H1249" s="35"/>
      <c r="I1249" s="31"/>
      <c r="J1249" s="155">
        <v>0</v>
      </c>
    </row>
    <row r="1250" spans="1:10" ht="15.75" hidden="1" thickBot="1" x14ac:dyDescent="0.3">
      <c r="A1250" s="200"/>
      <c r="B1250" s="202"/>
      <c r="C1250" s="36" t="s">
        <v>23</v>
      </c>
      <c r="D1250" s="47" t="s">
        <v>12</v>
      </c>
      <c r="E1250" s="37">
        <v>5.4800000000000001E-2</v>
      </c>
      <c r="F1250" s="31">
        <v>16.729499999999998</v>
      </c>
      <c r="G1250" s="34">
        <f>IF(ISNUMBER(F1250),E1250*F1250,"")</f>
        <v>0.91677659999999994</v>
      </c>
      <c r="H1250" s="35"/>
      <c r="I1250" s="31"/>
      <c r="J1250" s="155">
        <v>0</v>
      </c>
    </row>
    <row r="1251" spans="1:10" ht="15.75" hidden="1" thickBot="1" x14ac:dyDescent="0.3">
      <c r="A1251" s="201"/>
      <c r="B1251" s="188"/>
      <c r="C1251" s="36"/>
      <c r="D1251" s="36"/>
      <c r="E1251" s="37"/>
      <c r="F1251" s="31" t="s">
        <v>558</v>
      </c>
      <c r="G1251" s="31" t="str">
        <f>IF(ISNUMBER(F1251),E1251*F1251,"")</f>
        <v/>
      </c>
      <c r="H1251" s="35"/>
      <c r="I1251" s="31"/>
      <c r="J1251" s="155">
        <v>0</v>
      </c>
    </row>
    <row r="1252" spans="1:10" ht="15.75" hidden="1" thickBot="1" x14ac:dyDescent="0.3">
      <c r="A1252" s="180" t="s">
        <v>417</v>
      </c>
      <c r="B1252" s="186" t="str">
        <f>INDEX(Orçamentária!A:B,MATCH(Composições!A1252,Orçamentária!A:A,0),2)</f>
        <v>Válvula de escoamento para tanque</v>
      </c>
      <c r="C1252" s="41"/>
      <c r="D1252" s="26" t="str">
        <f>TRIM(INDEX(Orçamentária!C:C,MATCH(Composições!A1252,Orçamentária!A:A,0),1))</f>
        <v>un</v>
      </c>
      <c r="E1252" s="27"/>
      <c r="F1252" s="42" t="s">
        <v>558</v>
      </c>
      <c r="G1252" s="28" t="str">
        <f>IF(ISNUMBER(F1252),E1252*F1252,"")</f>
        <v/>
      </c>
      <c r="H1252" s="29"/>
      <c r="I1252" s="30"/>
      <c r="J1252" s="155">
        <v>0</v>
      </c>
    </row>
    <row r="1253" spans="1:10" ht="15.75" hidden="1" thickBot="1" x14ac:dyDescent="0.3">
      <c r="A1253" s="200"/>
      <c r="B1253" s="202"/>
      <c r="C1253" s="32"/>
      <c r="D1253" s="32"/>
      <c r="E1253" s="33"/>
      <c r="F1253" s="43" t="s">
        <v>558</v>
      </c>
      <c r="G1253" s="31" t="str">
        <f>IF(ISNUMBER(F1253),E1253*F1253,"")</f>
        <v/>
      </c>
      <c r="H1253" s="35"/>
      <c r="I1253" s="31"/>
      <c r="J1253" s="155">
        <v>0</v>
      </c>
    </row>
    <row r="1254" spans="1:10" ht="15.75" hidden="1" thickBot="1" x14ac:dyDescent="0.3">
      <c r="A1254" s="200"/>
      <c r="B1254" s="202"/>
      <c r="C1254" s="36" t="s">
        <v>366</v>
      </c>
      <c r="D1254" s="47" t="s">
        <v>292</v>
      </c>
      <c r="E1254" s="37">
        <v>3.32E-2</v>
      </c>
      <c r="F1254" s="34">
        <v>3.4769999999999999</v>
      </c>
      <c r="G1254" s="34">
        <f>IF(ISNUMBER(F1254),E1254*F1254,"")</f>
        <v>0.11543639999999999</v>
      </c>
      <c r="H1254" s="39">
        <f>SUM(G1254:G1257)</f>
        <v>24.9649474</v>
      </c>
      <c r="I1254" s="40"/>
      <c r="J1254" s="155">
        <v>0</v>
      </c>
    </row>
    <row r="1255" spans="1:10" ht="15.75" hidden="1" thickBot="1" x14ac:dyDescent="0.3">
      <c r="A1255" s="200"/>
      <c r="B1255" s="202"/>
      <c r="C1255" s="36" t="s">
        <v>418</v>
      </c>
      <c r="D1255" s="36" t="s">
        <v>20</v>
      </c>
      <c r="E1255" s="37">
        <v>1</v>
      </c>
      <c r="F1255" s="34">
        <v>21.4605</v>
      </c>
      <c r="G1255" s="34">
        <f>IF(ISNUMBER(F1255),E1255*F1255,"")</f>
        <v>21.4605</v>
      </c>
      <c r="H1255" s="35"/>
      <c r="I1255" s="31"/>
      <c r="J1255" s="155">
        <v>0</v>
      </c>
    </row>
    <row r="1256" spans="1:10" ht="15.75" hidden="1" thickBot="1" x14ac:dyDescent="0.3">
      <c r="A1256" s="200"/>
      <c r="B1256" s="202"/>
      <c r="C1256" s="36" t="s">
        <v>39</v>
      </c>
      <c r="D1256" s="47" t="s">
        <v>12</v>
      </c>
      <c r="E1256" s="37">
        <v>0.1232</v>
      </c>
      <c r="F1256" s="31">
        <v>22.2395</v>
      </c>
      <c r="G1256" s="34">
        <f>IF(ISNUMBER(F1256),E1256*F1256,"")</f>
        <v>2.7399064000000002</v>
      </c>
      <c r="H1256" s="35"/>
      <c r="I1256" s="31"/>
      <c r="J1256" s="155">
        <v>0</v>
      </c>
    </row>
    <row r="1257" spans="1:10" ht="15.75" hidden="1" thickBot="1" x14ac:dyDescent="0.3">
      <c r="A1257" s="200"/>
      <c r="B1257" s="202"/>
      <c r="C1257" s="36" t="s">
        <v>23</v>
      </c>
      <c r="D1257" s="36" t="s">
        <v>12</v>
      </c>
      <c r="E1257" s="37">
        <v>3.8800000000000001E-2</v>
      </c>
      <c r="F1257" s="31">
        <v>16.729499999999998</v>
      </c>
      <c r="G1257" s="34">
        <f>IF(ISNUMBER(F1257),E1257*F1257,"")</f>
        <v>0.64910459999999992</v>
      </c>
      <c r="H1257" s="35"/>
      <c r="I1257" s="31"/>
      <c r="J1257" s="155">
        <v>0</v>
      </c>
    </row>
    <row r="1258" spans="1:10" ht="15.75" hidden="1" thickBot="1" x14ac:dyDescent="0.3">
      <c r="A1258" s="201"/>
      <c r="B1258" s="188"/>
      <c r="C1258" s="36"/>
      <c r="D1258" s="36"/>
      <c r="E1258" s="37"/>
      <c r="F1258" s="31" t="s">
        <v>558</v>
      </c>
      <c r="G1258" s="31" t="str">
        <f>IF(ISNUMBER(F1258),E1258*F1258,"")</f>
        <v/>
      </c>
      <c r="H1258" s="35"/>
      <c r="I1258" s="31"/>
      <c r="J1258" s="155">
        <v>0</v>
      </c>
    </row>
    <row r="1259" spans="1:10" ht="15.75" hidden="1" thickBot="1" x14ac:dyDescent="0.3">
      <c r="A1259" s="180" t="s">
        <v>419</v>
      </c>
      <c r="B1259" s="186" t="str">
        <f>INDEX(Orçamentária!A:B,MATCH(Composições!A1259,Orçamentária!A:A,0),2)</f>
        <v>Válvula descarga para mictório – Linha Administrativa</v>
      </c>
      <c r="C1259" s="41"/>
      <c r="D1259" s="26" t="str">
        <f>TRIM(INDEX(Orçamentária!C:C,MATCH(Composições!A1259,Orçamentária!A:A,0),1))</f>
        <v>un</v>
      </c>
      <c r="E1259" s="27"/>
      <c r="F1259" s="42" t="s">
        <v>558</v>
      </c>
      <c r="G1259" s="28" t="str">
        <f>IF(ISNUMBER(F1259),E1259*F1259,"")</f>
        <v/>
      </c>
      <c r="H1259" s="29"/>
      <c r="I1259" s="30"/>
      <c r="J1259" s="155">
        <v>0</v>
      </c>
    </row>
    <row r="1260" spans="1:10" ht="15.75" hidden="1" thickBot="1" x14ac:dyDescent="0.3">
      <c r="A1260" s="200"/>
      <c r="B1260" s="202"/>
      <c r="C1260" s="32"/>
      <c r="D1260" s="32"/>
      <c r="E1260" s="33"/>
      <c r="F1260" s="43" t="s">
        <v>558</v>
      </c>
      <c r="G1260" s="31" t="str">
        <f>IF(ISNUMBER(F1260),E1260*F1260,"")</f>
        <v/>
      </c>
      <c r="H1260" s="35"/>
      <c r="I1260" s="31"/>
      <c r="J1260" s="155">
        <v>0</v>
      </c>
    </row>
    <row r="1261" spans="1:10" ht="26.25" hidden="1" thickBot="1" x14ac:dyDescent="0.3">
      <c r="A1261" s="200"/>
      <c r="B1261" s="202"/>
      <c r="C1261" s="36" t="s">
        <v>420</v>
      </c>
      <c r="D1261" s="47" t="s">
        <v>292</v>
      </c>
      <c r="E1261" s="37">
        <v>1</v>
      </c>
      <c r="F1261" s="34">
        <v>191.767</v>
      </c>
      <c r="G1261" s="31">
        <f>IF(ISNUMBER(F1261),E1261*F1261,"")</f>
        <v>191.767</v>
      </c>
      <c r="H1261" s="39">
        <f>SUM(G1261:G1264)</f>
        <v>223.2217565</v>
      </c>
      <c r="I1261" s="40"/>
      <c r="J1261" s="155">
        <v>0</v>
      </c>
    </row>
    <row r="1262" spans="1:10" ht="15.75" hidden="1" thickBot="1" x14ac:dyDescent="0.3">
      <c r="A1262" s="200"/>
      <c r="B1262" s="202"/>
      <c r="C1262" s="36" t="s">
        <v>408</v>
      </c>
      <c r="D1262" s="50" t="s">
        <v>292</v>
      </c>
      <c r="E1262" s="37">
        <v>1.9E-2</v>
      </c>
      <c r="F1262" s="34">
        <v>12.8155</v>
      </c>
      <c r="G1262" s="31">
        <f>IF(ISNUMBER(F1262),E1262*F1262,"")</f>
        <v>0.2434945</v>
      </c>
      <c r="H1262" s="35"/>
      <c r="I1262" s="31"/>
      <c r="J1262" s="155">
        <v>0</v>
      </c>
    </row>
    <row r="1263" spans="1:10" ht="26.25" hidden="1" thickBot="1" x14ac:dyDescent="0.3">
      <c r="A1263" s="200"/>
      <c r="B1263" s="202"/>
      <c r="C1263" s="36" t="s">
        <v>108</v>
      </c>
      <c r="D1263" s="47" t="s">
        <v>12</v>
      </c>
      <c r="E1263" s="37">
        <v>0.78900000000000003</v>
      </c>
      <c r="F1263" s="31">
        <v>17.3185</v>
      </c>
      <c r="G1263" s="31">
        <f>IF(ISNUMBER(F1263),E1263*F1263,"")</f>
        <v>13.664296500000001</v>
      </c>
      <c r="H1263" s="35"/>
      <c r="I1263" s="31"/>
      <c r="J1263" s="155">
        <v>0</v>
      </c>
    </row>
    <row r="1264" spans="1:10" ht="15.75" hidden="1" thickBot="1" x14ac:dyDescent="0.3">
      <c r="A1264" s="200"/>
      <c r="B1264" s="202"/>
      <c r="C1264" s="36" t="s">
        <v>39</v>
      </c>
      <c r="D1264" s="47" t="s">
        <v>12</v>
      </c>
      <c r="E1264" s="37">
        <v>0.78900000000000003</v>
      </c>
      <c r="F1264" s="31">
        <v>22.2395</v>
      </c>
      <c r="G1264" s="34">
        <f>IF(ISNUMBER(F1264),E1264*F1264,"")</f>
        <v>17.546965499999999</v>
      </c>
      <c r="H1264" s="35"/>
      <c r="I1264" s="31"/>
      <c r="J1264" s="155">
        <v>0</v>
      </c>
    </row>
    <row r="1265" spans="1:10" ht="15.75" hidden="1" thickBot="1" x14ac:dyDescent="0.3">
      <c r="A1265" s="201"/>
      <c r="B1265" s="188"/>
      <c r="C1265" s="36"/>
      <c r="D1265" s="36"/>
      <c r="E1265" s="37"/>
      <c r="F1265" s="31" t="s">
        <v>558</v>
      </c>
      <c r="G1265" s="31" t="str">
        <f>IF(ISNUMBER(F1265),E1265*F1265,"")</f>
        <v/>
      </c>
      <c r="H1265" s="35"/>
      <c r="I1265" s="31"/>
      <c r="J1265" s="155">
        <v>0</v>
      </c>
    </row>
    <row r="1266" spans="1:10" ht="15.75" hidden="1" thickBot="1" x14ac:dyDescent="0.3">
      <c r="A1266" s="180" t="s">
        <v>421</v>
      </c>
      <c r="B1266" s="186" t="str">
        <f>INDEX(Orçamentária!A:B,MATCH(Composições!A1266,Orçamentária!A:A,0),2)</f>
        <v>Alarme de emergência para sanitários PNE</v>
      </c>
      <c r="C1266" s="41"/>
      <c r="D1266" s="26" t="str">
        <f>TRIM(INDEX(Orçamentária!C:C,MATCH(Composições!A1266,Orçamentária!A:A,0),1))</f>
        <v>un</v>
      </c>
      <c r="E1266" s="27"/>
      <c r="F1266" s="42" t="s">
        <v>558</v>
      </c>
      <c r="G1266" s="28" t="str">
        <f>IF(ISNUMBER(F1266),E1266*F1266,"")</f>
        <v/>
      </c>
      <c r="H1266" s="29"/>
      <c r="I1266" s="30"/>
      <c r="J1266" s="155">
        <v>0</v>
      </c>
    </row>
    <row r="1267" spans="1:10" ht="15.75" hidden="1" thickBot="1" x14ac:dyDescent="0.3">
      <c r="A1267" s="200"/>
      <c r="B1267" s="202"/>
      <c r="C1267" s="32"/>
      <c r="D1267" s="32"/>
      <c r="E1267" s="33"/>
      <c r="F1267" s="43" t="s">
        <v>558</v>
      </c>
      <c r="G1267" s="31" t="str">
        <f>IF(ISNUMBER(F1267),E1267*F1267,"")</f>
        <v/>
      </c>
      <c r="H1267" s="35"/>
      <c r="I1267" s="31"/>
      <c r="J1267" s="155">
        <v>0</v>
      </c>
    </row>
    <row r="1268" spans="1:10" ht="15.75" hidden="1" thickBot="1" x14ac:dyDescent="0.3">
      <c r="A1268" s="200"/>
      <c r="B1268" s="202"/>
      <c r="C1268" s="36" t="s">
        <v>30</v>
      </c>
      <c r="D1268" s="36" t="s">
        <v>12</v>
      </c>
      <c r="E1268" s="37">
        <v>0.28999999999999998</v>
      </c>
      <c r="F1268" s="31">
        <v>22.895</v>
      </c>
      <c r="G1268" s="31">
        <f>IF(ISNUMBER(F1268),E1268*F1268,"")</f>
        <v>6.6395499999999998</v>
      </c>
      <c r="H1268" s="39">
        <f>SUM(G1268:G1270)</f>
        <v>11.802419999999998</v>
      </c>
      <c r="I1268" s="40"/>
      <c r="J1268" s="155">
        <v>0</v>
      </c>
    </row>
    <row r="1269" spans="1:10" ht="15.75" hidden="1" thickBot="1" x14ac:dyDescent="0.3">
      <c r="A1269" s="200"/>
      <c r="B1269" s="202"/>
      <c r="C1269" s="36" t="s">
        <v>74</v>
      </c>
      <c r="D1269" s="47" t="s">
        <v>12</v>
      </c>
      <c r="E1269" s="37">
        <v>0.28999999999999998</v>
      </c>
      <c r="F1269" s="31">
        <v>17.802999999999997</v>
      </c>
      <c r="G1269" s="31">
        <f>IF(ISNUMBER(F1269),E1269*F1269,"")</f>
        <v>5.162869999999999</v>
      </c>
      <c r="H1269" s="35"/>
      <c r="I1269" s="31"/>
      <c r="J1269" s="155">
        <v>0</v>
      </c>
    </row>
    <row r="1270" spans="1:10" ht="26.25" hidden="1" thickBot="1" x14ac:dyDescent="0.3">
      <c r="A1270" s="200"/>
      <c r="B1270" s="202"/>
      <c r="C1270" s="36" t="s">
        <v>422</v>
      </c>
      <c r="D1270" s="36" t="s">
        <v>147</v>
      </c>
      <c r="E1270" s="37">
        <v>1</v>
      </c>
      <c r="F1270" s="34" t="s">
        <v>558</v>
      </c>
      <c r="G1270" s="31" t="str">
        <f>IF(ISNUMBER(F1270),E1270*F1270,"")</f>
        <v/>
      </c>
      <c r="H1270" s="35"/>
      <c r="I1270" s="31"/>
      <c r="J1270" s="155">
        <v>0</v>
      </c>
    </row>
    <row r="1271" spans="1:10" ht="15.75" hidden="1" thickBot="1" x14ac:dyDescent="0.3">
      <c r="A1271" s="201"/>
      <c r="B1271" s="188"/>
      <c r="C1271" s="36"/>
      <c r="D1271" s="36"/>
      <c r="E1271" s="37"/>
      <c r="F1271" s="31" t="s">
        <v>558</v>
      </c>
      <c r="G1271" s="31" t="str">
        <f>IF(ISNUMBER(F1271),E1271*F1271,"")</f>
        <v/>
      </c>
      <c r="H1271" s="35"/>
      <c r="I1271" s="31"/>
      <c r="J1271" s="155">
        <v>0</v>
      </c>
    </row>
    <row r="1272" spans="1:10" ht="15.75" hidden="1" thickBot="1" x14ac:dyDescent="0.3">
      <c r="A1272" s="180" t="s">
        <v>423</v>
      </c>
      <c r="B1272" s="186" t="str">
        <f>INDEX(Orçamentária!A:B,MATCH(Composições!A1272,Orçamentária!A:A,0),2)</f>
        <v>Barra de apoio 40cm – Linha Acessibilidade</v>
      </c>
      <c r="C1272" s="41"/>
      <c r="D1272" s="26" t="str">
        <f>TRIM(INDEX(Orçamentária!C:C,MATCH(Composições!A1272,Orçamentária!A:A,0),1))</f>
        <v>un</v>
      </c>
      <c r="E1272" s="27"/>
      <c r="F1272" s="42" t="s">
        <v>558</v>
      </c>
      <c r="G1272" s="28" t="str">
        <f>IF(ISNUMBER(F1272),E1272*F1272,"")</f>
        <v/>
      </c>
      <c r="H1272" s="29"/>
      <c r="I1272" s="30"/>
      <c r="J1272" s="155">
        <v>0</v>
      </c>
    </row>
    <row r="1273" spans="1:10" ht="15.75" hidden="1" thickBot="1" x14ac:dyDescent="0.3">
      <c r="A1273" s="200"/>
      <c r="B1273" s="202"/>
      <c r="C1273" s="32"/>
      <c r="D1273" s="32"/>
      <c r="E1273" s="33"/>
      <c r="F1273" s="43" t="s">
        <v>558</v>
      </c>
      <c r="G1273" s="31" t="str">
        <f>IF(ISNUMBER(F1273),E1273*F1273,"")</f>
        <v/>
      </c>
      <c r="H1273" s="35"/>
      <c r="I1273" s="31"/>
      <c r="J1273" s="155">
        <v>0</v>
      </c>
    </row>
    <row r="1274" spans="1:10" ht="26.25" hidden="1" thickBot="1" x14ac:dyDescent="0.3">
      <c r="A1274" s="200"/>
      <c r="B1274" s="202"/>
      <c r="C1274" s="36" t="s">
        <v>424</v>
      </c>
      <c r="D1274" s="47" t="s">
        <v>147</v>
      </c>
      <c r="E1274" s="37">
        <v>1</v>
      </c>
      <c r="F1274" s="34" t="s">
        <v>558</v>
      </c>
      <c r="G1274" s="34" t="str">
        <f>IF(ISNUMBER(F1274),E1274*F1274,"")</f>
        <v/>
      </c>
      <c r="H1274" s="39">
        <f>SUM(G1274:G1277)</f>
        <v>41.828499999999991</v>
      </c>
      <c r="I1274" s="40"/>
      <c r="J1274" s="155">
        <v>0</v>
      </c>
    </row>
    <row r="1275" spans="1:10" ht="26.25" hidden="1" thickBot="1" x14ac:dyDescent="0.3">
      <c r="A1275" s="200"/>
      <c r="B1275" s="202"/>
      <c r="C1275" s="36" t="s">
        <v>425</v>
      </c>
      <c r="D1275" s="47" t="s">
        <v>292</v>
      </c>
      <c r="E1275" s="37">
        <v>6</v>
      </c>
      <c r="F1275" s="34">
        <v>0.39899999999999997</v>
      </c>
      <c r="G1275" s="34">
        <f>IF(ISNUMBER(F1275),E1275*F1275,"")</f>
        <v>2.3939999999999997</v>
      </c>
      <c r="H1275" s="35"/>
      <c r="I1275" s="31"/>
      <c r="J1275" s="155">
        <v>0</v>
      </c>
    </row>
    <row r="1276" spans="1:10" ht="15.75" hidden="1" thickBot="1" x14ac:dyDescent="0.3">
      <c r="A1276" s="200"/>
      <c r="B1276" s="202"/>
      <c r="C1276" s="36" t="s">
        <v>22</v>
      </c>
      <c r="D1276" s="36" t="s">
        <v>12</v>
      </c>
      <c r="E1276" s="37">
        <v>1</v>
      </c>
      <c r="F1276" s="31">
        <v>22.704999999999998</v>
      </c>
      <c r="G1276" s="34">
        <f>IF(ISNUMBER(F1276),E1276*F1276,"")</f>
        <v>22.704999999999998</v>
      </c>
      <c r="H1276" s="35"/>
      <c r="I1276" s="31"/>
      <c r="J1276" s="155">
        <v>0</v>
      </c>
    </row>
    <row r="1277" spans="1:10" ht="15.75" hidden="1" thickBot="1" x14ac:dyDescent="0.3">
      <c r="A1277" s="200"/>
      <c r="B1277" s="202"/>
      <c r="C1277" s="36" t="s">
        <v>23</v>
      </c>
      <c r="D1277" s="36" t="s">
        <v>12</v>
      </c>
      <c r="E1277" s="37">
        <v>1</v>
      </c>
      <c r="F1277" s="31">
        <v>16.729499999999998</v>
      </c>
      <c r="G1277" s="34">
        <f>IF(ISNUMBER(F1277),E1277*F1277,"")</f>
        <v>16.729499999999998</v>
      </c>
      <c r="H1277" s="35"/>
      <c r="I1277" s="31"/>
      <c r="J1277" s="155">
        <v>0</v>
      </c>
    </row>
    <row r="1278" spans="1:10" ht="15.75" hidden="1" thickBot="1" x14ac:dyDescent="0.3">
      <c r="A1278" s="201"/>
      <c r="B1278" s="188"/>
      <c r="C1278" s="36"/>
      <c r="D1278" s="36"/>
      <c r="E1278" s="37"/>
      <c r="F1278" s="31" t="s">
        <v>558</v>
      </c>
      <c r="G1278" s="31" t="str">
        <f>IF(ISNUMBER(F1278),E1278*F1278,"")</f>
        <v/>
      </c>
      <c r="H1278" s="35"/>
      <c r="I1278" s="31"/>
      <c r="J1278" s="155">
        <v>0</v>
      </c>
    </row>
    <row r="1279" spans="1:10" ht="15.75" hidden="1" thickBot="1" x14ac:dyDescent="0.3">
      <c r="A1279" s="180" t="s">
        <v>426</v>
      </c>
      <c r="B1279" s="186" t="str">
        <f>INDEX(Orçamentária!A:B,MATCH(Composições!A1279,Orçamentária!A:A,0),2)</f>
        <v>Barra de apoio 70cm – Linha Acessibilidade</v>
      </c>
      <c r="C1279" s="41"/>
      <c r="D1279" s="26" t="str">
        <f>TRIM(INDEX(Orçamentária!C:C,MATCH(Composições!A1279,Orçamentária!A:A,0),1))</f>
        <v>un</v>
      </c>
      <c r="E1279" s="27"/>
      <c r="F1279" s="42" t="s">
        <v>558</v>
      </c>
      <c r="G1279" s="28" t="str">
        <f>IF(ISNUMBER(F1279),E1279*F1279,"")</f>
        <v/>
      </c>
      <c r="H1279" s="29"/>
      <c r="I1279" s="30"/>
      <c r="J1279" s="155">
        <v>0</v>
      </c>
    </row>
    <row r="1280" spans="1:10" ht="15.75" hidden="1" thickBot="1" x14ac:dyDescent="0.3">
      <c r="A1280" s="200"/>
      <c r="B1280" s="202"/>
      <c r="C1280" s="32"/>
      <c r="D1280" s="32"/>
      <c r="E1280" s="33"/>
      <c r="F1280" s="43" t="s">
        <v>558</v>
      </c>
      <c r="G1280" s="31" t="str">
        <f>IF(ISNUMBER(F1280),E1280*F1280,"")</f>
        <v/>
      </c>
      <c r="H1280" s="35"/>
      <c r="I1280" s="31"/>
      <c r="J1280" s="155">
        <v>0</v>
      </c>
    </row>
    <row r="1281" spans="1:10" ht="26.25" hidden="1" thickBot="1" x14ac:dyDescent="0.3">
      <c r="A1281" s="200"/>
      <c r="B1281" s="202"/>
      <c r="C1281" s="36" t="s">
        <v>427</v>
      </c>
      <c r="D1281" s="47" t="s">
        <v>147</v>
      </c>
      <c r="E1281" s="37">
        <v>1</v>
      </c>
      <c r="F1281" s="34" t="s">
        <v>558</v>
      </c>
      <c r="G1281" s="34" t="str">
        <f>IF(ISNUMBER(F1281),E1281*F1281,"")</f>
        <v/>
      </c>
      <c r="H1281" s="39">
        <f>SUM(G1281:G1284)</f>
        <v>41.828499999999991</v>
      </c>
      <c r="I1281" s="40"/>
      <c r="J1281" s="155">
        <v>0</v>
      </c>
    </row>
    <row r="1282" spans="1:10" ht="26.25" hidden="1" thickBot="1" x14ac:dyDescent="0.3">
      <c r="A1282" s="200"/>
      <c r="B1282" s="202"/>
      <c r="C1282" s="36" t="s">
        <v>425</v>
      </c>
      <c r="D1282" s="47" t="s">
        <v>292</v>
      </c>
      <c r="E1282" s="37">
        <v>6</v>
      </c>
      <c r="F1282" s="34">
        <v>0.39899999999999997</v>
      </c>
      <c r="G1282" s="34">
        <f>IF(ISNUMBER(F1282),E1282*F1282,"")</f>
        <v>2.3939999999999997</v>
      </c>
      <c r="H1282" s="35"/>
      <c r="I1282" s="31"/>
      <c r="J1282" s="155">
        <v>0</v>
      </c>
    </row>
    <row r="1283" spans="1:10" ht="15.75" hidden="1" thickBot="1" x14ac:dyDescent="0.3">
      <c r="A1283" s="200"/>
      <c r="B1283" s="202"/>
      <c r="C1283" s="36" t="s">
        <v>22</v>
      </c>
      <c r="D1283" s="36" t="s">
        <v>12</v>
      </c>
      <c r="E1283" s="37">
        <v>1</v>
      </c>
      <c r="F1283" s="31">
        <v>22.704999999999998</v>
      </c>
      <c r="G1283" s="34">
        <f>IF(ISNUMBER(F1283),E1283*F1283,"")</f>
        <v>22.704999999999998</v>
      </c>
      <c r="H1283" s="35"/>
      <c r="I1283" s="31"/>
      <c r="J1283" s="155">
        <v>0</v>
      </c>
    </row>
    <row r="1284" spans="1:10" ht="15.75" hidden="1" thickBot="1" x14ac:dyDescent="0.3">
      <c r="A1284" s="200"/>
      <c r="B1284" s="202"/>
      <c r="C1284" s="36" t="s">
        <v>23</v>
      </c>
      <c r="D1284" s="36" t="s">
        <v>12</v>
      </c>
      <c r="E1284" s="37">
        <v>1</v>
      </c>
      <c r="F1284" s="31">
        <v>16.729499999999998</v>
      </c>
      <c r="G1284" s="34">
        <f>IF(ISNUMBER(F1284),E1284*F1284,"")</f>
        <v>16.729499999999998</v>
      </c>
      <c r="H1284" s="35"/>
      <c r="I1284" s="31"/>
      <c r="J1284" s="155">
        <v>0</v>
      </c>
    </row>
    <row r="1285" spans="1:10" ht="15.75" hidden="1" thickBot="1" x14ac:dyDescent="0.3">
      <c r="A1285" s="201"/>
      <c r="B1285" s="188"/>
      <c r="C1285" s="36"/>
      <c r="D1285" s="36"/>
      <c r="E1285" s="37"/>
      <c r="F1285" s="31" t="s">
        <v>558</v>
      </c>
      <c r="G1285" s="31" t="str">
        <f>IF(ISNUMBER(F1285),E1285*F1285,"")</f>
        <v/>
      </c>
      <c r="H1285" s="35"/>
      <c r="I1285" s="31"/>
      <c r="J1285" s="155">
        <v>0</v>
      </c>
    </row>
    <row r="1286" spans="1:10" ht="15.75" hidden="1" thickBot="1" x14ac:dyDescent="0.3">
      <c r="A1286" s="180" t="s">
        <v>428</v>
      </c>
      <c r="B1286" s="186" t="str">
        <f>INDEX(Orçamentária!A:B,MATCH(Composições!A1286,Orçamentária!A:A,0),2)</f>
        <v>Barra de apoio 80cm – Linha Acessibilidade</v>
      </c>
      <c r="C1286" s="41"/>
      <c r="D1286" s="26" t="str">
        <f>TRIM(INDEX(Orçamentária!C:C,MATCH(Composições!A1286,Orçamentária!A:A,0),1))</f>
        <v>un</v>
      </c>
      <c r="E1286" s="27"/>
      <c r="F1286" s="42" t="s">
        <v>558</v>
      </c>
      <c r="G1286" s="28" t="str">
        <f>IF(ISNUMBER(F1286),E1286*F1286,"")</f>
        <v/>
      </c>
      <c r="H1286" s="29"/>
      <c r="I1286" s="30"/>
      <c r="J1286" s="155">
        <v>0</v>
      </c>
    </row>
    <row r="1287" spans="1:10" ht="15.75" hidden="1" thickBot="1" x14ac:dyDescent="0.3">
      <c r="A1287" s="200"/>
      <c r="B1287" s="202"/>
      <c r="C1287" s="32"/>
      <c r="D1287" s="32"/>
      <c r="E1287" s="33"/>
      <c r="F1287" s="43" t="s">
        <v>558</v>
      </c>
      <c r="G1287" s="31" t="str">
        <f>IF(ISNUMBER(F1287),E1287*F1287,"")</f>
        <v/>
      </c>
      <c r="H1287" s="35"/>
      <c r="I1287" s="31"/>
      <c r="J1287" s="155">
        <v>0</v>
      </c>
    </row>
    <row r="1288" spans="1:10" ht="26.25" hidden="1" thickBot="1" x14ac:dyDescent="0.3">
      <c r="A1288" s="200"/>
      <c r="B1288" s="202"/>
      <c r="C1288" s="36" t="s">
        <v>429</v>
      </c>
      <c r="D1288" s="47" t="s">
        <v>147</v>
      </c>
      <c r="E1288" s="37">
        <v>1</v>
      </c>
      <c r="F1288" s="34" t="s">
        <v>558</v>
      </c>
      <c r="G1288" s="34" t="str">
        <f>IF(ISNUMBER(F1288),E1288*F1288,"")</f>
        <v/>
      </c>
      <c r="H1288" s="39">
        <f>SUM(G1288:G1291)</f>
        <v>41.828499999999991</v>
      </c>
      <c r="I1288" s="40"/>
      <c r="J1288" s="155">
        <v>0</v>
      </c>
    </row>
    <row r="1289" spans="1:10" ht="26.25" hidden="1" thickBot="1" x14ac:dyDescent="0.3">
      <c r="A1289" s="200"/>
      <c r="B1289" s="202"/>
      <c r="C1289" s="36" t="s">
        <v>425</v>
      </c>
      <c r="D1289" s="47" t="s">
        <v>292</v>
      </c>
      <c r="E1289" s="37">
        <v>6</v>
      </c>
      <c r="F1289" s="34">
        <v>0.39899999999999997</v>
      </c>
      <c r="G1289" s="34">
        <f>IF(ISNUMBER(F1289),E1289*F1289,"")</f>
        <v>2.3939999999999997</v>
      </c>
      <c r="H1289" s="35"/>
      <c r="I1289" s="31"/>
      <c r="J1289" s="155">
        <v>0</v>
      </c>
    </row>
    <row r="1290" spans="1:10" ht="15.75" hidden="1" thickBot="1" x14ac:dyDescent="0.3">
      <c r="A1290" s="200"/>
      <c r="B1290" s="202"/>
      <c r="C1290" s="36" t="s">
        <v>22</v>
      </c>
      <c r="D1290" s="36" t="s">
        <v>12</v>
      </c>
      <c r="E1290" s="37">
        <v>1</v>
      </c>
      <c r="F1290" s="31">
        <v>22.704999999999998</v>
      </c>
      <c r="G1290" s="34">
        <f>IF(ISNUMBER(F1290),E1290*F1290,"")</f>
        <v>22.704999999999998</v>
      </c>
      <c r="H1290" s="35"/>
      <c r="I1290" s="31"/>
      <c r="J1290" s="155">
        <v>0</v>
      </c>
    </row>
    <row r="1291" spans="1:10" ht="15.75" hidden="1" thickBot="1" x14ac:dyDescent="0.3">
      <c r="A1291" s="200"/>
      <c r="B1291" s="202"/>
      <c r="C1291" s="36" t="s">
        <v>23</v>
      </c>
      <c r="D1291" s="36" t="s">
        <v>12</v>
      </c>
      <c r="E1291" s="37">
        <v>1</v>
      </c>
      <c r="F1291" s="31">
        <v>16.729499999999998</v>
      </c>
      <c r="G1291" s="34">
        <f>IF(ISNUMBER(F1291),E1291*F1291,"")</f>
        <v>16.729499999999998</v>
      </c>
      <c r="H1291" s="35"/>
      <c r="I1291" s="31"/>
      <c r="J1291" s="155">
        <v>0</v>
      </c>
    </row>
    <row r="1292" spans="1:10" ht="15.75" hidden="1" thickBot="1" x14ac:dyDescent="0.3">
      <c r="A1292" s="201"/>
      <c r="B1292" s="188"/>
      <c r="C1292" s="36"/>
      <c r="D1292" s="36"/>
      <c r="E1292" s="37"/>
      <c r="F1292" s="31" t="s">
        <v>558</v>
      </c>
      <c r="G1292" s="31" t="str">
        <f>IF(ISNUMBER(F1292),E1292*F1292,"")</f>
        <v/>
      </c>
      <c r="H1292" s="35"/>
      <c r="I1292" s="31"/>
      <c r="J1292" s="155">
        <v>0</v>
      </c>
    </row>
    <row r="1293" spans="1:10" ht="15.75" hidden="1" thickBot="1" x14ac:dyDescent="0.3">
      <c r="A1293" s="180" t="s">
        <v>430</v>
      </c>
      <c r="B1293" s="186" t="str">
        <f>INDEX(Orçamentária!A:B,MATCH(Composições!A1293,Orçamentária!A:A,0),2)</f>
        <v>Barra de apoio lateral fixa 30cm – Linha Acessibilidade</v>
      </c>
      <c r="C1293" s="41"/>
      <c r="D1293" s="26" t="str">
        <f>TRIM(INDEX(Orçamentária!C:C,MATCH(Composições!A1293,Orçamentária!A:A,0),1))</f>
        <v>un</v>
      </c>
      <c r="E1293" s="27"/>
      <c r="F1293" s="42" t="s">
        <v>558</v>
      </c>
      <c r="G1293" s="28" t="str">
        <f>IF(ISNUMBER(F1293),E1293*F1293,"")</f>
        <v/>
      </c>
      <c r="H1293" s="29"/>
      <c r="I1293" s="30"/>
      <c r="J1293" s="155">
        <v>0</v>
      </c>
    </row>
    <row r="1294" spans="1:10" ht="15.75" hidden="1" thickBot="1" x14ac:dyDescent="0.3">
      <c r="A1294" s="200"/>
      <c r="B1294" s="202"/>
      <c r="C1294" s="32"/>
      <c r="D1294" s="32"/>
      <c r="E1294" s="33"/>
      <c r="F1294" s="43" t="s">
        <v>558</v>
      </c>
      <c r="G1294" s="31" t="str">
        <f>IF(ISNUMBER(F1294),E1294*F1294,"")</f>
        <v/>
      </c>
      <c r="H1294" s="35"/>
      <c r="I1294" s="31"/>
      <c r="J1294" s="155">
        <v>0</v>
      </c>
    </row>
    <row r="1295" spans="1:10" ht="15.75" hidden="1" thickBot="1" x14ac:dyDescent="0.3">
      <c r="A1295" s="200"/>
      <c r="B1295" s="202"/>
      <c r="C1295" s="36" t="s">
        <v>22</v>
      </c>
      <c r="D1295" s="36" t="s">
        <v>12</v>
      </c>
      <c r="E1295" s="37">
        <v>1</v>
      </c>
      <c r="F1295" s="31">
        <v>22.704999999999998</v>
      </c>
      <c r="G1295" s="34">
        <f>IF(ISNUMBER(F1295),E1295*F1295,"")</f>
        <v>22.704999999999998</v>
      </c>
      <c r="H1295" s="39">
        <f>SUM(G1295:G1298)</f>
        <v>41.828499999999998</v>
      </c>
      <c r="I1295" s="40"/>
      <c r="J1295" s="155">
        <v>0</v>
      </c>
    </row>
    <row r="1296" spans="1:10" ht="15.75" hidden="1" thickBot="1" x14ac:dyDescent="0.3">
      <c r="A1296" s="200"/>
      <c r="B1296" s="202"/>
      <c r="C1296" s="36" t="s">
        <v>23</v>
      </c>
      <c r="D1296" s="36" t="s">
        <v>12</v>
      </c>
      <c r="E1296" s="37">
        <v>1</v>
      </c>
      <c r="F1296" s="31">
        <v>16.729499999999998</v>
      </c>
      <c r="G1296" s="34">
        <f>IF(ISNUMBER(F1296),E1296*F1296,"")</f>
        <v>16.729499999999998</v>
      </c>
      <c r="H1296" s="35"/>
      <c r="I1296" s="31"/>
      <c r="J1296" s="155">
        <v>0</v>
      </c>
    </row>
    <row r="1297" spans="1:10" ht="26.25" hidden="1" thickBot="1" x14ac:dyDescent="0.3">
      <c r="A1297" s="200"/>
      <c r="B1297" s="202"/>
      <c r="C1297" s="36" t="s">
        <v>431</v>
      </c>
      <c r="D1297" s="36" t="s">
        <v>20</v>
      </c>
      <c r="E1297" s="37">
        <v>1</v>
      </c>
      <c r="F1297" s="34" t="s">
        <v>558</v>
      </c>
      <c r="G1297" s="31" t="str">
        <f>IF(ISNUMBER(F1297),E1297*F1297,"")</f>
        <v/>
      </c>
      <c r="H1297" s="35"/>
      <c r="I1297" s="31"/>
      <c r="J1297" s="155">
        <v>0</v>
      </c>
    </row>
    <row r="1298" spans="1:10" ht="26.25" hidden="1" thickBot="1" x14ac:dyDescent="0.3">
      <c r="A1298" s="200"/>
      <c r="B1298" s="202"/>
      <c r="C1298" s="36" t="s">
        <v>425</v>
      </c>
      <c r="D1298" s="47" t="s">
        <v>292</v>
      </c>
      <c r="E1298" s="37">
        <v>6</v>
      </c>
      <c r="F1298" s="34">
        <v>0.39899999999999997</v>
      </c>
      <c r="G1298" s="34">
        <f>IF(ISNUMBER(F1298),E1298*F1298,"")</f>
        <v>2.3939999999999997</v>
      </c>
      <c r="H1298" s="35"/>
      <c r="I1298" s="31"/>
      <c r="J1298" s="155">
        <v>0</v>
      </c>
    </row>
    <row r="1299" spans="1:10" ht="15.75" hidden="1" thickBot="1" x14ac:dyDescent="0.3">
      <c r="A1299" s="201"/>
      <c r="B1299" s="188"/>
      <c r="C1299" s="36"/>
      <c r="D1299" s="36"/>
      <c r="E1299" s="37"/>
      <c r="F1299" s="31" t="s">
        <v>558</v>
      </c>
      <c r="G1299" s="31" t="str">
        <f>IF(ISNUMBER(F1299),E1299*F1299,"")</f>
        <v/>
      </c>
      <c r="H1299" s="35"/>
      <c r="I1299" s="31"/>
      <c r="J1299" s="155">
        <v>0</v>
      </c>
    </row>
    <row r="1300" spans="1:10" ht="15.75" hidden="1" thickBot="1" x14ac:dyDescent="0.3">
      <c r="A1300" s="180" t="s">
        <v>432</v>
      </c>
      <c r="B1300" s="186" t="str">
        <f>INDEX(Orçamentária!A:B,MATCH(Composições!A1300,Orçamentária!A:A,0),2)</f>
        <v>Lavatório suspenso – Linha Acessibilidade</v>
      </c>
      <c r="C1300" s="41"/>
      <c r="D1300" s="26" t="str">
        <f>TRIM(INDEX(Orçamentária!C:C,MATCH(Composições!A1300,Orçamentária!A:A,0),1))</f>
        <v>un</v>
      </c>
      <c r="E1300" s="27"/>
      <c r="F1300" s="42" t="s">
        <v>558</v>
      </c>
      <c r="G1300" s="28" t="str">
        <f>IF(ISNUMBER(F1300),E1300*F1300,"")</f>
        <v/>
      </c>
      <c r="H1300" s="29"/>
      <c r="I1300" s="30"/>
      <c r="J1300" s="155">
        <v>0</v>
      </c>
    </row>
    <row r="1301" spans="1:10" ht="15.75" hidden="1" thickBot="1" x14ac:dyDescent="0.3">
      <c r="A1301" s="200"/>
      <c r="B1301" s="202"/>
      <c r="C1301" s="32"/>
      <c r="D1301" s="32"/>
      <c r="E1301" s="33"/>
      <c r="F1301" s="43" t="s">
        <v>558</v>
      </c>
      <c r="G1301" s="31" t="str">
        <f>IF(ISNUMBER(F1301),E1301*F1301,"")</f>
        <v/>
      </c>
      <c r="H1301" s="35"/>
      <c r="I1301" s="31"/>
      <c r="J1301" s="155">
        <v>0</v>
      </c>
    </row>
    <row r="1302" spans="1:10" ht="26.25" hidden="1" thickBot="1" x14ac:dyDescent="0.3">
      <c r="A1302" s="200"/>
      <c r="B1302" s="202"/>
      <c r="C1302" s="36" t="s">
        <v>433</v>
      </c>
      <c r="D1302" s="47" t="s">
        <v>147</v>
      </c>
      <c r="E1302" s="37">
        <v>1</v>
      </c>
      <c r="F1302" s="34" t="s">
        <v>558</v>
      </c>
      <c r="G1302" s="34" t="str">
        <f>IF(ISNUMBER(F1302),E1302*F1302,"")</f>
        <v/>
      </c>
      <c r="H1302" s="39">
        <f>SUM(G1302:G1306)</f>
        <v>34.2880422</v>
      </c>
      <c r="I1302" s="40"/>
      <c r="J1302" s="155">
        <v>0</v>
      </c>
    </row>
    <row r="1303" spans="1:10" ht="26.25" hidden="1" thickBot="1" x14ac:dyDescent="0.3">
      <c r="A1303" s="200"/>
      <c r="B1303" s="202"/>
      <c r="C1303" s="36" t="s">
        <v>364</v>
      </c>
      <c r="D1303" s="47" t="s">
        <v>292</v>
      </c>
      <c r="E1303" s="37">
        <v>2</v>
      </c>
      <c r="F1303" s="34">
        <v>10.459499999999998</v>
      </c>
      <c r="G1303" s="34">
        <f>IF(ISNUMBER(F1303),E1303*F1303,"")</f>
        <v>20.918999999999997</v>
      </c>
      <c r="H1303" s="35"/>
      <c r="I1303" s="31"/>
      <c r="J1303" s="155">
        <v>0</v>
      </c>
    </row>
    <row r="1304" spans="1:10" ht="15.75" hidden="1" thickBot="1" x14ac:dyDescent="0.3">
      <c r="A1304" s="200"/>
      <c r="B1304" s="202"/>
      <c r="C1304" s="36" t="s">
        <v>3621</v>
      </c>
      <c r="D1304" s="47" t="s">
        <v>42</v>
      </c>
      <c r="E1304" s="37">
        <v>3.04E-2</v>
      </c>
      <c r="F1304" s="34">
        <v>52.8675</v>
      </c>
      <c r="G1304" s="34">
        <f>IF(ISNUMBER(F1304),E1304*F1304,"")</f>
        <v>1.607172</v>
      </c>
      <c r="H1304" s="35"/>
      <c r="I1304" s="31"/>
      <c r="J1304" s="155">
        <v>0</v>
      </c>
    </row>
    <row r="1305" spans="1:10" ht="15.75" hidden="1" thickBot="1" x14ac:dyDescent="0.3">
      <c r="A1305" s="200"/>
      <c r="B1305" s="202"/>
      <c r="C1305" s="36" t="s">
        <v>39</v>
      </c>
      <c r="D1305" s="47" t="s">
        <v>12</v>
      </c>
      <c r="E1305" s="37">
        <v>0.38700000000000001</v>
      </c>
      <c r="F1305" s="31">
        <v>22.2395</v>
      </c>
      <c r="G1305" s="34">
        <f>IF(ISNUMBER(F1305),E1305*F1305,"")</f>
        <v>8.6066865000000004</v>
      </c>
      <c r="H1305" s="35"/>
      <c r="I1305" s="31"/>
      <c r="J1305" s="155">
        <v>0</v>
      </c>
    </row>
    <row r="1306" spans="1:10" ht="15.75" hidden="1" thickBot="1" x14ac:dyDescent="0.3">
      <c r="A1306" s="200"/>
      <c r="B1306" s="202"/>
      <c r="C1306" s="36" t="s">
        <v>23</v>
      </c>
      <c r="D1306" s="47" t="s">
        <v>12</v>
      </c>
      <c r="E1306" s="37">
        <v>0.18859999999999999</v>
      </c>
      <c r="F1306" s="31">
        <v>16.729499999999998</v>
      </c>
      <c r="G1306" s="34">
        <f>IF(ISNUMBER(F1306),E1306*F1306,"")</f>
        <v>3.1551836999999994</v>
      </c>
      <c r="H1306" s="35"/>
      <c r="I1306" s="31"/>
      <c r="J1306" s="155">
        <v>0</v>
      </c>
    </row>
    <row r="1307" spans="1:10" ht="15.75" hidden="1" thickBot="1" x14ac:dyDescent="0.3">
      <c r="A1307" s="201"/>
      <c r="B1307" s="188"/>
      <c r="C1307" s="36"/>
      <c r="D1307" s="36"/>
      <c r="E1307" s="37"/>
      <c r="F1307" s="31" t="s">
        <v>558</v>
      </c>
      <c r="G1307" s="31" t="str">
        <f>IF(ISNUMBER(F1307),E1307*F1307,"")</f>
        <v/>
      </c>
      <c r="H1307" s="35"/>
      <c r="I1307" s="31"/>
      <c r="J1307" s="155">
        <v>0</v>
      </c>
    </row>
    <row r="1308" spans="1:10" ht="15.75" hidden="1" thickBot="1" x14ac:dyDescent="0.3">
      <c r="A1308" s="180" t="s">
        <v>434</v>
      </c>
      <c r="B1308" s="186" t="str">
        <f>INDEX(Orçamentária!A:B,MATCH(Composições!A1308,Orçamentária!A:A,0),2)</f>
        <v>Lavatório suspenso com Coluna – Linha Acessibilidade</v>
      </c>
      <c r="C1308" s="41"/>
      <c r="D1308" s="26" t="str">
        <f>TRIM(INDEX(Orçamentária!C:C,MATCH(Composições!A1308,Orçamentária!A:A,0),1))</f>
        <v>un</v>
      </c>
      <c r="E1308" s="27"/>
      <c r="F1308" s="42" t="s">
        <v>558</v>
      </c>
      <c r="G1308" s="28" t="str">
        <f>IF(ISNUMBER(F1308),E1308*F1308,"")</f>
        <v/>
      </c>
      <c r="H1308" s="29"/>
      <c r="I1308" s="30"/>
      <c r="J1308" s="155">
        <v>0</v>
      </c>
    </row>
    <row r="1309" spans="1:10" ht="15.75" hidden="1" thickBot="1" x14ac:dyDescent="0.3">
      <c r="A1309" s="200"/>
      <c r="B1309" s="202"/>
      <c r="C1309" s="32"/>
      <c r="D1309" s="32"/>
      <c r="E1309" s="33"/>
      <c r="F1309" s="43" t="s">
        <v>558</v>
      </c>
      <c r="G1309" s="31" t="str">
        <f>IF(ISNUMBER(F1309),E1309*F1309,"")</f>
        <v/>
      </c>
      <c r="H1309" s="35"/>
      <c r="I1309" s="31"/>
      <c r="J1309" s="155">
        <v>0</v>
      </c>
    </row>
    <row r="1310" spans="1:10" ht="15.75" hidden="1" thickBot="1" x14ac:dyDescent="0.3">
      <c r="A1310" s="200"/>
      <c r="B1310" s="202"/>
      <c r="C1310" s="36" t="s">
        <v>39</v>
      </c>
      <c r="D1310" s="47" t="s">
        <v>12</v>
      </c>
      <c r="E1310" s="37">
        <v>1.4666999999999999</v>
      </c>
      <c r="F1310" s="31">
        <v>22.2395</v>
      </c>
      <c r="G1310" s="34">
        <f>IF(ISNUMBER(F1310),E1310*F1310,"")</f>
        <v>32.618674649999996</v>
      </c>
      <c r="H1310" s="39">
        <f>SUM(G1310:G1315)</f>
        <v>110.85661529999999</v>
      </c>
      <c r="I1310" s="40"/>
      <c r="J1310" s="155">
        <v>0</v>
      </c>
    </row>
    <row r="1311" spans="1:10" ht="15.75" hidden="1" thickBot="1" x14ac:dyDescent="0.3">
      <c r="A1311" s="200"/>
      <c r="B1311" s="202"/>
      <c r="C1311" s="36" t="s">
        <v>23</v>
      </c>
      <c r="D1311" s="47" t="s">
        <v>12</v>
      </c>
      <c r="E1311" s="37">
        <v>0.65169999999999995</v>
      </c>
      <c r="F1311" s="31">
        <v>16.729499999999998</v>
      </c>
      <c r="G1311" s="34">
        <f>IF(ISNUMBER(F1311),E1311*F1311,"")</f>
        <v>10.902615149999997</v>
      </c>
      <c r="H1311" s="35"/>
      <c r="I1311" s="31"/>
      <c r="J1311" s="155">
        <v>0</v>
      </c>
    </row>
    <row r="1312" spans="1:10" ht="26.25" hidden="1" thickBot="1" x14ac:dyDescent="0.3">
      <c r="A1312" s="200"/>
      <c r="B1312" s="202"/>
      <c r="C1312" s="36" t="s">
        <v>433</v>
      </c>
      <c r="D1312" s="47" t="s">
        <v>147</v>
      </c>
      <c r="E1312" s="37">
        <v>1</v>
      </c>
      <c r="F1312" s="34" t="s">
        <v>558</v>
      </c>
      <c r="G1312" s="34" t="str">
        <f>IF(ISNUMBER(F1312),E1312*F1312,"")</f>
        <v/>
      </c>
      <c r="H1312" s="35"/>
      <c r="I1312" s="31"/>
      <c r="J1312" s="155">
        <v>0</v>
      </c>
    </row>
    <row r="1313" spans="1:10" ht="26.25" hidden="1" thickBot="1" x14ac:dyDescent="0.3">
      <c r="A1313" s="200"/>
      <c r="B1313" s="202"/>
      <c r="C1313" s="36" t="s">
        <v>364</v>
      </c>
      <c r="D1313" s="47" t="s">
        <v>292</v>
      </c>
      <c r="E1313" s="37">
        <v>6</v>
      </c>
      <c r="F1313" s="34">
        <v>10.459499999999998</v>
      </c>
      <c r="G1313" s="34">
        <f>IF(ISNUMBER(F1313),E1313*F1313,"")</f>
        <v>62.756999999999991</v>
      </c>
      <c r="H1313" s="35"/>
      <c r="I1313" s="31"/>
      <c r="J1313" s="155">
        <v>0</v>
      </c>
    </row>
    <row r="1314" spans="1:10" ht="15.75" hidden="1" thickBot="1" x14ac:dyDescent="0.3">
      <c r="A1314" s="200"/>
      <c r="B1314" s="202"/>
      <c r="C1314" s="36" t="s">
        <v>3621</v>
      </c>
      <c r="D1314" s="47" t="s">
        <v>42</v>
      </c>
      <c r="E1314" s="37">
        <v>8.6599999999999996E-2</v>
      </c>
      <c r="F1314" s="34">
        <v>52.8675</v>
      </c>
      <c r="G1314" s="34">
        <f>IF(ISNUMBER(F1314),E1314*F1314,"")</f>
        <v>4.5783255</v>
      </c>
      <c r="H1314" s="35"/>
      <c r="I1314" s="31"/>
      <c r="J1314" s="155">
        <v>0</v>
      </c>
    </row>
    <row r="1315" spans="1:10" ht="26.25" hidden="1" thickBot="1" x14ac:dyDescent="0.3">
      <c r="A1315" s="200"/>
      <c r="B1315" s="202"/>
      <c r="C1315" s="36" t="s">
        <v>435</v>
      </c>
      <c r="D1315" s="36" t="s">
        <v>20</v>
      </c>
      <c r="E1315" s="37">
        <v>1</v>
      </c>
      <c r="F1315" s="34" t="s">
        <v>558</v>
      </c>
      <c r="G1315" s="31" t="str">
        <f>IF(ISNUMBER(F1315),E1315*F1315,"")</f>
        <v/>
      </c>
      <c r="H1315" s="35"/>
      <c r="I1315" s="31"/>
      <c r="J1315" s="155">
        <v>0</v>
      </c>
    </row>
    <row r="1316" spans="1:10" ht="15.75" hidden="1" thickBot="1" x14ac:dyDescent="0.3">
      <c r="A1316" s="200"/>
      <c r="B1316" s="202"/>
      <c r="C1316" s="36"/>
      <c r="D1316" s="36"/>
      <c r="E1316" s="37"/>
      <c r="F1316" s="34" t="s">
        <v>558</v>
      </c>
      <c r="G1316" s="31" t="str">
        <f>IF(ISNUMBER(F1316),E1316*F1316,"")</f>
        <v/>
      </c>
      <c r="H1316" s="35"/>
      <c r="I1316" s="31"/>
      <c r="J1316" s="155">
        <v>0</v>
      </c>
    </row>
    <row r="1317" spans="1:10" ht="15.75" hidden="1" thickBot="1" x14ac:dyDescent="0.3">
      <c r="A1317" s="180" t="s">
        <v>436</v>
      </c>
      <c r="B1317" s="186" t="str">
        <f>INDEX(Orçamentária!A:B,MATCH(Composições!A1317,Orçamentária!A:A,0),2)</f>
        <v>Cabide</v>
      </c>
      <c r="C1317" s="41"/>
      <c r="D1317" s="26" t="str">
        <f>TRIM(INDEX(Orçamentária!C:C,MATCH(Composições!A1317,Orçamentária!A:A,0),1))</f>
        <v>un</v>
      </c>
      <c r="E1317" s="27"/>
      <c r="F1317" s="42" t="s">
        <v>558</v>
      </c>
      <c r="G1317" s="28" t="str">
        <f>IF(ISNUMBER(F1317),E1317*F1317,"")</f>
        <v/>
      </c>
      <c r="H1317" s="29"/>
      <c r="I1317" s="30"/>
      <c r="J1317" s="155">
        <v>0</v>
      </c>
    </row>
    <row r="1318" spans="1:10" ht="15.75" hidden="1" thickBot="1" x14ac:dyDescent="0.3">
      <c r="A1318" s="200"/>
      <c r="B1318" s="202"/>
      <c r="C1318" s="32"/>
      <c r="D1318" s="32"/>
      <c r="E1318" s="33"/>
      <c r="F1318" s="43" t="s">
        <v>558</v>
      </c>
      <c r="G1318" s="31" t="str">
        <f>IF(ISNUMBER(F1318),E1318*F1318,"")</f>
        <v/>
      </c>
      <c r="H1318" s="35"/>
      <c r="I1318" s="31"/>
      <c r="J1318" s="155">
        <v>0</v>
      </c>
    </row>
    <row r="1319" spans="1:10" ht="15.75" hidden="1" thickBot="1" x14ac:dyDescent="0.3">
      <c r="A1319" s="200"/>
      <c r="B1319" s="202"/>
      <c r="C1319" s="36" t="s">
        <v>437</v>
      </c>
      <c r="D1319" s="47" t="s">
        <v>147</v>
      </c>
      <c r="E1319" s="37">
        <v>1</v>
      </c>
      <c r="F1319" s="34" t="s">
        <v>558</v>
      </c>
      <c r="G1319" s="34" t="str">
        <f>IF(ISNUMBER(F1319),E1319*F1319,"")</f>
        <v/>
      </c>
      <c r="H1319" s="39">
        <f>SUM(G1319:G1320)</f>
        <v>3.9981528999999996</v>
      </c>
      <c r="I1319" s="40"/>
      <c r="J1319" s="155">
        <v>0</v>
      </c>
    </row>
    <row r="1320" spans="1:10" ht="26.25" hidden="1" thickBot="1" x14ac:dyDescent="0.3">
      <c r="A1320" s="200"/>
      <c r="B1320" s="202"/>
      <c r="C1320" s="36" t="s">
        <v>438</v>
      </c>
      <c r="D1320" s="47" t="s">
        <v>292</v>
      </c>
      <c r="E1320" s="37">
        <v>1</v>
      </c>
      <c r="F1320" s="34">
        <v>3.9981528999999996</v>
      </c>
      <c r="G1320" s="34">
        <f>IF(ISNUMBER(F1320),E1320*F1320,"")</f>
        <v>3.9981528999999996</v>
      </c>
      <c r="H1320" s="35"/>
      <c r="I1320" s="31"/>
      <c r="J1320" s="155">
        <v>0</v>
      </c>
    </row>
    <row r="1321" spans="1:10" ht="15.75" hidden="1" thickBot="1" x14ac:dyDescent="0.3">
      <c r="A1321" s="201"/>
      <c r="B1321" s="188"/>
      <c r="C1321" s="36"/>
      <c r="D1321" s="36"/>
      <c r="E1321" s="37"/>
      <c r="F1321" s="31" t="s">
        <v>558</v>
      </c>
      <c r="G1321" s="31" t="str">
        <f>IF(ISNUMBER(F1321),E1321*F1321,"")</f>
        <v/>
      </c>
      <c r="H1321" s="35"/>
      <c r="I1321" s="31"/>
      <c r="J1321" s="155">
        <v>0</v>
      </c>
    </row>
    <row r="1322" spans="1:10" ht="15.75" hidden="1" thickBot="1" x14ac:dyDescent="0.3">
      <c r="A1322" s="180" t="s">
        <v>439</v>
      </c>
      <c r="B1322" s="186" t="str">
        <f>INDEX(Orçamentária!A:B,MATCH(Composições!A1322,Orçamentária!A:A,0),2)</f>
        <v>Papeleira</v>
      </c>
      <c r="C1322" s="41"/>
      <c r="D1322" s="26" t="str">
        <f>TRIM(INDEX(Orçamentária!C:C,MATCH(Composições!A1322,Orçamentária!A:A,0),1))</f>
        <v>un</v>
      </c>
      <c r="E1322" s="27"/>
      <c r="F1322" s="42" t="s">
        <v>558</v>
      </c>
      <c r="G1322" s="28" t="str">
        <f>IF(ISNUMBER(F1322),E1322*F1322,"")</f>
        <v/>
      </c>
      <c r="H1322" s="29"/>
      <c r="I1322" s="30"/>
      <c r="J1322" s="155">
        <v>0</v>
      </c>
    </row>
    <row r="1323" spans="1:10" ht="15.75" hidden="1" thickBot="1" x14ac:dyDescent="0.3">
      <c r="A1323" s="200"/>
      <c r="B1323" s="202"/>
      <c r="C1323" s="32"/>
      <c r="D1323" s="32"/>
      <c r="E1323" s="33"/>
      <c r="F1323" s="43" t="s">
        <v>558</v>
      </c>
      <c r="G1323" s="31" t="str">
        <f>IF(ISNUMBER(F1323),E1323*F1323,"")</f>
        <v/>
      </c>
      <c r="H1323" s="35"/>
      <c r="I1323" s="31"/>
      <c r="J1323" s="155">
        <v>0</v>
      </c>
    </row>
    <row r="1324" spans="1:10" ht="15.75" hidden="1" thickBot="1" x14ac:dyDescent="0.3">
      <c r="A1324" s="200"/>
      <c r="B1324" s="202"/>
      <c r="C1324" s="36" t="s">
        <v>440</v>
      </c>
      <c r="D1324" s="47" t="s">
        <v>147</v>
      </c>
      <c r="E1324" s="37">
        <v>1</v>
      </c>
      <c r="F1324" s="34" t="s">
        <v>558</v>
      </c>
      <c r="G1324" s="34" t="str">
        <f>IF(ISNUMBER(F1324),E1324*F1324,"")</f>
        <v/>
      </c>
      <c r="H1324" s="39">
        <f>SUM(G1324:G1326)</f>
        <v>8.698388099999999</v>
      </c>
      <c r="I1324" s="40"/>
      <c r="J1324" s="155">
        <v>0</v>
      </c>
    </row>
    <row r="1325" spans="1:10" ht="15.75" hidden="1" thickBot="1" x14ac:dyDescent="0.3">
      <c r="A1325" s="200"/>
      <c r="B1325" s="202"/>
      <c r="C1325" s="36" t="s">
        <v>39</v>
      </c>
      <c r="D1325" s="47" t="s">
        <v>12</v>
      </c>
      <c r="E1325" s="37">
        <v>0.31619999999999998</v>
      </c>
      <c r="F1325" s="31">
        <v>22.2395</v>
      </c>
      <c r="G1325" s="34">
        <f>IF(ISNUMBER(F1325),E1325*F1325,"")</f>
        <v>7.0321298999999993</v>
      </c>
      <c r="H1325" s="35"/>
      <c r="I1325" s="31"/>
      <c r="J1325" s="155">
        <v>0</v>
      </c>
    </row>
    <row r="1326" spans="1:10" ht="15.75" hidden="1" thickBot="1" x14ac:dyDescent="0.3">
      <c r="A1326" s="200"/>
      <c r="B1326" s="202"/>
      <c r="C1326" s="36" t="s">
        <v>23</v>
      </c>
      <c r="D1326" s="47" t="s">
        <v>12</v>
      </c>
      <c r="E1326" s="37">
        <v>9.9599999999999994E-2</v>
      </c>
      <c r="F1326" s="31">
        <v>16.729499999999998</v>
      </c>
      <c r="G1326" s="34">
        <f>IF(ISNUMBER(F1326),E1326*F1326,"")</f>
        <v>1.6662581999999997</v>
      </c>
      <c r="H1326" s="35"/>
      <c r="I1326" s="31"/>
      <c r="J1326" s="155">
        <v>0</v>
      </c>
    </row>
    <row r="1327" spans="1:10" ht="15.75" hidden="1" thickBot="1" x14ac:dyDescent="0.3">
      <c r="A1327" s="201"/>
      <c r="B1327" s="188"/>
      <c r="C1327" s="36"/>
      <c r="D1327" s="36"/>
      <c r="E1327" s="37"/>
      <c r="F1327" s="31" t="s">
        <v>558</v>
      </c>
      <c r="G1327" s="31" t="str">
        <f>IF(ISNUMBER(F1327),E1327*F1327,"")</f>
        <v/>
      </c>
      <c r="H1327" s="35"/>
      <c r="I1327" s="31"/>
      <c r="J1327" s="155">
        <v>0</v>
      </c>
    </row>
    <row r="1328" spans="1:10" ht="15.75" hidden="1" thickBot="1" x14ac:dyDescent="0.3">
      <c r="A1328" s="180" t="s">
        <v>441</v>
      </c>
      <c r="B1328" s="186" t="str">
        <f>INDEX(Orçamentária!A:B,MATCH(Composições!A1328,Orçamentária!A:A,0),2)</f>
        <v>Porta toalha argola</v>
      </c>
      <c r="C1328" s="41"/>
      <c r="D1328" s="26" t="str">
        <f>TRIM(INDEX(Orçamentária!C:C,MATCH(Composições!A1328,Orçamentária!A:A,0),1))</f>
        <v>un</v>
      </c>
      <c r="E1328" s="27"/>
      <c r="F1328" s="42" t="s">
        <v>558</v>
      </c>
      <c r="G1328" s="28" t="str">
        <f>IF(ISNUMBER(F1328),E1328*F1328,"")</f>
        <v/>
      </c>
      <c r="H1328" s="29"/>
      <c r="I1328" s="30"/>
      <c r="J1328" s="155">
        <v>0</v>
      </c>
    </row>
    <row r="1329" spans="1:10" ht="15.75" hidden="1" thickBot="1" x14ac:dyDescent="0.3">
      <c r="A1329" s="200"/>
      <c r="B1329" s="202"/>
      <c r="C1329" s="32"/>
      <c r="D1329" s="32"/>
      <c r="E1329" s="33"/>
      <c r="F1329" s="43" t="s">
        <v>558</v>
      </c>
      <c r="G1329" s="31" t="str">
        <f>IF(ISNUMBER(F1329),E1329*F1329,"")</f>
        <v/>
      </c>
      <c r="H1329" s="35"/>
      <c r="I1329" s="31"/>
      <c r="J1329" s="155">
        <v>0</v>
      </c>
    </row>
    <row r="1330" spans="1:10" ht="26.25" hidden="1" thickBot="1" x14ac:dyDescent="0.3">
      <c r="A1330" s="200"/>
      <c r="B1330" s="202"/>
      <c r="C1330" s="36" t="s">
        <v>442</v>
      </c>
      <c r="D1330" s="47" t="s">
        <v>147</v>
      </c>
      <c r="E1330" s="37">
        <v>1</v>
      </c>
      <c r="F1330" s="34" t="s">
        <v>558</v>
      </c>
      <c r="G1330" s="34" t="str">
        <f>IF(ISNUMBER(F1330),E1330*F1330,"")</f>
        <v/>
      </c>
      <c r="H1330" s="39">
        <f>SUM(G1330:G1332)</f>
        <v>8.698388099999999</v>
      </c>
      <c r="I1330" s="40"/>
      <c r="J1330" s="155">
        <v>0</v>
      </c>
    </row>
    <row r="1331" spans="1:10" ht="15.75" hidden="1" thickBot="1" x14ac:dyDescent="0.3">
      <c r="A1331" s="200"/>
      <c r="B1331" s="202"/>
      <c r="C1331" s="36" t="s">
        <v>39</v>
      </c>
      <c r="D1331" s="47" t="s">
        <v>12</v>
      </c>
      <c r="E1331" s="37">
        <v>0.31619999999999998</v>
      </c>
      <c r="F1331" s="31">
        <v>22.2395</v>
      </c>
      <c r="G1331" s="34">
        <f>IF(ISNUMBER(F1331),E1331*F1331,"")</f>
        <v>7.0321298999999993</v>
      </c>
      <c r="H1331" s="35"/>
      <c r="I1331" s="31"/>
      <c r="J1331" s="155">
        <v>0</v>
      </c>
    </row>
    <row r="1332" spans="1:10" ht="15.75" hidden="1" thickBot="1" x14ac:dyDescent="0.3">
      <c r="A1332" s="200"/>
      <c r="B1332" s="202"/>
      <c r="C1332" s="36" t="s">
        <v>23</v>
      </c>
      <c r="D1332" s="47" t="s">
        <v>12</v>
      </c>
      <c r="E1332" s="37">
        <v>9.9599999999999994E-2</v>
      </c>
      <c r="F1332" s="31">
        <v>16.729499999999998</v>
      </c>
      <c r="G1332" s="34">
        <f>IF(ISNUMBER(F1332),E1332*F1332,"")</f>
        <v>1.6662581999999997</v>
      </c>
      <c r="H1332" s="35"/>
      <c r="I1332" s="31"/>
      <c r="J1332" s="155">
        <v>0</v>
      </c>
    </row>
    <row r="1333" spans="1:10" ht="15.75" hidden="1" thickBot="1" x14ac:dyDescent="0.3">
      <c r="A1333" s="201"/>
      <c r="B1333" s="188"/>
      <c r="C1333" s="36"/>
      <c r="D1333" s="36"/>
      <c r="E1333" s="37"/>
      <c r="F1333" s="31" t="s">
        <v>558</v>
      </c>
      <c r="G1333" s="31" t="str">
        <f>IF(ISNUMBER(F1333),E1333*F1333,"")</f>
        <v/>
      </c>
      <c r="H1333" s="35"/>
      <c r="I1333" s="31"/>
      <c r="J1333" s="155">
        <v>0</v>
      </c>
    </row>
    <row r="1334" spans="1:10" ht="15.75" hidden="1" thickBot="1" x14ac:dyDescent="0.3">
      <c r="A1334" s="180" t="s">
        <v>443</v>
      </c>
      <c r="B1334" s="186" t="str">
        <f>INDEX(Orçamentária!A:B,MATCH(Composições!A1334,Orçamentária!A:A,0),2)</f>
        <v>Porta toalha barra</v>
      </c>
      <c r="C1334" s="41"/>
      <c r="D1334" s="26" t="str">
        <f>TRIM(INDEX(Orçamentária!C:C,MATCH(Composições!A1334,Orçamentária!A:A,0),1))</f>
        <v>un</v>
      </c>
      <c r="E1334" s="27"/>
      <c r="F1334" s="42" t="s">
        <v>558</v>
      </c>
      <c r="G1334" s="28" t="str">
        <f>IF(ISNUMBER(F1334),E1334*F1334,"")</f>
        <v/>
      </c>
      <c r="H1334" s="29"/>
      <c r="I1334" s="30"/>
      <c r="J1334" s="155">
        <v>0</v>
      </c>
    </row>
    <row r="1335" spans="1:10" ht="15.75" hidden="1" thickBot="1" x14ac:dyDescent="0.3">
      <c r="A1335" s="200"/>
      <c r="B1335" s="202"/>
      <c r="C1335" s="32"/>
      <c r="D1335" s="32"/>
      <c r="E1335" s="33"/>
      <c r="F1335" s="43" t="s">
        <v>558</v>
      </c>
      <c r="G1335" s="31" t="str">
        <f>IF(ISNUMBER(F1335),E1335*F1335,"")</f>
        <v/>
      </c>
      <c r="H1335" s="35"/>
      <c r="I1335" s="31"/>
      <c r="J1335" s="155">
        <v>0</v>
      </c>
    </row>
    <row r="1336" spans="1:10" ht="26.25" hidden="1" thickBot="1" x14ac:dyDescent="0.3">
      <c r="A1336" s="200"/>
      <c r="B1336" s="202"/>
      <c r="C1336" s="36" t="s">
        <v>444</v>
      </c>
      <c r="D1336" s="47" t="s">
        <v>147</v>
      </c>
      <c r="E1336" s="37">
        <v>1</v>
      </c>
      <c r="F1336" s="34" t="s">
        <v>558</v>
      </c>
      <c r="G1336" s="34" t="str">
        <f>IF(ISNUMBER(F1336),E1336*F1336,"")</f>
        <v/>
      </c>
      <c r="H1336" s="39">
        <f>SUM(G1336:G1338)</f>
        <v>17.394552249999997</v>
      </c>
      <c r="I1336" s="40"/>
      <c r="J1336" s="155">
        <v>0</v>
      </c>
    </row>
    <row r="1337" spans="1:10" ht="15.75" hidden="1" thickBot="1" x14ac:dyDescent="0.3">
      <c r="A1337" s="200"/>
      <c r="B1337" s="202"/>
      <c r="C1337" s="36" t="s">
        <v>39</v>
      </c>
      <c r="D1337" s="47" t="s">
        <v>12</v>
      </c>
      <c r="E1337" s="37">
        <v>0.63229999999999997</v>
      </c>
      <c r="F1337" s="31">
        <v>22.2395</v>
      </c>
      <c r="G1337" s="34">
        <f>IF(ISNUMBER(F1337),E1337*F1337,"")</f>
        <v>14.062035849999999</v>
      </c>
      <c r="H1337" s="35"/>
      <c r="I1337" s="31"/>
      <c r="J1337" s="155">
        <v>0</v>
      </c>
    </row>
    <row r="1338" spans="1:10" ht="15.75" hidden="1" thickBot="1" x14ac:dyDescent="0.3">
      <c r="A1338" s="200"/>
      <c r="B1338" s="202"/>
      <c r="C1338" s="36" t="s">
        <v>23</v>
      </c>
      <c r="D1338" s="47" t="s">
        <v>12</v>
      </c>
      <c r="E1338" s="37">
        <v>0.19919999999999999</v>
      </c>
      <c r="F1338" s="31">
        <v>16.729499999999998</v>
      </c>
      <c r="G1338" s="34">
        <f>IF(ISNUMBER(F1338),E1338*F1338,"")</f>
        <v>3.3325163999999994</v>
      </c>
      <c r="H1338" s="35"/>
      <c r="I1338" s="31"/>
      <c r="J1338" s="155">
        <v>0</v>
      </c>
    </row>
    <row r="1339" spans="1:10" ht="15.75" hidden="1" thickBot="1" x14ac:dyDescent="0.3">
      <c r="A1339" s="201"/>
      <c r="B1339" s="188"/>
      <c r="C1339" s="36"/>
      <c r="D1339" s="36"/>
      <c r="E1339" s="37"/>
      <c r="F1339" s="31" t="s">
        <v>558</v>
      </c>
      <c r="G1339" s="31" t="str">
        <f>IF(ISNUMBER(F1339),E1339*F1339,"")</f>
        <v/>
      </c>
      <c r="H1339" s="35"/>
      <c r="I1339" s="31"/>
      <c r="J1339" s="155">
        <v>0</v>
      </c>
    </row>
    <row r="1340" spans="1:10" ht="15.75" hidden="1" thickBot="1" x14ac:dyDescent="0.3">
      <c r="A1340" s="180" t="s">
        <v>445</v>
      </c>
      <c r="B1340" s="186" t="str">
        <f>INDEX(Orçamentária!A:B,MATCH(Composições!A1340,Orçamentária!A:A,0),2)</f>
        <v>Caixa 4x2 de embutir para alvenaria</v>
      </c>
      <c r="C1340" s="41"/>
      <c r="D1340" s="26" t="str">
        <f>TRIM(INDEX(Orçamentária!C:C,MATCH(Composições!A1340,Orçamentária!A:A,0),1))</f>
        <v>un</v>
      </c>
      <c r="E1340" s="27"/>
      <c r="F1340" s="42" t="s">
        <v>558</v>
      </c>
      <c r="G1340" s="28" t="str">
        <f>IF(ISNUMBER(F1340),E1340*F1340,"")</f>
        <v/>
      </c>
      <c r="H1340" s="29"/>
      <c r="I1340" s="30"/>
      <c r="J1340" s="155">
        <v>0</v>
      </c>
    </row>
    <row r="1341" spans="1:10" ht="15.75" hidden="1" thickBot="1" x14ac:dyDescent="0.3">
      <c r="A1341" s="200"/>
      <c r="B1341" s="202"/>
      <c r="C1341" s="32"/>
      <c r="D1341" s="32"/>
      <c r="E1341" s="33"/>
      <c r="F1341" s="43" t="s">
        <v>558</v>
      </c>
      <c r="G1341" s="31" t="str">
        <f>IF(ISNUMBER(F1341),E1341*F1341,"")</f>
        <v/>
      </c>
      <c r="H1341" s="35"/>
      <c r="I1341" s="31"/>
      <c r="J1341" s="155">
        <v>0</v>
      </c>
    </row>
    <row r="1342" spans="1:10" ht="15.75" hidden="1" thickBot="1" x14ac:dyDescent="0.3">
      <c r="A1342" s="200"/>
      <c r="B1342" s="202"/>
      <c r="C1342" s="36" t="s">
        <v>74</v>
      </c>
      <c r="D1342" s="36" t="s">
        <v>12</v>
      </c>
      <c r="E1342" s="37">
        <v>0.14499999999999999</v>
      </c>
      <c r="F1342" s="31">
        <v>17.802999999999997</v>
      </c>
      <c r="G1342" s="34">
        <f>IF(ISNUMBER(F1342),E1342*F1342,"")</f>
        <v>2.5814349999999995</v>
      </c>
      <c r="H1342" s="39">
        <f>SUM(G1342:G1345)</f>
        <v>8.3790772947901484</v>
      </c>
      <c r="I1342" s="40"/>
      <c r="J1342" s="155">
        <v>0</v>
      </c>
    </row>
    <row r="1343" spans="1:10" ht="15.75" hidden="1" thickBot="1" x14ac:dyDescent="0.3">
      <c r="A1343" s="200"/>
      <c r="B1343" s="202"/>
      <c r="C1343" s="36" t="s">
        <v>30</v>
      </c>
      <c r="D1343" s="36" t="s">
        <v>12</v>
      </c>
      <c r="E1343" s="37">
        <v>0.14499999999999999</v>
      </c>
      <c r="F1343" s="31">
        <v>22.895</v>
      </c>
      <c r="G1343" s="34">
        <f>IF(ISNUMBER(F1343),E1343*F1343,"")</f>
        <v>3.3197749999999999</v>
      </c>
      <c r="H1343" s="35"/>
      <c r="I1343" s="31"/>
      <c r="J1343" s="155">
        <v>0</v>
      </c>
    </row>
    <row r="1344" spans="1:10" ht="26.25" hidden="1" thickBot="1" x14ac:dyDescent="0.3">
      <c r="A1344" s="200"/>
      <c r="B1344" s="202"/>
      <c r="C1344" s="36" t="s">
        <v>109</v>
      </c>
      <c r="D1344" s="36" t="s">
        <v>110</v>
      </c>
      <c r="E1344" s="37">
        <v>8.9999999999999998E-4</v>
      </c>
      <c r="F1344" s="34">
        <v>536.51921643349988</v>
      </c>
      <c r="G1344" s="34">
        <f>IF(ISNUMBER(F1344),E1344*F1344,"")</f>
        <v>0.48286729479014989</v>
      </c>
      <c r="H1344" s="35"/>
      <c r="I1344" s="31"/>
      <c r="J1344" s="155">
        <v>0</v>
      </c>
    </row>
    <row r="1345" spans="1:10" ht="15.75" hidden="1" thickBot="1" x14ac:dyDescent="0.3">
      <c r="A1345" s="200"/>
      <c r="B1345" s="202"/>
      <c r="C1345" s="36" t="s">
        <v>446</v>
      </c>
      <c r="D1345" s="36" t="s">
        <v>20</v>
      </c>
      <c r="E1345" s="37">
        <v>1</v>
      </c>
      <c r="F1345" s="34">
        <v>1.9949999999999999</v>
      </c>
      <c r="G1345" s="31">
        <f>IF(ISNUMBER(F1345),E1345*F1345,"")</f>
        <v>1.9949999999999999</v>
      </c>
      <c r="H1345" s="35"/>
      <c r="I1345" s="31"/>
      <c r="J1345" s="155">
        <v>0</v>
      </c>
    </row>
    <row r="1346" spans="1:10" ht="15.75" hidden="1" thickBot="1" x14ac:dyDescent="0.3">
      <c r="A1346" s="201"/>
      <c r="B1346" s="188"/>
      <c r="C1346" s="36"/>
      <c r="D1346" s="36"/>
      <c r="E1346" s="37"/>
      <c r="F1346" s="31" t="s">
        <v>558</v>
      </c>
      <c r="G1346" s="31" t="str">
        <f>IF(ISNUMBER(F1346),E1346*F1346,"")</f>
        <v/>
      </c>
      <c r="H1346" s="35"/>
      <c r="I1346" s="31"/>
      <c r="J1346" s="155">
        <v>0</v>
      </c>
    </row>
    <row r="1347" spans="1:10" ht="15.75" hidden="1" thickBot="1" x14ac:dyDescent="0.3">
      <c r="A1347" s="180" t="s">
        <v>447</v>
      </c>
      <c r="B1347" s="186" t="str">
        <f>INDEX(Orçamentária!A:B,MATCH(Composições!A1347,Orçamentária!A:A,0),2)</f>
        <v>Caixa 4x2 para drywall</v>
      </c>
      <c r="C1347" s="41"/>
      <c r="D1347" s="26" t="str">
        <f>TRIM(INDEX(Orçamentária!C:C,MATCH(Composições!A1347,Orçamentária!A:A,0),1))</f>
        <v>un</v>
      </c>
      <c r="E1347" s="27"/>
      <c r="F1347" s="42" t="s">
        <v>558</v>
      </c>
      <c r="G1347" s="28" t="str">
        <f>IF(ISNUMBER(F1347),E1347*F1347,"")</f>
        <v/>
      </c>
      <c r="H1347" s="29"/>
      <c r="I1347" s="30"/>
      <c r="J1347" s="155">
        <v>0</v>
      </c>
    </row>
    <row r="1348" spans="1:10" ht="15.75" hidden="1" thickBot="1" x14ac:dyDescent="0.3">
      <c r="A1348" s="200"/>
      <c r="B1348" s="202"/>
      <c r="C1348" s="32"/>
      <c r="D1348" s="32"/>
      <c r="E1348" s="33"/>
      <c r="F1348" s="43" t="s">
        <v>558</v>
      </c>
      <c r="G1348" s="31" t="str">
        <f>IF(ISNUMBER(F1348),E1348*F1348,"")</f>
        <v/>
      </c>
      <c r="H1348" s="35"/>
      <c r="I1348" s="31"/>
      <c r="J1348" s="155">
        <v>0</v>
      </c>
    </row>
    <row r="1349" spans="1:10" ht="15.75" hidden="1" thickBot="1" x14ac:dyDescent="0.3">
      <c r="A1349" s="200"/>
      <c r="B1349" s="202"/>
      <c r="C1349" s="36" t="s">
        <v>74</v>
      </c>
      <c r="D1349" s="36" t="s">
        <v>12</v>
      </c>
      <c r="E1349" s="37">
        <v>0.14499999999999999</v>
      </c>
      <c r="F1349" s="31">
        <v>17.802999999999997</v>
      </c>
      <c r="G1349" s="34">
        <f>IF(ISNUMBER(F1349),E1349*F1349,"")</f>
        <v>2.5814349999999995</v>
      </c>
      <c r="H1349" s="39">
        <f>SUM(G1349:G1351)</f>
        <v>5.901209999999999</v>
      </c>
      <c r="I1349" s="40"/>
      <c r="J1349" s="155">
        <v>0</v>
      </c>
    </row>
    <row r="1350" spans="1:10" ht="15.75" hidden="1" thickBot="1" x14ac:dyDescent="0.3">
      <c r="A1350" s="200"/>
      <c r="B1350" s="202"/>
      <c r="C1350" s="36" t="s">
        <v>30</v>
      </c>
      <c r="D1350" s="36" t="s">
        <v>12</v>
      </c>
      <c r="E1350" s="37">
        <v>0.14499999999999999</v>
      </c>
      <c r="F1350" s="31">
        <v>22.895</v>
      </c>
      <c r="G1350" s="34">
        <f>IF(ISNUMBER(F1350),E1350*F1350,"")</f>
        <v>3.3197749999999999</v>
      </c>
      <c r="H1350" s="35"/>
      <c r="I1350" s="31"/>
      <c r="J1350" s="155">
        <v>0</v>
      </c>
    </row>
    <row r="1351" spans="1:10" ht="15.75" hidden="1" thickBot="1" x14ac:dyDescent="0.3">
      <c r="A1351" s="200"/>
      <c r="B1351" s="202"/>
      <c r="C1351" s="36" t="s">
        <v>448</v>
      </c>
      <c r="D1351" s="36" t="s">
        <v>20</v>
      </c>
      <c r="E1351" s="37">
        <v>1</v>
      </c>
      <c r="F1351" s="34" t="s">
        <v>558</v>
      </c>
      <c r="G1351" s="31" t="str">
        <f>IF(ISNUMBER(F1351),E1351*F1351,"")</f>
        <v/>
      </c>
      <c r="H1351" s="35"/>
      <c r="I1351" s="31"/>
      <c r="J1351" s="155">
        <v>0</v>
      </c>
    </row>
    <row r="1352" spans="1:10" ht="15.75" hidden="1" thickBot="1" x14ac:dyDescent="0.3">
      <c r="A1352" s="201"/>
      <c r="B1352" s="188"/>
      <c r="C1352" s="36"/>
      <c r="D1352" s="36"/>
      <c r="E1352" s="37"/>
      <c r="F1352" s="31" t="s">
        <v>558</v>
      </c>
      <c r="G1352" s="31" t="str">
        <f>IF(ISNUMBER(F1352),E1352*F1352,"")</f>
        <v/>
      </c>
      <c r="H1352" s="35"/>
      <c r="I1352" s="31"/>
      <c r="J1352" s="155">
        <v>0</v>
      </c>
    </row>
    <row r="1353" spans="1:10" ht="15.75" hidden="1" thickBot="1" x14ac:dyDescent="0.3">
      <c r="A1353" s="180" t="s">
        <v>449</v>
      </c>
      <c r="B1353" s="186" t="str">
        <f>INDEX(Orçamentária!A:B,MATCH(Composições!A1353,Orçamentária!A:A,0),2)</f>
        <v>Caixa 4x4 de embutir para alvenaria</v>
      </c>
      <c r="C1353" s="41"/>
      <c r="D1353" s="26" t="str">
        <f>TRIM(INDEX(Orçamentária!C:C,MATCH(Composições!A1353,Orçamentária!A:A,0),1))</f>
        <v>un</v>
      </c>
      <c r="E1353" s="27"/>
      <c r="F1353" s="42" t="s">
        <v>558</v>
      </c>
      <c r="G1353" s="28" t="str">
        <f>IF(ISNUMBER(F1353),E1353*F1353,"")</f>
        <v/>
      </c>
      <c r="H1353" s="29"/>
      <c r="I1353" s="30"/>
      <c r="J1353" s="155">
        <v>0</v>
      </c>
    </row>
    <row r="1354" spans="1:10" ht="15.75" hidden="1" thickBot="1" x14ac:dyDescent="0.3">
      <c r="A1354" s="200"/>
      <c r="B1354" s="202"/>
      <c r="C1354" s="32"/>
      <c r="D1354" s="32"/>
      <c r="E1354" s="33"/>
      <c r="F1354" s="43" t="s">
        <v>558</v>
      </c>
      <c r="G1354" s="31" t="str">
        <f>IF(ISNUMBER(F1354),E1354*F1354,"")</f>
        <v/>
      </c>
      <c r="H1354" s="35"/>
      <c r="I1354" s="31"/>
      <c r="J1354" s="155">
        <v>0</v>
      </c>
    </row>
    <row r="1355" spans="1:10" ht="15.75" hidden="1" thickBot="1" x14ac:dyDescent="0.3">
      <c r="A1355" s="200"/>
      <c r="B1355" s="202"/>
      <c r="C1355" s="36" t="s">
        <v>74</v>
      </c>
      <c r="D1355" s="36" t="s">
        <v>12</v>
      </c>
      <c r="E1355" s="37">
        <v>0.16600000000000001</v>
      </c>
      <c r="F1355" s="31">
        <v>17.802999999999997</v>
      </c>
      <c r="G1355" s="34">
        <f>IF(ISNUMBER(F1355),E1355*F1355,"")</f>
        <v>2.9552979999999995</v>
      </c>
      <c r="H1355" s="39">
        <f>SUM(G1355:G1358)</f>
        <v>11.361191059720198</v>
      </c>
      <c r="I1355" s="40"/>
      <c r="J1355" s="155">
        <v>0</v>
      </c>
    </row>
    <row r="1356" spans="1:10" ht="15.75" hidden="1" thickBot="1" x14ac:dyDescent="0.3">
      <c r="A1356" s="200"/>
      <c r="B1356" s="202"/>
      <c r="C1356" s="36" t="s">
        <v>30</v>
      </c>
      <c r="D1356" s="36" t="s">
        <v>12</v>
      </c>
      <c r="E1356" s="37">
        <v>0.16600000000000001</v>
      </c>
      <c r="F1356" s="31">
        <v>22.895</v>
      </c>
      <c r="G1356" s="34">
        <f>IF(ISNUMBER(F1356),E1356*F1356,"")</f>
        <v>3.80057</v>
      </c>
      <c r="H1356" s="35"/>
      <c r="I1356" s="31"/>
      <c r="J1356" s="155">
        <v>0</v>
      </c>
    </row>
    <row r="1357" spans="1:10" ht="26.25" hidden="1" thickBot="1" x14ac:dyDescent="0.3">
      <c r="A1357" s="200"/>
      <c r="B1357" s="202"/>
      <c r="C1357" s="36" t="s">
        <v>109</v>
      </c>
      <c r="D1357" s="36" t="s">
        <v>110</v>
      </c>
      <c r="E1357" s="37">
        <v>1.1999999999999999E-3</v>
      </c>
      <c r="F1357" s="34">
        <v>536.51921643349988</v>
      </c>
      <c r="G1357" s="34">
        <f>IF(ISNUMBER(F1357),E1357*F1357,"")</f>
        <v>0.64382305972019982</v>
      </c>
      <c r="H1357" s="35"/>
      <c r="I1357" s="31"/>
      <c r="J1357" s="155">
        <v>0</v>
      </c>
    </row>
    <row r="1358" spans="1:10" ht="15.75" hidden="1" thickBot="1" x14ac:dyDescent="0.3">
      <c r="A1358" s="200"/>
      <c r="B1358" s="202"/>
      <c r="C1358" s="36" t="s">
        <v>450</v>
      </c>
      <c r="D1358" s="36" t="s">
        <v>20</v>
      </c>
      <c r="E1358" s="37">
        <v>1</v>
      </c>
      <c r="F1358" s="34">
        <v>3.9614999999999996</v>
      </c>
      <c r="G1358" s="31">
        <f>IF(ISNUMBER(F1358),E1358*F1358,"")</f>
        <v>3.9614999999999996</v>
      </c>
      <c r="H1358" s="35"/>
      <c r="I1358" s="31"/>
      <c r="J1358" s="155">
        <v>0</v>
      </c>
    </row>
    <row r="1359" spans="1:10" ht="15.75" hidden="1" thickBot="1" x14ac:dyDescent="0.3">
      <c r="A1359" s="201"/>
      <c r="B1359" s="188"/>
      <c r="C1359" s="36"/>
      <c r="D1359" s="36"/>
      <c r="E1359" s="37"/>
      <c r="F1359" s="31" t="s">
        <v>558</v>
      </c>
      <c r="G1359" s="31" t="str">
        <f>IF(ISNUMBER(F1359),E1359*F1359,"")</f>
        <v/>
      </c>
      <c r="H1359" s="35"/>
      <c r="I1359" s="31"/>
      <c r="J1359" s="155">
        <v>0</v>
      </c>
    </row>
    <row r="1360" spans="1:10" ht="15.75" hidden="1" thickBot="1" x14ac:dyDescent="0.3">
      <c r="A1360" s="180" t="s">
        <v>451</v>
      </c>
      <c r="B1360" s="186" t="str">
        <f>INDEX(Orçamentária!A:B,MATCH(Composições!A1360,Orçamentária!A:A,0),2)</f>
        <v>Caixa 4x4 para drywall</v>
      </c>
      <c r="C1360" s="41"/>
      <c r="D1360" s="26" t="str">
        <f>TRIM(INDEX(Orçamentária!C:C,MATCH(Composições!A1360,Orçamentária!A:A,0),1))</f>
        <v>un</v>
      </c>
      <c r="E1360" s="27"/>
      <c r="F1360" s="42" t="s">
        <v>558</v>
      </c>
      <c r="G1360" s="28" t="str">
        <f>IF(ISNUMBER(F1360),E1360*F1360,"")</f>
        <v/>
      </c>
      <c r="H1360" s="29"/>
      <c r="I1360" s="30"/>
      <c r="J1360" s="155">
        <v>0</v>
      </c>
    </row>
    <row r="1361" spans="1:10" ht="15.75" hidden="1" thickBot="1" x14ac:dyDescent="0.3">
      <c r="A1361" s="200"/>
      <c r="B1361" s="202"/>
      <c r="C1361" s="32"/>
      <c r="D1361" s="32"/>
      <c r="E1361" s="33"/>
      <c r="F1361" s="43" t="s">
        <v>558</v>
      </c>
      <c r="G1361" s="31" t="str">
        <f>IF(ISNUMBER(F1361),E1361*F1361,"")</f>
        <v/>
      </c>
      <c r="H1361" s="35"/>
      <c r="I1361" s="31"/>
      <c r="J1361" s="155">
        <v>0</v>
      </c>
    </row>
    <row r="1362" spans="1:10" ht="15.75" hidden="1" thickBot="1" x14ac:dyDescent="0.3">
      <c r="A1362" s="200"/>
      <c r="B1362" s="202"/>
      <c r="C1362" s="36" t="s">
        <v>74</v>
      </c>
      <c r="D1362" s="36" t="s">
        <v>12</v>
      </c>
      <c r="E1362" s="37">
        <v>0.16600000000000001</v>
      </c>
      <c r="F1362" s="31">
        <v>17.802999999999997</v>
      </c>
      <c r="G1362" s="34">
        <f>IF(ISNUMBER(F1362),E1362*F1362,"")</f>
        <v>2.9552979999999995</v>
      </c>
      <c r="H1362" s="39">
        <f>SUM(G1362:G1364)</f>
        <v>6.7558679999999995</v>
      </c>
      <c r="I1362" s="40"/>
      <c r="J1362" s="155">
        <v>0</v>
      </c>
    </row>
    <row r="1363" spans="1:10" ht="15.75" hidden="1" thickBot="1" x14ac:dyDescent="0.3">
      <c r="A1363" s="200"/>
      <c r="B1363" s="202"/>
      <c r="C1363" s="36" t="s">
        <v>30</v>
      </c>
      <c r="D1363" s="36" t="s">
        <v>12</v>
      </c>
      <c r="E1363" s="37">
        <v>0.16600000000000001</v>
      </c>
      <c r="F1363" s="31">
        <v>22.895</v>
      </c>
      <c r="G1363" s="34">
        <f>IF(ISNUMBER(F1363),E1363*F1363,"")</f>
        <v>3.80057</v>
      </c>
      <c r="H1363" s="35"/>
      <c r="I1363" s="31"/>
      <c r="J1363" s="155">
        <v>0</v>
      </c>
    </row>
    <row r="1364" spans="1:10" ht="15.75" hidden="1" thickBot="1" x14ac:dyDescent="0.3">
      <c r="A1364" s="200"/>
      <c r="B1364" s="202"/>
      <c r="C1364" s="36" t="s">
        <v>452</v>
      </c>
      <c r="D1364" s="36" t="s">
        <v>20</v>
      </c>
      <c r="E1364" s="37">
        <v>1</v>
      </c>
      <c r="F1364" s="34" t="s">
        <v>558</v>
      </c>
      <c r="G1364" s="31" t="str">
        <f>IF(ISNUMBER(F1364),E1364*F1364,"")</f>
        <v/>
      </c>
      <c r="H1364" s="35"/>
      <c r="I1364" s="31"/>
      <c r="J1364" s="155">
        <v>0</v>
      </c>
    </row>
    <row r="1365" spans="1:10" ht="15.75" hidden="1" thickBot="1" x14ac:dyDescent="0.3">
      <c r="A1365" s="201"/>
      <c r="B1365" s="188"/>
      <c r="C1365" s="36"/>
      <c r="D1365" s="36"/>
      <c r="E1365" s="37"/>
      <c r="F1365" s="31" t="s">
        <v>558</v>
      </c>
      <c r="G1365" s="31" t="str">
        <f>IF(ISNUMBER(F1365),E1365*F1365,"")</f>
        <v/>
      </c>
      <c r="H1365" s="35"/>
      <c r="I1365" s="31"/>
      <c r="J1365" s="155">
        <v>0</v>
      </c>
    </row>
    <row r="1366" spans="1:10" ht="15.75" hidden="1" thickBot="1" x14ac:dyDescent="0.3">
      <c r="A1366" s="180" t="s">
        <v>453</v>
      </c>
      <c r="B1366" s="186" t="str">
        <f>INDEX(Orçamentária!A:B,MATCH(Composições!A1366,Orçamentária!A:A,0),2)</f>
        <v>Caixa de passagem em alumínio 100x100x50mm</v>
      </c>
      <c r="C1366" s="41"/>
      <c r="D1366" s="26" t="str">
        <f>TRIM(INDEX(Orçamentária!C:C,MATCH(Composições!A1366,Orçamentária!A:A,0),1))</f>
        <v>un</v>
      </c>
      <c r="E1366" s="27"/>
      <c r="F1366" s="42" t="s">
        <v>558</v>
      </c>
      <c r="G1366" s="28" t="str">
        <f>IF(ISNUMBER(F1366),E1366*F1366,"")</f>
        <v/>
      </c>
      <c r="H1366" s="29"/>
      <c r="I1366" s="30"/>
      <c r="J1366" s="155">
        <v>0</v>
      </c>
    </row>
    <row r="1367" spans="1:10" ht="15.75" hidden="1" thickBot="1" x14ac:dyDescent="0.3">
      <c r="A1367" s="200"/>
      <c r="B1367" s="202"/>
      <c r="C1367" s="32"/>
      <c r="D1367" s="32"/>
      <c r="E1367" s="33"/>
      <c r="F1367" s="43" t="s">
        <v>558</v>
      </c>
      <c r="G1367" s="31" t="str">
        <f>IF(ISNUMBER(F1367),E1367*F1367,"")</f>
        <v/>
      </c>
      <c r="H1367" s="35"/>
      <c r="I1367" s="31"/>
      <c r="J1367" s="155">
        <v>0</v>
      </c>
    </row>
    <row r="1368" spans="1:10" ht="15.75" hidden="1" thickBot="1" x14ac:dyDescent="0.3">
      <c r="A1368" s="200"/>
      <c r="B1368" s="202"/>
      <c r="C1368" s="36" t="s">
        <v>74</v>
      </c>
      <c r="D1368" s="36" t="s">
        <v>12</v>
      </c>
      <c r="E1368" s="37">
        <v>0.34599999999999997</v>
      </c>
      <c r="F1368" s="31">
        <v>17.802999999999997</v>
      </c>
      <c r="G1368" s="34">
        <f>IF(ISNUMBER(F1368),E1368*F1368,"")</f>
        <v>6.1598379999999988</v>
      </c>
      <c r="H1368" s="39">
        <f>SUM(G1368:G1370)</f>
        <v>14.081507999999998</v>
      </c>
      <c r="I1368" s="40"/>
      <c r="J1368" s="155">
        <v>0</v>
      </c>
    </row>
    <row r="1369" spans="1:10" ht="15.75" hidden="1" thickBot="1" x14ac:dyDescent="0.3">
      <c r="A1369" s="200"/>
      <c r="B1369" s="202"/>
      <c r="C1369" s="36" t="s">
        <v>30</v>
      </c>
      <c r="D1369" s="36" t="s">
        <v>12</v>
      </c>
      <c r="E1369" s="37">
        <v>0.34599999999999997</v>
      </c>
      <c r="F1369" s="31">
        <v>22.895</v>
      </c>
      <c r="G1369" s="34">
        <f>IF(ISNUMBER(F1369),E1369*F1369,"")</f>
        <v>7.9216699999999989</v>
      </c>
      <c r="H1369" s="35"/>
      <c r="I1369" s="31"/>
      <c r="J1369" s="155">
        <v>0</v>
      </c>
    </row>
    <row r="1370" spans="1:10" ht="15.75" hidden="1" thickBot="1" x14ac:dyDescent="0.3">
      <c r="A1370" s="200"/>
      <c r="B1370" s="202"/>
      <c r="C1370" s="36" t="s">
        <v>454</v>
      </c>
      <c r="D1370" s="36" t="s">
        <v>93</v>
      </c>
      <c r="E1370" s="37">
        <v>1</v>
      </c>
      <c r="F1370" s="34" t="s">
        <v>558</v>
      </c>
      <c r="G1370" s="34" t="str">
        <f>IF(ISNUMBER(F1370),E1370*F1370,"")</f>
        <v/>
      </c>
      <c r="H1370" s="35"/>
      <c r="I1370" s="31"/>
      <c r="J1370" s="155">
        <v>0</v>
      </c>
    </row>
    <row r="1371" spans="1:10" ht="15.75" hidden="1" thickBot="1" x14ac:dyDescent="0.3">
      <c r="A1371" s="201"/>
      <c r="B1371" s="188"/>
      <c r="C1371" s="36"/>
      <c r="D1371" s="36"/>
      <c r="E1371" s="37"/>
      <c r="F1371" s="31" t="s">
        <v>558</v>
      </c>
      <c r="G1371" s="31" t="str">
        <f>IF(ISNUMBER(F1371),E1371*F1371,"")</f>
        <v/>
      </c>
      <c r="H1371" s="35"/>
      <c r="I1371" s="31"/>
      <c r="J1371" s="155">
        <v>0</v>
      </c>
    </row>
    <row r="1372" spans="1:10" ht="15.75" hidden="1" thickBot="1" x14ac:dyDescent="0.3">
      <c r="A1372" s="180" t="s">
        <v>455</v>
      </c>
      <c r="B1372" s="186" t="str">
        <f>INDEX(Orçamentária!A:B,MATCH(Composições!A1372,Orçamentária!A:A,0),2)</f>
        <v>Caixa de passagem em alumínio 200x200x100mm</v>
      </c>
      <c r="C1372" s="41"/>
      <c r="D1372" s="26" t="str">
        <f>TRIM(INDEX(Orçamentária!C:C,MATCH(Composições!A1372,Orçamentária!A:A,0),1))</f>
        <v>un</v>
      </c>
      <c r="E1372" s="27"/>
      <c r="F1372" s="42" t="s">
        <v>558</v>
      </c>
      <c r="G1372" s="28" t="str">
        <f>IF(ISNUMBER(F1372),E1372*F1372,"")</f>
        <v/>
      </c>
      <c r="H1372" s="29"/>
      <c r="I1372" s="30"/>
      <c r="J1372" s="155">
        <v>0</v>
      </c>
    </row>
    <row r="1373" spans="1:10" ht="15.75" hidden="1" thickBot="1" x14ac:dyDescent="0.3">
      <c r="A1373" s="200"/>
      <c r="B1373" s="202"/>
      <c r="C1373" s="32"/>
      <c r="D1373" s="32"/>
      <c r="E1373" s="33"/>
      <c r="F1373" s="43" t="s">
        <v>558</v>
      </c>
      <c r="G1373" s="31" t="str">
        <f>IF(ISNUMBER(F1373),E1373*F1373,"")</f>
        <v/>
      </c>
      <c r="H1373" s="35"/>
      <c r="I1373" s="31"/>
      <c r="J1373" s="155">
        <v>0</v>
      </c>
    </row>
    <row r="1374" spans="1:10" ht="15.75" hidden="1" thickBot="1" x14ac:dyDescent="0.3">
      <c r="A1374" s="200"/>
      <c r="B1374" s="202"/>
      <c r="C1374" s="36" t="s">
        <v>74</v>
      </c>
      <c r="D1374" s="36" t="s">
        <v>12</v>
      </c>
      <c r="E1374" s="37">
        <v>0.34599999999999997</v>
      </c>
      <c r="F1374" s="31">
        <v>17.802999999999997</v>
      </c>
      <c r="G1374" s="34">
        <f>IF(ISNUMBER(F1374),E1374*F1374,"")</f>
        <v>6.1598379999999988</v>
      </c>
      <c r="H1374" s="39">
        <f>SUM(G1374:G1376)</f>
        <v>14.081507999999998</v>
      </c>
      <c r="I1374" s="40"/>
      <c r="J1374" s="155">
        <v>0</v>
      </c>
    </row>
    <row r="1375" spans="1:10" ht="15.75" hidden="1" thickBot="1" x14ac:dyDescent="0.3">
      <c r="A1375" s="200"/>
      <c r="B1375" s="202"/>
      <c r="C1375" s="36" t="s">
        <v>30</v>
      </c>
      <c r="D1375" s="36" t="s">
        <v>12</v>
      </c>
      <c r="E1375" s="37">
        <v>0.34599999999999997</v>
      </c>
      <c r="F1375" s="31">
        <v>22.895</v>
      </c>
      <c r="G1375" s="34">
        <f>IF(ISNUMBER(F1375),E1375*F1375,"")</f>
        <v>7.9216699999999989</v>
      </c>
      <c r="H1375" s="35"/>
      <c r="I1375" s="31"/>
      <c r="J1375" s="155">
        <v>0</v>
      </c>
    </row>
    <row r="1376" spans="1:10" ht="15.75" hidden="1" thickBot="1" x14ac:dyDescent="0.3">
      <c r="A1376" s="200"/>
      <c r="B1376" s="202"/>
      <c r="C1376" s="36" t="s">
        <v>456</v>
      </c>
      <c r="D1376" s="36" t="s">
        <v>93</v>
      </c>
      <c r="E1376" s="37">
        <v>1</v>
      </c>
      <c r="F1376" s="34" t="s">
        <v>558</v>
      </c>
      <c r="G1376" s="34" t="str">
        <f>IF(ISNUMBER(F1376),E1376*F1376,"")</f>
        <v/>
      </c>
      <c r="H1376" s="35"/>
      <c r="I1376" s="31"/>
      <c r="J1376" s="155">
        <v>0</v>
      </c>
    </row>
    <row r="1377" spans="1:10" ht="15.75" hidden="1" thickBot="1" x14ac:dyDescent="0.3">
      <c r="A1377" s="201"/>
      <c r="B1377" s="188"/>
      <c r="C1377" s="36"/>
      <c r="D1377" s="36"/>
      <c r="E1377" s="37"/>
      <c r="F1377" s="31" t="s">
        <v>558</v>
      </c>
      <c r="G1377" s="31" t="str">
        <f>IF(ISNUMBER(F1377),E1377*F1377,"")</f>
        <v/>
      </c>
      <c r="H1377" s="35"/>
      <c r="I1377" s="31"/>
      <c r="J1377" s="155">
        <v>0</v>
      </c>
    </row>
    <row r="1378" spans="1:10" ht="15.75" hidden="1" thickBot="1" x14ac:dyDescent="0.3">
      <c r="A1378" s="180" t="s">
        <v>457</v>
      </c>
      <c r="B1378" s="186" t="str">
        <f>INDEX(Orçamentária!A:B,MATCH(Composições!A1378,Orçamentária!A:A,0),2)</f>
        <v>Caixa de passagem em PVC 150x150x75mm</v>
      </c>
      <c r="C1378" s="41"/>
      <c r="D1378" s="26" t="str">
        <f>TRIM(INDEX(Orçamentária!C:C,MATCH(Composições!A1378,Orçamentária!A:A,0),1))</f>
        <v>un</v>
      </c>
      <c r="E1378" s="27"/>
      <c r="F1378" s="42" t="s">
        <v>558</v>
      </c>
      <c r="G1378" s="28" t="str">
        <f>IF(ISNUMBER(F1378),E1378*F1378,"")</f>
        <v/>
      </c>
      <c r="H1378" s="29"/>
      <c r="I1378" s="30"/>
      <c r="J1378" s="155">
        <v>0</v>
      </c>
    </row>
    <row r="1379" spans="1:10" ht="15.75" hidden="1" thickBot="1" x14ac:dyDescent="0.3">
      <c r="A1379" s="200"/>
      <c r="B1379" s="202"/>
      <c r="C1379" s="32"/>
      <c r="D1379" s="32"/>
      <c r="E1379" s="33"/>
      <c r="F1379" s="43" t="s">
        <v>558</v>
      </c>
      <c r="G1379" s="31" t="str">
        <f>IF(ISNUMBER(F1379),E1379*F1379,"")</f>
        <v/>
      </c>
      <c r="H1379" s="35"/>
      <c r="I1379" s="31"/>
      <c r="J1379" s="155">
        <v>0</v>
      </c>
    </row>
    <row r="1380" spans="1:10" ht="15.75" hidden="1" thickBot="1" x14ac:dyDescent="0.3">
      <c r="A1380" s="200"/>
      <c r="B1380" s="202"/>
      <c r="C1380" s="36" t="s">
        <v>30</v>
      </c>
      <c r="D1380" s="36" t="s">
        <v>12</v>
      </c>
      <c r="E1380" s="37">
        <v>0.34599999999999997</v>
      </c>
      <c r="F1380" s="31">
        <v>22.895</v>
      </c>
      <c r="G1380" s="34">
        <f>IF(ISNUMBER(F1380),E1380*F1380,"")</f>
        <v>7.9216699999999989</v>
      </c>
      <c r="H1380" s="39">
        <f>SUM(G1380:G1382)</f>
        <v>66.188076999999993</v>
      </c>
      <c r="I1380" s="40"/>
      <c r="J1380" s="155">
        <v>0</v>
      </c>
    </row>
    <row r="1381" spans="1:10" ht="15.75" hidden="1" thickBot="1" x14ac:dyDescent="0.3">
      <c r="A1381" s="200"/>
      <c r="B1381" s="202"/>
      <c r="C1381" s="36" t="s">
        <v>23</v>
      </c>
      <c r="D1381" s="36" t="s">
        <v>12</v>
      </c>
      <c r="E1381" s="37">
        <v>0.34599999999999997</v>
      </c>
      <c r="F1381" s="31">
        <v>16.729499999999998</v>
      </c>
      <c r="G1381" s="34">
        <f>IF(ISNUMBER(F1381),E1381*F1381,"")</f>
        <v>5.7884069999999985</v>
      </c>
      <c r="H1381" s="35"/>
      <c r="I1381" s="31"/>
      <c r="J1381" s="155">
        <v>0</v>
      </c>
    </row>
    <row r="1382" spans="1:10" ht="26.25" hidden="1" thickBot="1" x14ac:dyDescent="0.3">
      <c r="A1382" s="200"/>
      <c r="B1382" s="202"/>
      <c r="C1382" s="36" t="s">
        <v>458</v>
      </c>
      <c r="D1382" s="36" t="s">
        <v>20</v>
      </c>
      <c r="E1382" s="37">
        <v>1</v>
      </c>
      <c r="F1382" s="34">
        <v>52.478000000000002</v>
      </c>
      <c r="G1382" s="31">
        <f>IF(ISNUMBER(F1382),E1382*F1382,"")</f>
        <v>52.478000000000002</v>
      </c>
      <c r="H1382" s="35"/>
      <c r="I1382" s="31"/>
      <c r="J1382" s="155">
        <v>0</v>
      </c>
    </row>
    <row r="1383" spans="1:10" ht="15.75" hidden="1" thickBot="1" x14ac:dyDescent="0.3">
      <c r="A1383" s="201"/>
      <c r="B1383" s="188"/>
      <c r="C1383" s="36"/>
      <c r="D1383" s="36"/>
      <c r="E1383" s="37"/>
      <c r="F1383" s="31" t="s">
        <v>558</v>
      </c>
      <c r="G1383" s="31" t="str">
        <f>IF(ISNUMBER(F1383),E1383*F1383,"")</f>
        <v/>
      </c>
      <c r="H1383" s="35"/>
      <c r="I1383" s="31"/>
      <c r="J1383" s="155">
        <v>0</v>
      </c>
    </row>
    <row r="1384" spans="1:10" ht="15.75" hidden="1" thickBot="1" x14ac:dyDescent="0.3">
      <c r="A1384" s="180" t="s">
        <v>459</v>
      </c>
      <c r="B1384" s="186" t="str">
        <f>INDEX(Orçamentária!A:B,MATCH(Composições!A1384,Orçamentária!A:A,0),2)</f>
        <v>Caixa para piso elevado</v>
      </c>
      <c r="C1384" s="41"/>
      <c r="D1384" s="26" t="str">
        <f>TRIM(INDEX(Orçamentária!C:C,MATCH(Composições!A1384,Orçamentária!A:A,0),1))</f>
        <v>un</v>
      </c>
      <c r="E1384" s="27"/>
      <c r="F1384" s="42" t="s">
        <v>558</v>
      </c>
      <c r="G1384" s="28" t="str">
        <f>IF(ISNUMBER(F1384),E1384*F1384,"")</f>
        <v/>
      </c>
      <c r="H1384" s="29"/>
      <c r="I1384" s="30"/>
      <c r="J1384" s="155">
        <v>0</v>
      </c>
    </row>
    <row r="1385" spans="1:10" ht="15.75" hidden="1" thickBot="1" x14ac:dyDescent="0.3">
      <c r="A1385" s="200"/>
      <c r="B1385" s="202"/>
      <c r="C1385" s="32"/>
      <c r="D1385" s="32"/>
      <c r="E1385" s="33"/>
      <c r="F1385" s="43" t="s">
        <v>558</v>
      </c>
      <c r="G1385" s="31" t="str">
        <f>IF(ISNUMBER(F1385),E1385*F1385,"")</f>
        <v/>
      </c>
      <c r="H1385" s="35"/>
      <c r="I1385" s="31"/>
      <c r="J1385" s="155">
        <v>0</v>
      </c>
    </row>
    <row r="1386" spans="1:10" ht="15.75" hidden="1" thickBot="1" x14ac:dyDescent="0.3">
      <c r="A1386" s="200"/>
      <c r="B1386" s="202"/>
      <c r="C1386" s="36" t="s">
        <v>30</v>
      </c>
      <c r="D1386" s="36" t="s">
        <v>12</v>
      </c>
      <c r="E1386" s="37">
        <v>0.34599999999999997</v>
      </c>
      <c r="F1386" s="31">
        <v>22.895</v>
      </c>
      <c r="G1386" s="31">
        <f>IF(ISNUMBER(F1386),E1386*F1386,"")</f>
        <v>7.9216699999999989</v>
      </c>
      <c r="H1386" s="39">
        <f>SUM(G1386:G1388)</f>
        <v>14.081507999999998</v>
      </c>
      <c r="I1386" s="40"/>
      <c r="J1386" s="155">
        <v>0</v>
      </c>
    </row>
    <row r="1387" spans="1:10" ht="15.75" hidden="1" thickBot="1" x14ac:dyDescent="0.3">
      <c r="A1387" s="200"/>
      <c r="B1387" s="202"/>
      <c r="C1387" s="36" t="s">
        <v>74</v>
      </c>
      <c r="D1387" s="36" t="s">
        <v>12</v>
      </c>
      <c r="E1387" s="37">
        <v>0.34599999999999997</v>
      </c>
      <c r="F1387" s="31">
        <v>17.802999999999997</v>
      </c>
      <c r="G1387" s="31">
        <f>IF(ISNUMBER(F1387),E1387*F1387,"")</f>
        <v>6.1598379999999988</v>
      </c>
      <c r="H1387" s="35"/>
      <c r="I1387" s="31"/>
      <c r="J1387" s="155">
        <v>0</v>
      </c>
    </row>
    <row r="1388" spans="1:10" ht="26.25" hidden="1" thickBot="1" x14ac:dyDescent="0.3">
      <c r="A1388" s="200"/>
      <c r="B1388" s="202"/>
      <c r="C1388" s="36" t="s">
        <v>460</v>
      </c>
      <c r="D1388" s="47" t="s">
        <v>20</v>
      </c>
      <c r="E1388" s="37">
        <v>1</v>
      </c>
      <c r="F1388" s="34" t="s">
        <v>558</v>
      </c>
      <c r="G1388" s="31" t="str">
        <f>IF(ISNUMBER(F1388),E1388*F1388,"")</f>
        <v/>
      </c>
      <c r="H1388" s="35"/>
      <c r="I1388" s="31"/>
      <c r="J1388" s="155">
        <v>0</v>
      </c>
    </row>
    <row r="1389" spans="1:10" ht="15.75" hidden="1" thickBot="1" x14ac:dyDescent="0.3">
      <c r="A1389" s="200"/>
      <c r="B1389" s="202"/>
      <c r="C1389" s="36"/>
      <c r="D1389" s="47"/>
      <c r="E1389" s="37"/>
      <c r="F1389" s="34" t="s">
        <v>558</v>
      </c>
      <c r="G1389" s="31" t="str">
        <f>IF(ISNUMBER(F1389),E1389*F1389,"")</f>
        <v/>
      </c>
      <c r="H1389" s="35"/>
      <c r="I1389" s="31"/>
      <c r="J1389" s="155">
        <v>0</v>
      </c>
    </row>
    <row r="1390" spans="1:10" ht="15.75" hidden="1" thickBot="1" x14ac:dyDescent="0.3">
      <c r="A1390" s="180" t="s">
        <v>461</v>
      </c>
      <c r="B1390" s="186" t="str">
        <f>INDEX(Orçamentária!A:B,MATCH(Composições!A1390,Orçamentária!A:A,0),2)</f>
        <v>Canaleta em alumínio aparente 73mmx25mm</v>
      </c>
      <c r="C1390" s="41"/>
      <c r="D1390" s="26" t="str">
        <f>TRIM(INDEX(Orçamentária!C:C,MATCH(Composições!A1390,Orçamentária!A:A,0),1))</f>
        <v>m</v>
      </c>
      <c r="E1390" s="27"/>
      <c r="F1390" s="42" t="s">
        <v>558</v>
      </c>
      <c r="G1390" s="28" t="str">
        <f>IF(ISNUMBER(F1390),E1390*F1390,"")</f>
        <v/>
      </c>
      <c r="H1390" s="29"/>
      <c r="I1390" s="30"/>
      <c r="J1390" s="155">
        <v>0</v>
      </c>
    </row>
    <row r="1391" spans="1:10" ht="15.75" hidden="1" thickBot="1" x14ac:dyDescent="0.3">
      <c r="A1391" s="200"/>
      <c r="B1391" s="202"/>
      <c r="C1391" s="32"/>
      <c r="D1391" s="32"/>
      <c r="E1391" s="33"/>
      <c r="F1391" s="43" t="s">
        <v>558</v>
      </c>
      <c r="G1391" s="31" t="str">
        <f>IF(ISNUMBER(F1391),E1391*F1391,"")</f>
        <v/>
      </c>
      <c r="H1391" s="35"/>
      <c r="I1391" s="31"/>
      <c r="J1391" s="155">
        <v>0</v>
      </c>
    </row>
    <row r="1392" spans="1:10" ht="26.25" hidden="1" thickBot="1" x14ac:dyDescent="0.3">
      <c r="A1392" s="200"/>
      <c r="B1392" s="202"/>
      <c r="C1392" s="36" t="s">
        <v>462</v>
      </c>
      <c r="D1392" s="36" t="s">
        <v>93</v>
      </c>
      <c r="E1392" s="37">
        <v>1.1499999999999999</v>
      </c>
      <c r="F1392" s="34" t="s">
        <v>558</v>
      </c>
      <c r="G1392" s="34" t="str">
        <f>IF(ISNUMBER(F1392),E1392*F1392,"")</f>
        <v/>
      </c>
      <c r="H1392" s="39">
        <f>SUM(G1392:G1394)</f>
        <v>7.3256399999999999</v>
      </c>
      <c r="I1392" s="40"/>
      <c r="J1392" s="155">
        <v>0</v>
      </c>
    </row>
    <row r="1393" spans="1:10" ht="15.75" hidden="1" thickBot="1" x14ac:dyDescent="0.3">
      <c r="A1393" s="200"/>
      <c r="B1393" s="202"/>
      <c r="C1393" s="36" t="s">
        <v>74</v>
      </c>
      <c r="D1393" s="47" t="s">
        <v>12</v>
      </c>
      <c r="E1393" s="37">
        <v>0.18</v>
      </c>
      <c r="F1393" s="31">
        <v>17.802999999999997</v>
      </c>
      <c r="G1393" s="34">
        <f>IF(ISNUMBER(F1393),E1393*F1393,"")</f>
        <v>3.2045399999999993</v>
      </c>
      <c r="H1393" s="35"/>
      <c r="I1393" s="31"/>
      <c r="J1393" s="155">
        <v>0</v>
      </c>
    </row>
    <row r="1394" spans="1:10" ht="15.75" hidden="1" thickBot="1" x14ac:dyDescent="0.3">
      <c r="A1394" s="200"/>
      <c r="B1394" s="202"/>
      <c r="C1394" s="36" t="s">
        <v>30</v>
      </c>
      <c r="D1394" s="36" t="s">
        <v>12</v>
      </c>
      <c r="E1394" s="37">
        <v>0.18</v>
      </c>
      <c r="F1394" s="31">
        <v>22.895</v>
      </c>
      <c r="G1394" s="34">
        <f>IF(ISNUMBER(F1394),E1394*F1394,"")</f>
        <v>4.1211000000000002</v>
      </c>
      <c r="H1394" s="35"/>
      <c r="I1394" s="31"/>
      <c r="J1394" s="155">
        <v>0</v>
      </c>
    </row>
    <row r="1395" spans="1:10" ht="15.75" hidden="1" thickBot="1" x14ac:dyDescent="0.3">
      <c r="A1395" s="201"/>
      <c r="B1395" s="188"/>
      <c r="C1395" s="36"/>
      <c r="D1395" s="36"/>
      <c r="E1395" s="37"/>
      <c r="F1395" s="31" t="s">
        <v>558</v>
      </c>
      <c r="G1395" s="31" t="str">
        <f>IF(ISNUMBER(F1395),E1395*F1395,"")</f>
        <v/>
      </c>
      <c r="H1395" s="35"/>
      <c r="I1395" s="31"/>
      <c r="J1395" s="155">
        <v>0</v>
      </c>
    </row>
    <row r="1396" spans="1:10" ht="15.75" hidden="1" thickBot="1" x14ac:dyDescent="0.3">
      <c r="A1396" s="180" t="s">
        <v>463</v>
      </c>
      <c r="B1396" s="186" t="str">
        <f>INDEX(Orçamentária!A:B,MATCH(Composições!A1396,Orçamentária!A:A,0),2)</f>
        <v>Condulete de alumínio de 1"</v>
      </c>
      <c r="C1396" s="41"/>
      <c r="D1396" s="26" t="str">
        <f>TRIM(INDEX(Orçamentária!C:C,MATCH(Composições!A1396,Orçamentária!A:A,0),1))</f>
        <v>un</v>
      </c>
      <c r="E1396" s="27"/>
      <c r="F1396" s="42" t="s">
        <v>558</v>
      </c>
      <c r="G1396" s="28" t="str">
        <f>IF(ISNUMBER(F1396),E1396*F1396,"")</f>
        <v/>
      </c>
      <c r="H1396" s="29"/>
      <c r="I1396" s="30"/>
      <c r="J1396" s="155">
        <v>0</v>
      </c>
    </row>
    <row r="1397" spans="1:10" ht="15.75" hidden="1" thickBot="1" x14ac:dyDescent="0.3">
      <c r="A1397" s="200"/>
      <c r="B1397" s="202"/>
      <c r="C1397" s="32"/>
      <c r="D1397" s="32"/>
      <c r="E1397" s="33"/>
      <c r="F1397" s="43" t="s">
        <v>558</v>
      </c>
      <c r="G1397" s="31" t="str">
        <f>IF(ISNUMBER(F1397),E1397*F1397,"")</f>
        <v/>
      </c>
      <c r="H1397" s="35"/>
      <c r="I1397" s="31"/>
      <c r="J1397" s="155">
        <v>0</v>
      </c>
    </row>
    <row r="1398" spans="1:10" ht="15.75" hidden="1" thickBot="1" x14ac:dyDescent="0.3">
      <c r="A1398" s="200"/>
      <c r="B1398" s="202"/>
      <c r="C1398" s="36" t="s">
        <v>74</v>
      </c>
      <c r="D1398" s="36" t="s">
        <v>12</v>
      </c>
      <c r="E1398" s="37">
        <v>0.53849999999999998</v>
      </c>
      <c r="F1398" s="31">
        <v>17.802999999999997</v>
      </c>
      <c r="G1398" s="34">
        <f>IF(ISNUMBER(F1398),E1398*F1398,"")</f>
        <v>9.5869154999999981</v>
      </c>
      <c r="H1398" s="39">
        <f>SUM(G1398:G1401)</f>
        <v>33.705372999999994</v>
      </c>
      <c r="I1398" s="40"/>
      <c r="J1398" s="155">
        <v>0</v>
      </c>
    </row>
    <row r="1399" spans="1:10" ht="15.75" hidden="1" thickBot="1" x14ac:dyDescent="0.3">
      <c r="A1399" s="200"/>
      <c r="B1399" s="202"/>
      <c r="C1399" s="36" t="s">
        <v>30</v>
      </c>
      <c r="D1399" s="36" t="s">
        <v>12</v>
      </c>
      <c r="E1399" s="37">
        <v>0.53849999999999998</v>
      </c>
      <c r="F1399" s="31">
        <v>22.895</v>
      </c>
      <c r="G1399" s="34">
        <f>IF(ISNUMBER(F1399),E1399*F1399,"")</f>
        <v>12.3289575</v>
      </c>
      <c r="H1399" s="35"/>
      <c r="I1399" s="31"/>
      <c r="J1399" s="155">
        <v>0</v>
      </c>
    </row>
    <row r="1400" spans="1:10" ht="26.25" hidden="1" thickBot="1" x14ac:dyDescent="0.3">
      <c r="A1400" s="200"/>
      <c r="B1400" s="202"/>
      <c r="C1400" s="36" t="s">
        <v>464</v>
      </c>
      <c r="D1400" s="36" t="s">
        <v>20</v>
      </c>
      <c r="E1400" s="37">
        <v>2</v>
      </c>
      <c r="F1400" s="34">
        <v>0.3135</v>
      </c>
      <c r="G1400" s="34">
        <f>IF(ISNUMBER(F1400),E1400*F1400,"")</f>
        <v>0.627</v>
      </c>
      <c r="H1400" s="35"/>
      <c r="I1400" s="31"/>
      <c r="J1400" s="155">
        <v>0</v>
      </c>
    </row>
    <row r="1401" spans="1:10" ht="26.25" hidden="1" thickBot="1" x14ac:dyDescent="0.3">
      <c r="A1401" s="200"/>
      <c r="B1401" s="202"/>
      <c r="C1401" s="36" t="s">
        <v>465</v>
      </c>
      <c r="D1401" s="36" t="s">
        <v>20</v>
      </c>
      <c r="E1401" s="37">
        <v>1</v>
      </c>
      <c r="F1401" s="34">
        <v>11.1625</v>
      </c>
      <c r="G1401" s="31">
        <f>IF(ISNUMBER(F1401),E1401*F1401,"")</f>
        <v>11.1625</v>
      </c>
      <c r="H1401" s="35"/>
      <c r="I1401" s="31"/>
      <c r="J1401" s="155">
        <v>0</v>
      </c>
    </row>
    <row r="1402" spans="1:10" ht="15.75" hidden="1" thickBot="1" x14ac:dyDescent="0.3">
      <c r="A1402" s="201"/>
      <c r="B1402" s="188"/>
      <c r="C1402" s="36"/>
      <c r="D1402" s="36"/>
      <c r="E1402" s="37"/>
      <c r="F1402" s="31" t="s">
        <v>558</v>
      </c>
      <c r="G1402" s="31" t="str">
        <f>IF(ISNUMBER(F1402),E1402*F1402,"")</f>
        <v/>
      </c>
      <c r="H1402" s="35"/>
      <c r="I1402" s="31"/>
      <c r="J1402" s="155">
        <v>0</v>
      </c>
    </row>
    <row r="1403" spans="1:10" ht="15.75" hidden="1" thickBot="1" x14ac:dyDescent="0.3">
      <c r="A1403" s="180" t="s">
        <v>466</v>
      </c>
      <c r="B1403" s="186" t="str">
        <f>INDEX(Orçamentária!A:B,MATCH(Composições!A1403,Orçamentária!A:A,0),2)</f>
        <v>Eletrocalha 100x50 mm</v>
      </c>
      <c r="C1403" s="41"/>
      <c r="D1403" s="26" t="str">
        <f>TRIM(INDEX(Orçamentária!C:C,MATCH(Composições!A1403,Orçamentária!A:A,0),1))</f>
        <v>m</v>
      </c>
      <c r="E1403" s="27"/>
      <c r="F1403" s="42" t="s">
        <v>558</v>
      </c>
      <c r="G1403" s="28" t="str">
        <f>IF(ISNUMBER(F1403),E1403*F1403,"")</f>
        <v/>
      </c>
      <c r="H1403" s="29"/>
      <c r="I1403" s="30"/>
      <c r="J1403" s="155">
        <v>0</v>
      </c>
    </row>
    <row r="1404" spans="1:10" ht="15.75" hidden="1" thickBot="1" x14ac:dyDescent="0.3">
      <c r="A1404" s="200"/>
      <c r="B1404" s="202"/>
      <c r="C1404" s="32"/>
      <c r="D1404" s="32"/>
      <c r="E1404" s="33"/>
      <c r="F1404" s="43" t="s">
        <v>558</v>
      </c>
      <c r="G1404" s="31" t="str">
        <f>IF(ISNUMBER(F1404),E1404*F1404,"")</f>
        <v/>
      </c>
      <c r="H1404" s="35"/>
      <c r="I1404" s="31"/>
      <c r="J1404" s="155">
        <v>0</v>
      </c>
    </row>
    <row r="1405" spans="1:10" ht="15.75" hidden="1" thickBot="1" x14ac:dyDescent="0.3">
      <c r="A1405" s="200"/>
      <c r="B1405" s="202"/>
      <c r="C1405" s="36" t="s">
        <v>30</v>
      </c>
      <c r="D1405" s="36" t="s">
        <v>12</v>
      </c>
      <c r="E1405" s="37">
        <v>0.45</v>
      </c>
      <c r="F1405" s="31">
        <v>22.895</v>
      </c>
      <c r="G1405" s="31">
        <f>IF(ISNUMBER(F1405),E1405*F1405,"")</f>
        <v>10.30275</v>
      </c>
      <c r="H1405" s="39">
        <f>SUM(G1405:G1416)</f>
        <v>19.074726999999996</v>
      </c>
      <c r="I1405" s="40"/>
      <c r="J1405" s="155">
        <v>0</v>
      </c>
    </row>
    <row r="1406" spans="1:10" ht="15.75" hidden="1" thickBot="1" x14ac:dyDescent="0.3">
      <c r="A1406" s="200"/>
      <c r="B1406" s="202"/>
      <c r="C1406" s="36" t="s">
        <v>74</v>
      </c>
      <c r="D1406" s="47" t="s">
        <v>12</v>
      </c>
      <c r="E1406" s="37">
        <v>0.45</v>
      </c>
      <c r="F1406" s="31">
        <v>17.802999999999997</v>
      </c>
      <c r="G1406" s="31">
        <f>IF(ISNUMBER(F1406),E1406*F1406,"")</f>
        <v>8.0113499999999984</v>
      </c>
      <c r="H1406" s="35"/>
      <c r="I1406" s="31"/>
      <c r="J1406" s="155">
        <v>0</v>
      </c>
    </row>
    <row r="1407" spans="1:10" ht="26.25" hidden="1" thickBot="1" x14ac:dyDescent="0.3">
      <c r="A1407" s="200"/>
      <c r="B1407" s="202"/>
      <c r="C1407" s="36" t="s">
        <v>467</v>
      </c>
      <c r="D1407" s="36" t="s">
        <v>147</v>
      </c>
      <c r="E1407" s="37">
        <v>0.67</v>
      </c>
      <c r="F1407" s="31">
        <v>0</v>
      </c>
      <c r="G1407" s="31">
        <f>IF(ISNUMBER(F1407),E1407*F1407,"")</f>
        <v>0</v>
      </c>
      <c r="H1407" s="62"/>
      <c r="I1407" s="1"/>
      <c r="J1407" s="155">
        <v>0</v>
      </c>
    </row>
    <row r="1408" spans="1:10" ht="26.25" hidden="1" thickBot="1" x14ac:dyDescent="0.3">
      <c r="A1408" s="200"/>
      <c r="B1408" s="202"/>
      <c r="C1408" s="36" t="s">
        <v>468</v>
      </c>
      <c r="D1408" s="36" t="s">
        <v>93</v>
      </c>
      <c r="E1408" s="37">
        <v>1.05</v>
      </c>
      <c r="F1408" s="34" t="s">
        <v>558</v>
      </c>
      <c r="G1408" s="31" t="str">
        <f>IF(ISNUMBER(F1408),E1408*F1408,"")</f>
        <v/>
      </c>
      <c r="H1408" s="35"/>
      <c r="I1408" s="31"/>
      <c r="J1408" s="155">
        <v>0</v>
      </c>
    </row>
    <row r="1409" spans="1:10" ht="15.75" hidden="1" thickBot="1" x14ac:dyDescent="0.3">
      <c r="A1409" s="200"/>
      <c r="B1409" s="202"/>
      <c r="C1409" s="36" t="s">
        <v>469</v>
      </c>
      <c r="D1409" s="36" t="s">
        <v>93</v>
      </c>
      <c r="E1409" s="37">
        <v>0.8</v>
      </c>
      <c r="F1409" s="31">
        <v>0</v>
      </c>
      <c r="G1409" s="31">
        <f>IF(ISNUMBER(F1409),E1409*F1409,"")</f>
        <v>0</v>
      </c>
      <c r="H1409" s="35"/>
      <c r="I1409" s="31"/>
      <c r="J1409" s="155">
        <v>0</v>
      </c>
    </row>
    <row r="1410" spans="1:10" ht="15.75" hidden="1" thickBot="1" x14ac:dyDescent="0.3">
      <c r="A1410" s="200"/>
      <c r="B1410" s="202"/>
      <c r="C1410" s="36" t="s">
        <v>470</v>
      </c>
      <c r="D1410" s="36" t="s">
        <v>292</v>
      </c>
      <c r="E1410" s="37">
        <v>4.0033000000000003</v>
      </c>
      <c r="F1410" s="34">
        <v>0.19</v>
      </c>
      <c r="G1410" s="31">
        <f>IF(ISNUMBER(F1410),E1410*F1410,"")</f>
        <v>0.76062700000000005</v>
      </c>
      <c r="H1410" s="35"/>
      <c r="I1410" s="31"/>
      <c r="J1410" s="155">
        <v>0</v>
      </c>
    </row>
    <row r="1411" spans="1:10" ht="15.75" hidden="1" thickBot="1" x14ac:dyDescent="0.3">
      <c r="A1411" s="200"/>
      <c r="B1411" s="202"/>
      <c r="C1411" s="36" t="s">
        <v>471</v>
      </c>
      <c r="D1411" s="36" t="s">
        <v>147</v>
      </c>
      <c r="E1411" s="37">
        <v>4.0033000000000003</v>
      </c>
      <c r="F1411" s="31">
        <v>0</v>
      </c>
      <c r="G1411" s="31">
        <f>IF(ISNUMBER(F1411),E1411*F1411,"")</f>
        <v>0</v>
      </c>
      <c r="H1411" s="35"/>
      <c r="I1411" s="31"/>
      <c r="J1411" s="155">
        <v>0</v>
      </c>
    </row>
    <row r="1412" spans="1:10" ht="15.75" hidden="1" thickBot="1" x14ac:dyDescent="0.3">
      <c r="A1412" s="200"/>
      <c r="B1412" s="202"/>
      <c r="C1412" s="36" t="s">
        <v>472</v>
      </c>
      <c r="D1412" s="36" t="s">
        <v>147</v>
      </c>
      <c r="E1412" s="37">
        <v>0.67</v>
      </c>
      <c r="F1412" s="31">
        <v>0</v>
      </c>
      <c r="G1412" s="31">
        <f>IF(ISNUMBER(F1412),E1412*F1412,"")</f>
        <v>0</v>
      </c>
      <c r="H1412" s="35"/>
      <c r="I1412" s="31"/>
      <c r="J1412" s="155">
        <v>0</v>
      </c>
    </row>
    <row r="1413" spans="1:10" ht="15.75" hidden="1" thickBot="1" x14ac:dyDescent="0.3">
      <c r="A1413" s="200"/>
      <c r="B1413" s="202"/>
      <c r="C1413" s="36" t="s">
        <v>473</v>
      </c>
      <c r="D1413" s="36" t="s">
        <v>147</v>
      </c>
      <c r="E1413" s="37">
        <v>1.05</v>
      </c>
      <c r="F1413" s="31">
        <v>0</v>
      </c>
      <c r="G1413" s="31">
        <f>IF(ISNUMBER(F1413),E1413*F1413,"")</f>
        <v>0</v>
      </c>
      <c r="H1413" s="35"/>
      <c r="I1413" s="31"/>
      <c r="J1413" s="155">
        <v>0</v>
      </c>
    </row>
    <row r="1414" spans="1:10" ht="15.75" hidden="1" thickBot="1" x14ac:dyDescent="0.3">
      <c r="A1414" s="200"/>
      <c r="B1414" s="202"/>
      <c r="C1414" s="36" t="s">
        <v>474</v>
      </c>
      <c r="D1414" s="36" t="s">
        <v>20</v>
      </c>
      <c r="E1414" s="37">
        <v>2.67</v>
      </c>
      <c r="F1414" s="31">
        <v>0</v>
      </c>
      <c r="G1414" s="31">
        <f>IF(ISNUMBER(F1414),E1414*F1414,"")</f>
        <v>0</v>
      </c>
      <c r="H1414" s="35"/>
      <c r="I1414" s="31"/>
      <c r="J1414" s="155">
        <v>0</v>
      </c>
    </row>
    <row r="1415" spans="1:10" ht="15.75" hidden="1" thickBot="1" x14ac:dyDescent="0.3">
      <c r="A1415" s="200"/>
      <c r="B1415" s="202"/>
      <c r="C1415" s="36" t="s">
        <v>475</v>
      </c>
      <c r="D1415" s="36" t="s">
        <v>147</v>
      </c>
      <c r="E1415" s="37">
        <v>0.66669999999999996</v>
      </c>
      <c r="F1415" s="31">
        <v>0</v>
      </c>
      <c r="G1415" s="31">
        <f>IF(ISNUMBER(F1415),E1415*F1415,"")</f>
        <v>0</v>
      </c>
      <c r="H1415" s="35"/>
      <c r="I1415" s="31"/>
      <c r="J1415" s="155">
        <v>0</v>
      </c>
    </row>
    <row r="1416" spans="1:10" ht="26.25" hidden="1" thickBot="1" x14ac:dyDescent="0.3">
      <c r="A1416" s="200"/>
      <c r="B1416" s="202"/>
      <c r="C1416" s="36" t="s">
        <v>476</v>
      </c>
      <c r="D1416" s="36" t="s">
        <v>93</v>
      </c>
      <c r="E1416" s="37">
        <v>1.05</v>
      </c>
      <c r="F1416" s="34" t="s">
        <v>558</v>
      </c>
      <c r="G1416" s="31" t="str">
        <f>IF(ISNUMBER(F1416),E1416*F1416,"")</f>
        <v/>
      </c>
      <c r="H1416" s="35"/>
      <c r="I1416" s="31"/>
      <c r="J1416" s="155">
        <v>0</v>
      </c>
    </row>
    <row r="1417" spans="1:10" ht="15.75" hidden="1" thickBot="1" x14ac:dyDescent="0.3">
      <c r="A1417" s="201"/>
      <c r="B1417" s="188"/>
      <c r="C1417" s="36"/>
      <c r="D1417" s="36"/>
      <c r="E1417" s="37"/>
      <c r="F1417" s="31" t="s">
        <v>558</v>
      </c>
      <c r="G1417" s="31" t="str">
        <f>IF(ISNUMBER(F1417),E1417*F1417,"")</f>
        <v/>
      </c>
      <c r="H1417" s="35"/>
      <c r="I1417" s="31"/>
      <c r="J1417" s="155">
        <v>0</v>
      </c>
    </row>
    <row r="1418" spans="1:10" ht="15.75" hidden="1" thickBot="1" x14ac:dyDescent="0.3">
      <c r="A1418" s="180" t="s">
        <v>477</v>
      </c>
      <c r="B1418" s="186" t="str">
        <f>INDEX(Orçamentária!A:B,MATCH(Composições!A1418,Orçamentária!A:A,0),2)</f>
        <v>Eletrocalha 200x100 mm</v>
      </c>
      <c r="C1418" s="41"/>
      <c r="D1418" s="26" t="str">
        <f>TRIM(INDEX(Orçamentária!C:C,MATCH(Composições!A1418,Orçamentária!A:A,0),1))</f>
        <v>m</v>
      </c>
      <c r="E1418" s="27"/>
      <c r="F1418" s="42" t="s">
        <v>558</v>
      </c>
      <c r="G1418" s="28" t="str">
        <f>IF(ISNUMBER(F1418),E1418*F1418,"")</f>
        <v/>
      </c>
      <c r="H1418" s="29"/>
      <c r="I1418" s="30"/>
      <c r="J1418" s="155">
        <v>0</v>
      </c>
    </row>
    <row r="1419" spans="1:10" ht="15.75" hidden="1" thickBot="1" x14ac:dyDescent="0.3">
      <c r="A1419" s="200"/>
      <c r="B1419" s="202"/>
      <c r="C1419" s="32"/>
      <c r="D1419" s="32"/>
      <c r="E1419" s="33"/>
      <c r="F1419" s="43" t="s">
        <v>558</v>
      </c>
      <c r="G1419" s="31" t="str">
        <f>IF(ISNUMBER(F1419),E1419*F1419,"")</f>
        <v/>
      </c>
      <c r="H1419" s="35"/>
      <c r="I1419" s="31"/>
      <c r="J1419" s="155">
        <v>0</v>
      </c>
    </row>
    <row r="1420" spans="1:10" ht="15.75" hidden="1" thickBot="1" x14ac:dyDescent="0.3">
      <c r="A1420" s="200"/>
      <c r="B1420" s="202"/>
      <c r="C1420" s="36" t="s">
        <v>30</v>
      </c>
      <c r="D1420" s="36" t="s">
        <v>12</v>
      </c>
      <c r="E1420" s="37">
        <v>0.6</v>
      </c>
      <c r="F1420" s="31">
        <v>22.895</v>
      </c>
      <c r="G1420" s="31">
        <f>IF(ISNUMBER(F1420),E1420*F1420,"")</f>
        <v>13.737</v>
      </c>
      <c r="H1420" s="39">
        <f>SUM(G1420:G1431)</f>
        <v>25.432772999999997</v>
      </c>
      <c r="I1420" s="40"/>
      <c r="J1420" s="155">
        <v>0</v>
      </c>
    </row>
    <row r="1421" spans="1:10" ht="15.75" hidden="1" thickBot="1" x14ac:dyDescent="0.3">
      <c r="A1421" s="200"/>
      <c r="B1421" s="202"/>
      <c r="C1421" s="36" t="s">
        <v>74</v>
      </c>
      <c r="D1421" s="47" t="s">
        <v>12</v>
      </c>
      <c r="E1421" s="37">
        <v>0.6</v>
      </c>
      <c r="F1421" s="31">
        <v>17.802999999999997</v>
      </c>
      <c r="G1421" s="31">
        <f>IF(ISNUMBER(F1421),E1421*F1421,"")</f>
        <v>10.681799999999997</v>
      </c>
      <c r="H1421" s="35"/>
      <c r="I1421" s="31"/>
      <c r="J1421" s="155">
        <v>0</v>
      </c>
    </row>
    <row r="1422" spans="1:10" ht="26.25" hidden="1" thickBot="1" x14ac:dyDescent="0.3">
      <c r="A1422" s="200"/>
      <c r="B1422" s="202"/>
      <c r="C1422" s="36" t="s">
        <v>467</v>
      </c>
      <c r="D1422" s="36" t="s">
        <v>147</v>
      </c>
      <c r="E1422" s="37">
        <v>1.3332999999999999</v>
      </c>
      <c r="F1422" s="31">
        <v>0</v>
      </c>
      <c r="G1422" s="31">
        <f>IF(ISNUMBER(F1422),E1422*F1422,"")</f>
        <v>0</v>
      </c>
      <c r="H1422" s="62"/>
      <c r="I1422" s="1"/>
      <c r="J1422" s="155">
        <v>0</v>
      </c>
    </row>
    <row r="1423" spans="1:10" ht="26.25" hidden="1" thickBot="1" x14ac:dyDescent="0.3">
      <c r="A1423" s="200"/>
      <c r="B1423" s="202"/>
      <c r="C1423" s="36" t="s">
        <v>478</v>
      </c>
      <c r="D1423" s="36" t="s">
        <v>93</v>
      </c>
      <c r="E1423" s="37">
        <v>1.05</v>
      </c>
      <c r="F1423" s="34" t="s">
        <v>558</v>
      </c>
      <c r="G1423" s="31" t="str">
        <f>IF(ISNUMBER(F1423),E1423*F1423,"")</f>
        <v/>
      </c>
      <c r="H1423" s="35"/>
      <c r="I1423" s="31"/>
      <c r="J1423" s="155">
        <v>0</v>
      </c>
    </row>
    <row r="1424" spans="1:10" ht="15.75" hidden="1" thickBot="1" x14ac:dyDescent="0.3">
      <c r="A1424" s="200"/>
      <c r="B1424" s="202"/>
      <c r="C1424" s="36" t="s">
        <v>469</v>
      </c>
      <c r="D1424" s="36" t="s">
        <v>93</v>
      </c>
      <c r="E1424" s="37">
        <v>1.6</v>
      </c>
      <c r="F1424" s="31">
        <v>0</v>
      </c>
      <c r="G1424" s="31">
        <f>IF(ISNUMBER(F1424),E1424*F1424,"")</f>
        <v>0</v>
      </c>
      <c r="H1424" s="35"/>
      <c r="I1424" s="31"/>
      <c r="J1424" s="155">
        <v>0</v>
      </c>
    </row>
    <row r="1425" spans="1:10" ht="15.75" hidden="1" thickBot="1" x14ac:dyDescent="0.3">
      <c r="A1425" s="200"/>
      <c r="B1425" s="202"/>
      <c r="C1425" s="36" t="s">
        <v>470</v>
      </c>
      <c r="D1425" s="36" t="s">
        <v>292</v>
      </c>
      <c r="E1425" s="37">
        <v>5.3367000000000004</v>
      </c>
      <c r="F1425" s="34">
        <v>0.19</v>
      </c>
      <c r="G1425" s="31">
        <f>IF(ISNUMBER(F1425),E1425*F1425,"")</f>
        <v>1.013973</v>
      </c>
      <c r="H1425" s="35"/>
      <c r="I1425" s="31"/>
      <c r="J1425" s="155">
        <v>0</v>
      </c>
    </row>
    <row r="1426" spans="1:10" ht="15.75" hidden="1" thickBot="1" x14ac:dyDescent="0.3">
      <c r="A1426" s="200"/>
      <c r="B1426" s="202"/>
      <c r="C1426" s="36" t="s">
        <v>471</v>
      </c>
      <c r="D1426" s="36" t="s">
        <v>147</v>
      </c>
      <c r="E1426" s="37">
        <v>5.34</v>
      </c>
      <c r="F1426" s="31">
        <v>0</v>
      </c>
      <c r="G1426" s="31">
        <f>IF(ISNUMBER(F1426),E1426*F1426,"")</f>
        <v>0</v>
      </c>
      <c r="H1426" s="35"/>
      <c r="I1426" s="31"/>
      <c r="J1426" s="155">
        <v>0</v>
      </c>
    </row>
    <row r="1427" spans="1:10" ht="15.75" hidden="1" thickBot="1" x14ac:dyDescent="0.3">
      <c r="A1427" s="200"/>
      <c r="B1427" s="202"/>
      <c r="C1427" s="36" t="s">
        <v>479</v>
      </c>
      <c r="D1427" s="36" t="s">
        <v>147</v>
      </c>
      <c r="E1427" s="37">
        <v>0.67</v>
      </c>
      <c r="F1427" s="31">
        <v>0</v>
      </c>
      <c r="G1427" s="31">
        <f>IF(ISNUMBER(F1427),E1427*F1427,"")</f>
        <v>0</v>
      </c>
      <c r="H1427" s="35"/>
      <c r="I1427" s="31"/>
      <c r="J1427" s="155">
        <v>0</v>
      </c>
    </row>
    <row r="1428" spans="1:10" ht="15.75" hidden="1" thickBot="1" x14ac:dyDescent="0.3">
      <c r="A1428" s="200"/>
      <c r="B1428" s="202"/>
      <c r="C1428" s="36" t="s">
        <v>473</v>
      </c>
      <c r="D1428" s="36" t="s">
        <v>147</v>
      </c>
      <c r="E1428" s="37">
        <v>1.3332999999999999</v>
      </c>
      <c r="F1428" s="31">
        <v>0</v>
      </c>
      <c r="G1428" s="31">
        <f>IF(ISNUMBER(F1428),E1428*F1428,"")</f>
        <v>0</v>
      </c>
      <c r="H1428" s="35"/>
      <c r="I1428" s="31"/>
      <c r="J1428" s="155">
        <v>0</v>
      </c>
    </row>
    <row r="1429" spans="1:10" ht="15.75" hidden="1" thickBot="1" x14ac:dyDescent="0.3">
      <c r="A1429" s="200"/>
      <c r="B1429" s="202"/>
      <c r="C1429" s="36" t="s">
        <v>474</v>
      </c>
      <c r="D1429" s="36" t="s">
        <v>20</v>
      </c>
      <c r="E1429" s="37">
        <v>2.67</v>
      </c>
      <c r="F1429" s="31">
        <v>0</v>
      </c>
      <c r="G1429" s="31">
        <f>IF(ISNUMBER(F1429),E1429*F1429,"")</f>
        <v>0</v>
      </c>
      <c r="H1429" s="35"/>
      <c r="I1429" s="31"/>
      <c r="J1429" s="155">
        <v>0</v>
      </c>
    </row>
    <row r="1430" spans="1:10" ht="15.75" hidden="1" thickBot="1" x14ac:dyDescent="0.3">
      <c r="A1430" s="200"/>
      <c r="B1430" s="202"/>
      <c r="C1430" s="36" t="s">
        <v>480</v>
      </c>
      <c r="D1430" s="36" t="s">
        <v>147</v>
      </c>
      <c r="E1430" s="37">
        <v>0.67</v>
      </c>
      <c r="F1430" s="31">
        <v>0</v>
      </c>
      <c r="G1430" s="31">
        <f>IF(ISNUMBER(F1430),E1430*F1430,"")</f>
        <v>0</v>
      </c>
      <c r="H1430" s="35"/>
      <c r="I1430" s="31"/>
      <c r="J1430" s="155">
        <v>0</v>
      </c>
    </row>
    <row r="1431" spans="1:10" ht="26.25" hidden="1" thickBot="1" x14ac:dyDescent="0.3">
      <c r="A1431" s="200"/>
      <c r="B1431" s="202"/>
      <c r="C1431" s="36" t="s">
        <v>481</v>
      </c>
      <c r="D1431" s="36" t="s">
        <v>93</v>
      </c>
      <c r="E1431" s="37">
        <v>1.05</v>
      </c>
      <c r="F1431" s="34" t="s">
        <v>558</v>
      </c>
      <c r="G1431" s="31" t="str">
        <f>IF(ISNUMBER(F1431),E1431*F1431,"")</f>
        <v/>
      </c>
      <c r="H1431" s="35"/>
      <c r="I1431" s="31"/>
      <c r="J1431" s="155">
        <v>0</v>
      </c>
    </row>
    <row r="1432" spans="1:10" ht="15.75" hidden="1" thickBot="1" x14ac:dyDescent="0.3">
      <c r="A1432" s="201"/>
      <c r="B1432" s="188"/>
      <c r="C1432" s="36"/>
      <c r="D1432" s="36"/>
      <c r="E1432" s="37"/>
      <c r="F1432" s="31" t="s">
        <v>558</v>
      </c>
      <c r="G1432" s="31" t="str">
        <f>IF(ISNUMBER(F1432),E1432*F1432,"")</f>
        <v/>
      </c>
      <c r="H1432" s="35"/>
      <c r="I1432" s="31"/>
      <c r="J1432" s="155">
        <v>0</v>
      </c>
    </row>
    <row r="1433" spans="1:10" ht="15.75" hidden="1" thickBot="1" x14ac:dyDescent="0.3">
      <c r="A1433" s="180" t="s">
        <v>482</v>
      </c>
      <c r="B1433" s="186" t="str">
        <f>INDEX(Orçamentária!A:B,MATCH(Composições!A1433,Orçamentária!A:A,0),2)</f>
        <v>Eletrocalha 200x50 mm</v>
      </c>
      <c r="C1433" s="41"/>
      <c r="D1433" s="26" t="str">
        <f>TRIM(INDEX(Orçamentária!C:C,MATCH(Composições!A1433,Orçamentária!A:A,0),1))</f>
        <v>m</v>
      </c>
      <c r="E1433" s="27"/>
      <c r="F1433" s="42" t="s">
        <v>558</v>
      </c>
      <c r="G1433" s="28" t="str">
        <f>IF(ISNUMBER(F1433),E1433*F1433,"")</f>
        <v/>
      </c>
      <c r="H1433" s="29"/>
      <c r="I1433" s="30"/>
      <c r="J1433" s="155">
        <v>0</v>
      </c>
    </row>
    <row r="1434" spans="1:10" ht="15.75" hidden="1" thickBot="1" x14ac:dyDescent="0.3">
      <c r="A1434" s="200"/>
      <c r="B1434" s="202"/>
      <c r="C1434" s="32"/>
      <c r="D1434" s="32"/>
      <c r="E1434" s="33"/>
      <c r="F1434" s="43" t="s">
        <v>558</v>
      </c>
      <c r="G1434" s="31" t="str">
        <f>IF(ISNUMBER(F1434),E1434*F1434,"")</f>
        <v/>
      </c>
      <c r="H1434" s="35"/>
      <c r="I1434" s="31"/>
      <c r="J1434" s="155">
        <v>0</v>
      </c>
    </row>
    <row r="1435" spans="1:10" ht="15.75" hidden="1" thickBot="1" x14ac:dyDescent="0.3">
      <c r="A1435" s="200"/>
      <c r="B1435" s="202"/>
      <c r="C1435" s="36" t="s">
        <v>30</v>
      </c>
      <c r="D1435" s="36" t="s">
        <v>12</v>
      </c>
      <c r="E1435" s="37">
        <v>0.5</v>
      </c>
      <c r="F1435" s="31">
        <v>22.895</v>
      </c>
      <c r="G1435" s="31">
        <f>IF(ISNUMBER(F1435),E1435*F1435,"")</f>
        <v>11.4475</v>
      </c>
      <c r="H1435" s="39">
        <f>SUM(G1435:G1446)</f>
        <v>21.362972999999997</v>
      </c>
      <c r="I1435" s="40"/>
      <c r="J1435" s="155">
        <v>0</v>
      </c>
    </row>
    <row r="1436" spans="1:10" ht="15.75" hidden="1" thickBot="1" x14ac:dyDescent="0.3">
      <c r="A1436" s="200"/>
      <c r="B1436" s="202"/>
      <c r="C1436" s="36" t="s">
        <v>74</v>
      </c>
      <c r="D1436" s="47" t="s">
        <v>12</v>
      </c>
      <c r="E1436" s="37">
        <v>0.5</v>
      </c>
      <c r="F1436" s="31">
        <v>17.802999999999997</v>
      </c>
      <c r="G1436" s="31">
        <f>IF(ISNUMBER(F1436),E1436*F1436,"")</f>
        <v>8.9014999999999986</v>
      </c>
      <c r="H1436" s="35"/>
      <c r="I1436" s="31"/>
      <c r="J1436" s="155">
        <v>0</v>
      </c>
    </row>
    <row r="1437" spans="1:10" ht="26.25" hidden="1" thickBot="1" x14ac:dyDescent="0.3">
      <c r="A1437" s="200"/>
      <c r="B1437" s="202"/>
      <c r="C1437" s="36" t="s">
        <v>467</v>
      </c>
      <c r="D1437" s="36" t="s">
        <v>147</v>
      </c>
      <c r="E1437" s="37">
        <v>1.3332999999999999</v>
      </c>
      <c r="F1437" s="31">
        <v>0</v>
      </c>
      <c r="G1437" s="31">
        <f>IF(ISNUMBER(F1437),E1437*F1437,"")</f>
        <v>0</v>
      </c>
      <c r="H1437" s="62"/>
      <c r="I1437" s="1"/>
      <c r="J1437" s="155">
        <v>0</v>
      </c>
    </row>
    <row r="1438" spans="1:10" ht="26.25" hidden="1" thickBot="1" x14ac:dyDescent="0.3">
      <c r="A1438" s="200"/>
      <c r="B1438" s="202"/>
      <c r="C1438" s="36" t="s">
        <v>483</v>
      </c>
      <c r="D1438" s="36" t="s">
        <v>93</v>
      </c>
      <c r="E1438" s="37">
        <v>1.05</v>
      </c>
      <c r="F1438" s="34" t="s">
        <v>558</v>
      </c>
      <c r="G1438" s="31" t="str">
        <f>IF(ISNUMBER(F1438),E1438*F1438,"")</f>
        <v/>
      </c>
      <c r="H1438" s="35"/>
      <c r="I1438" s="31"/>
      <c r="J1438" s="155">
        <v>0</v>
      </c>
    </row>
    <row r="1439" spans="1:10" ht="15.75" hidden="1" thickBot="1" x14ac:dyDescent="0.3">
      <c r="A1439" s="200"/>
      <c r="B1439" s="202"/>
      <c r="C1439" s="36" t="s">
        <v>469</v>
      </c>
      <c r="D1439" s="36" t="s">
        <v>93</v>
      </c>
      <c r="E1439" s="37">
        <v>1.6</v>
      </c>
      <c r="F1439" s="31">
        <v>0</v>
      </c>
      <c r="G1439" s="31">
        <f>IF(ISNUMBER(F1439),E1439*F1439,"")</f>
        <v>0</v>
      </c>
      <c r="H1439" s="35"/>
      <c r="I1439" s="31"/>
      <c r="J1439" s="155">
        <v>0</v>
      </c>
    </row>
    <row r="1440" spans="1:10" ht="15.75" hidden="1" thickBot="1" x14ac:dyDescent="0.3">
      <c r="A1440" s="200"/>
      <c r="B1440" s="202"/>
      <c r="C1440" s="36" t="s">
        <v>470</v>
      </c>
      <c r="D1440" s="36" t="s">
        <v>292</v>
      </c>
      <c r="E1440" s="37">
        <v>5.3367000000000004</v>
      </c>
      <c r="F1440" s="34">
        <v>0.19</v>
      </c>
      <c r="G1440" s="31">
        <f>IF(ISNUMBER(F1440),E1440*F1440,"")</f>
        <v>1.013973</v>
      </c>
      <c r="H1440" s="35"/>
      <c r="I1440" s="31"/>
      <c r="J1440" s="155">
        <v>0</v>
      </c>
    </row>
    <row r="1441" spans="1:10" ht="15.75" hidden="1" thickBot="1" x14ac:dyDescent="0.3">
      <c r="A1441" s="200"/>
      <c r="B1441" s="202"/>
      <c r="C1441" s="36" t="s">
        <v>471</v>
      </c>
      <c r="D1441" s="36" t="s">
        <v>147</v>
      </c>
      <c r="E1441" s="37">
        <v>5.34</v>
      </c>
      <c r="F1441" s="31">
        <v>0</v>
      </c>
      <c r="G1441" s="31">
        <f>IF(ISNUMBER(F1441),E1441*F1441,"")</f>
        <v>0</v>
      </c>
      <c r="H1441" s="35"/>
      <c r="I1441" s="31"/>
      <c r="J1441" s="155">
        <v>0</v>
      </c>
    </row>
    <row r="1442" spans="1:10" ht="15.75" hidden="1" thickBot="1" x14ac:dyDescent="0.3">
      <c r="A1442" s="200"/>
      <c r="B1442" s="202"/>
      <c r="C1442" s="36" t="s">
        <v>484</v>
      </c>
      <c r="D1442" s="36" t="s">
        <v>147</v>
      </c>
      <c r="E1442" s="37">
        <v>0.67</v>
      </c>
      <c r="F1442" s="31">
        <v>0</v>
      </c>
      <c r="G1442" s="31">
        <f>IF(ISNUMBER(F1442),E1442*F1442,"")</f>
        <v>0</v>
      </c>
      <c r="H1442" s="35"/>
      <c r="I1442" s="31"/>
      <c r="J1442" s="155">
        <v>0</v>
      </c>
    </row>
    <row r="1443" spans="1:10" ht="15.75" hidden="1" thickBot="1" x14ac:dyDescent="0.3">
      <c r="A1443" s="200"/>
      <c r="B1443" s="202"/>
      <c r="C1443" s="36" t="s">
        <v>473</v>
      </c>
      <c r="D1443" s="36" t="s">
        <v>147</v>
      </c>
      <c r="E1443" s="37">
        <v>1.3332999999999999</v>
      </c>
      <c r="F1443" s="31">
        <v>0</v>
      </c>
      <c r="G1443" s="31">
        <f>IF(ISNUMBER(F1443),E1443*F1443,"")</f>
        <v>0</v>
      </c>
      <c r="H1443" s="35"/>
      <c r="I1443" s="31"/>
      <c r="J1443" s="155">
        <v>0</v>
      </c>
    </row>
    <row r="1444" spans="1:10" ht="15.75" hidden="1" thickBot="1" x14ac:dyDescent="0.3">
      <c r="A1444" s="200"/>
      <c r="B1444" s="202"/>
      <c r="C1444" s="36" t="s">
        <v>474</v>
      </c>
      <c r="D1444" s="36" t="s">
        <v>20</v>
      </c>
      <c r="E1444" s="37">
        <v>2.67</v>
      </c>
      <c r="F1444" s="31">
        <v>0</v>
      </c>
      <c r="G1444" s="31">
        <f>IF(ISNUMBER(F1444),E1444*F1444,"")</f>
        <v>0</v>
      </c>
      <c r="H1444" s="35"/>
      <c r="I1444" s="31"/>
      <c r="J1444" s="155">
        <v>0</v>
      </c>
    </row>
    <row r="1445" spans="1:10" ht="15.75" hidden="1" thickBot="1" x14ac:dyDescent="0.3">
      <c r="A1445" s="200"/>
      <c r="B1445" s="202"/>
      <c r="C1445" s="36" t="s">
        <v>475</v>
      </c>
      <c r="D1445" s="36" t="s">
        <v>147</v>
      </c>
      <c r="E1445" s="37">
        <v>0.67</v>
      </c>
      <c r="F1445" s="31">
        <v>0</v>
      </c>
      <c r="G1445" s="31">
        <f>IF(ISNUMBER(F1445),E1445*F1445,"")</f>
        <v>0</v>
      </c>
      <c r="H1445" s="35"/>
      <c r="I1445" s="31"/>
      <c r="J1445" s="155">
        <v>0</v>
      </c>
    </row>
    <row r="1446" spans="1:10" ht="26.25" hidden="1" thickBot="1" x14ac:dyDescent="0.3">
      <c r="A1446" s="200"/>
      <c r="B1446" s="202"/>
      <c r="C1446" s="36" t="s">
        <v>481</v>
      </c>
      <c r="D1446" s="36" t="s">
        <v>93</v>
      </c>
      <c r="E1446" s="37">
        <v>1.05</v>
      </c>
      <c r="F1446" s="34" t="s">
        <v>558</v>
      </c>
      <c r="G1446" s="31" t="str">
        <f>IF(ISNUMBER(F1446),E1446*F1446,"")</f>
        <v/>
      </c>
      <c r="H1446" s="35"/>
      <c r="I1446" s="31"/>
      <c r="J1446" s="155">
        <v>0</v>
      </c>
    </row>
    <row r="1447" spans="1:10" ht="15.75" hidden="1" thickBot="1" x14ac:dyDescent="0.3">
      <c r="A1447" s="201"/>
      <c r="B1447" s="188"/>
      <c r="C1447" s="36"/>
      <c r="D1447" s="36"/>
      <c r="E1447" s="37"/>
      <c r="F1447" s="31" t="s">
        <v>558</v>
      </c>
      <c r="G1447" s="31" t="str">
        <f>IF(ISNUMBER(F1447),E1447*F1447,"")</f>
        <v/>
      </c>
      <c r="H1447" s="35"/>
      <c r="I1447" s="31"/>
      <c r="J1447" s="155">
        <v>0</v>
      </c>
    </row>
    <row r="1448" spans="1:10" ht="15.75" hidden="1" thickBot="1" x14ac:dyDescent="0.3">
      <c r="A1448" s="180" t="s">
        <v>485</v>
      </c>
      <c r="B1448" s="186" t="str">
        <f>INDEX(Orçamentária!A:B,MATCH(Composições!A1448,Orçamentária!A:A,0),2)</f>
        <v>Eletrocalha 300x100 mm</v>
      </c>
      <c r="C1448" s="41"/>
      <c r="D1448" s="26" t="str">
        <f>TRIM(INDEX(Orçamentária!C:C,MATCH(Composições!A1448,Orçamentária!A:A,0),1))</f>
        <v>m</v>
      </c>
      <c r="E1448" s="27"/>
      <c r="F1448" s="42" t="s">
        <v>558</v>
      </c>
      <c r="G1448" s="28" t="str">
        <f>IF(ISNUMBER(F1448),E1448*F1448,"")</f>
        <v/>
      </c>
      <c r="H1448" s="29"/>
      <c r="I1448" s="30"/>
      <c r="J1448" s="155">
        <v>0</v>
      </c>
    </row>
    <row r="1449" spans="1:10" ht="15.75" hidden="1" thickBot="1" x14ac:dyDescent="0.3">
      <c r="A1449" s="200"/>
      <c r="B1449" s="202"/>
      <c r="C1449" s="32"/>
      <c r="D1449" s="32"/>
      <c r="E1449" s="33"/>
      <c r="F1449" s="43" t="s">
        <v>558</v>
      </c>
      <c r="G1449" s="31" t="str">
        <f>IF(ISNUMBER(F1449),E1449*F1449,"")</f>
        <v/>
      </c>
      <c r="H1449" s="35"/>
      <c r="I1449" s="31"/>
      <c r="J1449" s="155">
        <v>0</v>
      </c>
    </row>
    <row r="1450" spans="1:10" ht="15.75" hidden="1" thickBot="1" x14ac:dyDescent="0.3">
      <c r="A1450" s="200"/>
      <c r="B1450" s="202"/>
      <c r="C1450" s="36" t="s">
        <v>30</v>
      </c>
      <c r="D1450" s="36" t="s">
        <v>12</v>
      </c>
      <c r="E1450" s="37">
        <v>0.65</v>
      </c>
      <c r="F1450" s="31">
        <v>22.895</v>
      </c>
      <c r="G1450" s="31">
        <f>IF(ISNUMBER(F1450),E1450*F1450,"")</f>
        <v>14.88175</v>
      </c>
      <c r="H1450" s="39">
        <f>SUM(G1450:G1461)</f>
        <v>27.467672999999998</v>
      </c>
      <c r="I1450" s="40"/>
      <c r="J1450" s="155">
        <v>0</v>
      </c>
    </row>
    <row r="1451" spans="1:10" ht="15.75" hidden="1" thickBot="1" x14ac:dyDescent="0.3">
      <c r="A1451" s="200"/>
      <c r="B1451" s="202"/>
      <c r="C1451" s="36" t="s">
        <v>74</v>
      </c>
      <c r="D1451" s="47" t="s">
        <v>12</v>
      </c>
      <c r="E1451" s="37">
        <v>0.65</v>
      </c>
      <c r="F1451" s="31">
        <v>17.802999999999997</v>
      </c>
      <c r="G1451" s="31">
        <f>IF(ISNUMBER(F1451),E1451*F1451,"")</f>
        <v>11.571949999999999</v>
      </c>
      <c r="H1451" s="35"/>
      <c r="I1451" s="31"/>
      <c r="J1451" s="155">
        <v>0</v>
      </c>
    </row>
    <row r="1452" spans="1:10" ht="26.25" hidden="1" thickBot="1" x14ac:dyDescent="0.3">
      <c r="A1452" s="200"/>
      <c r="B1452" s="202"/>
      <c r="C1452" s="36" t="s">
        <v>467</v>
      </c>
      <c r="D1452" s="36" t="s">
        <v>147</v>
      </c>
      <c r="E1452" s="37">
        <v>1.3332999999999999</v>
      </c>
      <c r="F1452" s="31">
        <v>0</v>
      </c>
      <c r="G1452" s="31">
        <f>IF(ISNUMBER(F1452),E1452*F1452,"")</f>
        <v>0</v>
      </c>
      <c r="H1452" s="62"/>
      <c r="I1452" s="1"/>
      <c r="J1452" s="155">
        <v>0</v>
      </c>
    </row>
    <row r="1453" spans="1:10" ht="26.25" hidden="1" thickBot="1" x14ac:dyDescent="0.3">
      <c r="A1453" s="200"/>
      <c r="B1453" s="202"/>
      <c r="C1453" s="36" t="s">
        <v>486</v>
      </c>
      <c r="D1453" s="36" t="s">
        <v>93</v>
      </c>
      <c r="E1453" s="37">
        <v>1.05</v>
      </c>
      <c r="F1453" s="34" t="s">
        <v>558</v>
      </c>
      <c r="G1453" s="31" t="str">
        <f>IF(ISNUMBER(F1453),E1453*F1453,"")</f>
        <v/>
      </c>
      <c r="H1453" s="35"/>
      <c r="I1453" s="31"/>
      <c r="J1453" s="155">
        <v>0</v>
      </c>
    </row>
    <row r="1454" spans="1:10" ht="15.75" hidden="1" thickBot="1" x14ac:dyDescent="0.3">
      <c r="A1454" s="200"/>
      <c r="B1454" s="202"/>
      <c r="C1454" s="36" t="s">
        <v>469</v>
      </c>
      <c r="D1454" s="36" t="s">
        <v>93</v>
      </c>
      <c r="E1454" s="37">
        <v>1.6</v>
      </c>
      <c r="F1454" s="31">
        <v>0</v>
      </c>
      <c r="G1454" s="31">
        <f>IF(ISNUMBER(F1454),E1454*F1454,"")</f>
        <v>0</v>
      </c>
      <c r="H1454" s="35"/>
      <c r="I1454" s="31"/>
      <c r="J1454" s="155">
        <v>0</v>
      </c>
    </row>
    <row r="1455" spans="1:10" ht="15.75" hidden="1" thickBot="1" x14ac:dyDescent="0.3">
      <c r="A1455" s="200"/>
      <c r="B1455" s="202"/>
      <c r="C1455" s="36" t="s">
        <v>470</v>
      </c>
      <c r="D1455" s="36" t="s">
        <v>292</v>
      </c>
      <c r="E1455" s="37">
        <v>5.3367000000000004</v>
      </c>
      <c r="F1455" s="34">
        <v>0.19</v>
      </c>
      <c r="G1455" s="31">
        <f>IF(ISNUMBER(F1455),E1455*F1455,"")</f>
        <v>1.013973</v>
      </c>
      <c r="H1455" s="35"/>
      <c r="I1455" s="31"/>
      <c r="J1455" s="155">
        <v>0</v>
      </c>
    </row>
    <row r="1456" spans="1:10" ht="15.75" hidden="1" thickBot="1" x14ac:dyDescent="0.3">
      <c r="A1456" s="200"/>
      <c r="B1456" s="202"/>
      <c r="C1456" s="36" t="s">
        <v>471</v>
      </c>
      <c r="D1456" s="36" t="s">
        <v>147</v>
      </c>
      <c r="E1456" s="37">
        <v>5.34</v>
      </c>
      <c r="F1456" s="31">
        <v>0</v>
      </c>
      <c r="G1456" s="31">
        <f>IF(ISNUMBER(F1456),E1456*F1456,"")</f>
        <v>0</v>
      </c>
      <c r="H1456" s="35"/>
      <c r="I1456" s="31"/>
      <c r="J1456" s="155">
        <v>0</v>
      </c>
    </row>
    <row r="1457" spans="1:10" ht="15.75" hidden="1" thickBot="1" x14ac:dyDescent="0.3">
      <c r="A1457" s="200"/>
      <c r="B1457" s="202"/>
      <c r="C1457" s="36" t="s">
        <v>487</v>
      </c>
      <c r="D1457" s="36" t="s">
        <v>147</v>
      </c>
      <c r="E1457" s="37">
        <v>0.67</v>
      </c>
      <c r="F1457" s="31">
        <v>0</v>
      </c>
      <c r="G1457" s="31">
        <f>IF(ISNUMBER(F1457),E1457*F1457,"")</f>
        <v>0</v>
      </c>
      <c r="H1457" s="35"/>
      <c r="I1457" s="31"/>
      <c r="J1457" s="155">
        <v>0</v>
      </c>
    </row>
    <row r="1458" spans="1:10" ht="15.75" hidden="1" thickBot="1" x14ac:dyDescent="0.3">
      <c r="A1458" s="200"/>
      <c r="B1458" s="202"/>
      <c r="C1458" s="36" t="s">
        <v>473</v>
      </c>
      <c r="D1458" s="36" t="s">
        <v>147</v>
      </c>
      <c r="E1458" s="37">
        <v>1.3332999999999999</v>
      </c>
      <c r="F1458" s="31">
        <v>0</v>
      </c>
      <c r="G1458" s="31">
        <f>IF(ISNUMBER(F1458),E1458*F1458,"")</f>
        <v>0</v>
      </c>
      <c r="H1458" s="35"/>
      <c r="I1458" s="31"/>
      <c r="J1458" s="155">
        <v>0</v>
      </c>
    </row>
    <row r="1459" spans="1:10" ht="15.75" hidden="1" thickBot="1" x14ac:dyDescent="0.3">
      <c r="A1459" s="200"/>
      <c r="B1459" s="202"/>
      <c r="C1459" s="36" t="s">
        <v>474</v>
      </c>
      <c r="D1459" s="36" t="s">
        <v>20</v>
      </c>
      <c r="E1459" s="37">
        <v>2.67</v>
      </c>
      <c r="F1459" s="31">
        <v>0</v>
      </c>
      <c r="G1459" s="31">
        <f>IF(ISNUMBER(F1459),E1459*F1459,"")</f>
        <v>0</v>
      </c>
      <c r="H1459" s="35"/>
      <c r="I1459" s="31"/>
      <c r="J1459" s="155">
        <v>0</v>
      </c>
    </row>
    <row r="1460" spans="1:10" ht="15.75" hidden="1" thickBot="1" x14ac:dyDescent="0.3">
      <c r="A1460" s="200"/>
      <c r="B1460" s="202"/>
      <c r="C1460" s="36" t="s">
        <v>480</v>
      </c>
      <c r="D1460" s="36" t="s">
        <v>147</v>
      </c>
      <c r="E1460" s="37">
        <v>0.67</v>
      </c>
      <c r="F1460" s="31">
        <v>0</v>
      </c>
      <c r="G1460" s="31">
        <f>IF(ISNUMBER(F1460),E1460*F1460,"")</f>
        <v>0</v>
      </c>
      <c r="H1460" s="35"/>
      <c r="I1460" s="31"/>
      <c r="J1460" s="155">
        <v>0</v>
      </c>
    </row>
    <row r="1461" spans="1:10" ht="26.25" hidden="1" thickBot="1" x14ac:dyDescent="0.3">
      <c r="A1461" s="200"/>
      <c r="B1461" s="202"/>
      <c r="C1461" s="36" t="s">
        <v>488</v>
      </c>
      <c r="D1461" s="36" t="s">
        <v>93</v>
      </c>
      <c r="E1461" s="37">
        <v>1.05</v>
      </c>
      <c r="F1461" s="34" t="s">
        <v>558</v>
      </c>
      <c r="G1461" s="31" t="str">
        <f>IF(ISNUMBER(F1461),E1461*F1461,"")</f>
        <v/>
      </c>
      <c r="H1461" s="35"/>
      <c r="I1461" s="31"/>
      <c r="J1461" s="155">
        <v>0</v>
      </c>
    </row>
    <row r="1462" spans="1:10" ht="15.75" hidden="1" thickBot="1" x14ac:dyDescent="0.3">
      <c r="A1462" s="201"/>
      <c r="B1462" s="188"/>
      <c r="C1462" s="36"/>
      <c r="D1462" s="36"/>
      <c r="E1462" s="37"/>
      <c r="F1462" s="31" t="s">
        <v>558</v>
      </c>
      <c r="G1462" s="31" t="str">
        <f>IF(ISNUMBER(F1462),E1462*F1462,"")</f>
        <v/>
      </c>
      <c r="H1462" s="35"/>
      <c r="I1462" s="31"/>
      <c r="J1462" s="155">
        <v>0</v>
      </c>
    </row>
    <row r="1463" spans="1:10" ht="15.75" hidden="1" thickBot="1" x14ac:dyDescent="0.3">
      <c r="A1463" s="180" t="s">
        <v>489</v>
      </c>
      <c r="B1463" s="186" t="str">
        <f>INDEX(Orçamentária!A:B,MATCH(Composições!A1463,Orçamentária!A:A,0),2)</f>
        <v>Eletrocalha 300x50 mm</v>
      </c>
      <c r="C1463" s="41"/>
      <c r="D1463" s="26" t="str">
        <f>TRIM(INDEX(Orçamentária!C:C,MATCH(Composições!A1463,Orçamentária!A:A,0),1))</f>
        <v>m</v>
      </c>
      <c r="E1463" s="27"/>
      <c r="F1463" s="42" t="s">
        <v>558</v>
      </c>
      <c r="G1463" s="28" t="str">
        <f>IF(ISNUMBER(F1463),E1463*F1463,"")</f>
        <v/>
      </c>
      <c r="H1463" s="29"/>
      <c r="I1463" s="30"/>
      <c r="J1463" s="155">
        <v>0</v>
      </c>
    </row>
    <row r="1464" spans="1:10" ht="15.75" hidden="1" thickBot="1" x14ac:dyDescent="0.3">
      <c r="A1464" s="200"/>
      <c r="B1464" s="202"/>
      <c r="C1464" s="32"/>
      <c r="D1464" s="32"/>
      <c r="E1464" s="33"/>
      <c r="F1464" s="43" t="s">
        <v>558</v>
      </c>
      <c r="G1464" s="31" t="str">
        <f>IF(ISNUMBER(F1464),E1464*F1464,"")</f>
        <v/>
      </c>
      <c r="H1464" s="35"/>
      <c r="I1464" s="31"/>
      <c r="J1464" s="155">
        <v>0</v>
      </c>
    </row>
    <row r="1465" spans="1:10" ht="15.75" hidden="1" thickBot="1" x14ac:dyDescent="0.3">
      <c r="A1465" s="200"/>
      <c r="B1465" s="202"/>
      <c r="C1465" s="36" t="s">
        <v>30</v>
      </c>
      <c r="D1465" s="36" t="s">
        <v>12</v>
      </c>
      <c r="E1465" s="37">
        <v>0.55000000000000004</v>
      </c>
      <c r="F1465" s="31">
        <v>22.895</v>
      </c>
      <c r="G1465" s="31">
        <f>IF(ISNUMBER(F1465),E1465*F1465,"")</f>
        <v>12.59225</v>
      </c>
      <c r="H1465" s="39">
        <f>SUM(G1465:G1476)</f>
        <v>23.397872999999997</v>
      </c>
      <c r="I1465" s="40"/>
      <c r="J1465" s="155">
        <v>0</v>
      </c>
    </row>
    <row r="1466" spans="1:10" ht="15.75" hidden="1" thickBot="1" x14ac:dyDescent="0.3">
      <c r="A1466" s="200"/>
      <c r="B1466" s="202"/>
      <c r="C1466" s="36" t="s">
        <v>74</v>
      </c>
      <c r="D1466" s="47" t="s">
        <v>12</v>
      </c>
      <c r="E1466" s="37">
        <v>0.55000000000000004</v>
      </c>
      <c r="F1466" s="31">
        <v>17.802999999999997</v>
      </c>
      <c r="G1466" s="31">
        <f>IF(ISNUMBER(F1466),E1466*F1466,"")</f>
        <v>9.7916499999999989</v>
      </c>
      <c r="H1466" s="35"/>
      <c r="I1466" s="31"/>
      <c r="J1466" s="155">
        <v>0</v>
      </c>
    </row>
    <row r="1467" spans="1:10" ht="26.25" hidden="1" thickBot="1" x14ac:dyDescent="0.3">
      <c r="A1467" s="200"/>
      <c r="B1467" s="202"/>
      <c r="C1467" s="36" t="s">
        <v>467</v>
      </c>
      <c r="D1467" s="36" t="s">
        <v>147</v>
      </c>
      <c r="E1467" s="37">
        <v>1.3332999999999999</v>
      </c>
      <c r="F1467" s="31">
        <v>0</v>
      </c>
      <c r="G1467" s="31">
        <f>IF(ISNUMBER(F1467),E1467*F1467,"")</f>
        <v>0</v>
      </c>
      <c r="H1467" s="62"/>
      <c r="I1467" s="1"/>
      <c r="J1467" s="155">
        <v>0</v>
      </c>
    </row>
    <row r="1468" spans="1:10" ht="26.25" hidden="1" thickBot="1" x14ac:dyDescent="0.3">
      <c r="A1468" s="200"/>
      <c r="B1468" s="202"/>
      <c r="C1468" s="36" t="s">
        <v>490</v>
      </c>
      <c r="D1468" s="36" t="s">
        <v>93</v>
      </c>
      <c r="E1468" s="37">
        <v>1.05</v>
      </c>
      <c r="F1468" s="34" t="s">
        <v>558</v>
      </c>
      <c r="G1468" s="31" t="str">
        <f>IF(ISNUMBER(F1468),E1468*F1468,"")</f>
        <v/>
      </c>
      <c r="H1468" s="35"/>
      <c r="I1468" s="31"/>
      <c r="J1468" s="155">
        <v>0</v>
      </c>
    </row>
    <row r="1469" spans="1:10" ht="15.75" hidden="1" thickBot="1" x14ac:dyDescent="0.3">
      <c r="A1469" s="200"/>
      <c r="B1469" s="202"/>
      <c r="C1469" s="36" t="s">
        <v>469</v>
      </c>
      <c r="D1469" s="36" t="s">
        <v>93</v>
      </c>
      <c r="E1469" s="37">
        <v>1.6</v>
      </c>
      <c r="F1469" s="31">
        <v>0</v>
      </c>
      <c r="G1469" s="31">
        <f>IF(ISNUMBER(F1469),E1469*F1469,"")</f>
        <v>0</v>
      </c>
      <c r="H1469" s="35"/>
      <c r="I1469" s="31"/>
      <c r="J1469" s="155">
        <v>0</v>
      </c>
    </row>
    <row r="1470" spans="1:10" ht="15.75" hidden="1" thickBot="1" x14ac:dyDescent="0.3">
      <c r="A1470" s="200"/>
      <c r="B1470" s="202"/>
      <c r="C1470" s="36" t="s">
        <v>470</v>
      </c>
      <c r="D1470" s="36" t="s">
        <v>292</v>
      </c>
      <c r="E1470" s="37">
        <v>5.3367000000000004</v>
      </c>
      <c r="F1470" s="34">
        <v>0.19</v>
      </c>
      <c r="G1470" s="31">
        <f>IF(ISNUMBER(F1470),E1470*F1470,"")</f>
        <v>1.013973</v>
      </c>
      <c r="H1470" s="35"/>
      <c r="I1470" s="31"/>
      <c r="J1470" s="155">
        <v>0</v>
      </c>
    </row>
    <row r="1471" spans="1:10" ht="15.75" hidden="1" thickBot="1" x14ac:dyDescent="0.3">
      <c r="A1471" s="200"/>
      <c r="B1471" s="202"/>
      <c r="C1471" s="36" t="s">
        <v>471</v>
      </c>
      <c r="D1471" s="36" t="s">
        <v>147</v>
      </c>
      <c r="E1471" s="37">
        <v>5.34</v>
      </c>
      <c r="F1471" s="31">
        <v>0</v>
      </c>
      <c r="G1471" s="31">
        <f>IF(ISNUMBER(F1471),E1471*F1471,"")</f>
        <v>0</v>
      </c>
      <c r="H1471" s="35"/>
      <c r="I1471" s="31"/>
      <c r="J1471" s="155">
        <v>0</v>
      </c>
    </row>
    <row r="1472" spans="1:10" ht="15.75" hidden="1" thickBot="1" x14ac:dyDescent="0.3">
      <c r="A1472" s="200"/>
      <c r="B1472" s="202"/>
      <c r="C1472" s="36" t="s">
        <v>491</v>
      </c>
      <c r="D1472" s="36" t="s">
        <v>147</v>
      </c>
      <c r="E1472" s="37">
        <v>0.67</v>
      </c>
      <c r="F1472" s="31">
        <v>0</v>
      </c>
      <c r="G1472" s="31">
        <f>IF(ISNUMBER(F1472),E1472*F1472,"")</f>
        <v>0</v>
      </c>
      <c r="H1472" s="35"/>
      <c r="I1472" s="31"/>
      <c r="J1472" s="155">
        <v>0</v>
      </c>
    </row>
    <row r="1473" spans="1:10" ht="15.75" hidden="1" thickBot="1" x14ac:dyDescent="0.3">
      <c r="A1473" s="200"/>
      <c r="B1473" s="202"/>
      <c r="C1473" s="36" t="s">
        <v>473</v>
      </c>
      <c r="D1473" s="36" t="s">
        <v>147</v>
      </c>
      <c r="E1473" s="37">
        <v>1.3332999999999999</v>
      </c>
      <c r="F1473" s="31">
        <v>0</v>
      </c>
      <c r="G1473" s="31">
        <f>IF(ISNUMBER(F1473),E1473*F1473,"")</f>
        <v>0</v>
      </c>
      <c r="H1473" s="35"/>
      <c r="I1473" s="31"/>
      <c r="J1473" s="155">
        <v>0</v>
      </c>
    </row>
    <row r="1474" spans="1:10" ht="15.75" hidden="1" thickBot="1" x14ac:dyDescent="0.3">
      <c r="A1474" s="200"/>
      <c r="B1474" s="202"/>
      <c r="C1474" s="36" t="s">
        <v>474</v>
      </c>
      <c r="D1474" s="36" t="s">
        <v>20</v>
      </c>
      <c r="E1474" s="37">
        <v>2.67</v>
      </c>
      <c r="F1474" s="31">
        <v>0</v>
      </c>
      <c r="G1474" s="31">
        <f>IF(ISNUMBER(F1474),E1474*F1474,"")</f>
        <v>0</v>
      </c>
      <c r="H1474" s="35"/>
      <c r="I1474" s="31"/>
      <c r="J1474" s="155">
        <v>0</v>
      </c>
    </row>
    <row r="1475" spans="1:10" ht="15.75" hidden="1" thickBot="1" x14ac:dyDescent="0.3">
      <c r="A1475" s="200"/>
      <c r="B1475" s="202"/>
      <c r="C1475" s="36" t="s">
        <v>475</v>
      </c>
      <c r="D1475" s="36" t="s">
        <v>147</v>
      </c>
      <c r="E1475" s="37">
        <v>0.67</v>
      </c>
      <c r="F1475" s="31">
        <v>0</v>
      </c>
      <c r="G1475" s="31">
        <f>IF(ISNUMBER(F1475),E1475*F1475,"")</f>
        <v>0</v>
      </c>
      <c r="H1475" s="35"/>
      <c r="I1475" s="31"/>
      <c r="J1475" s="155">
        <v>0</v>
      </c>
    </row>
    <row r="1476" spans="1:10" ht="26.25" hidden="1" thickBot="1" x14ac:dyDescent="0.3">
      <c r="A1476" s="200"/>
      <c r="B1476" s="202"/>
      <c r="C1476" s="36" t="s">
        <v>488</v>
      </c>
      <c r="D1476" s="36" t="s">
        <v>93</v>
      </c>
      <c r="E1476" s="37">
        <v>1.05</v>
      </c>
      <c r="F1476" s="34" t="s">
        <v>558</v>
      </c>
      <c r="G1476" s="31" t="str">
        <f>IF(ISNUMBER(F1476),E1476*F1476,"")</f>
        <v/>
      </c>
      <c r="H1476" s="35"/>
      <c r="I1476" s="31"/>
      <c r="J1476" s="155">
        <v>0</v>
      </c>
    </row>
    <row r="1477" spans="1:10" ht="15.75" hidden="1" thickBot="1" x14ac:dyDescent="0.3">
      <c r="A1477" s="201"/>
      <c r="B1477" s="188"/>
      <c r="C1477" s="36"/>
      <c r="D1477" s="36"/>
      <c r="E1477" s="37"/>
      <c r="F1477" s="31" t="s">
        <v>558</v>
      </c>
      <c r="G1477" s="31" t="str">
        <f>IF(ISNUMBER(F1477),E1477*F1477,"")</f>
        <v/>
      </c>
      <c r="H1477" s="35"/>
      <c r="I1477" s="31"/>
      <c r="J1477" s="155">
        <v>0</v>
      </c>
    </row>
    <row r="1478" spans="1:10" ht="15.75" hidden="1" thickBot="1" x14ac:dyDescent="0.3">
      <c r="A1478" s="180" t="s">
        <v>492</v>
      </c>
      <c r="B1478" s="186" t="str">
        <f>INDEX(Orçamentária!A:B,MATCH(Composições!A1478,Orçamentária!A:A,0),2)</f>
        <v>Eletrocalha 400x50 mm</v>
      </c>
      <c r="C1478" s="41"/>
      <c r="D1478" s="26" t="str">
        <f>TRIM(INDEX(Orçamentária!C:C,MATCH(Composições!A1478,Orçamentária!A:A,0),1))</f>
        <v>m</v>
      </c>
      <c r="E1478" s="27"/>
      <c r="F1478" s="42" t="s">
        <v>558</v>
      </c>
      <c r="G1478" s="28" t="str">
        <f>IF(ISNUMBER(F1478),E1478*F1478,"")</f>
        <v/>
      </c>
      <c r="H1478" s="29"/>
      <c r="I1478" s="30"/>
      <c r="J1478" s="155">
        <v>0</v>
      </c>
    </row>
    <row r="1479" spans="1:10" ht="15.75" hidden="1" thickBot="1" x14ac:dyDescent="0.3">
      <c r="A1479" s="200"/>
      <c r="B1479" s="202"/>
      <c r="C1479" s="32"/>
      <c r="D1479" s="32"/>
      <c r="E1479" s="33"/>
      <c r="F1479" s="43" t="s">
        <v>558</v>
      </c>
      <c r="G1479" s="31" t="str">
        <f>IF(ISNUMBER(F1479),E1479*F1479,"")</f>
        <v/>
      </c>
      <c r="H1479" s="35"/>
      <c r="I1479" s="31"/>
      <c r="J1479" s="155">
        <v>0</v>
      </c>
    </row>
    <row r="1480" spans="1:10" ht="15.75" hidden="1" thickBot="1" x14ac:dyDescent="0.3">
      <c r="A1480" s="200"/>
      <c r="B1480" s="202"/>
      <c r="C1480" s="36" t="s">
        <v>30</v>
      </c>
      <c r="D1480" s="36" t="s">
        <v>12</v>
      </c>
      <c r="E1480" s="37">
        <v>0.55000000000000004</v>
      </c>
      <c r="F1480" s="31">
        <v>22.895</v>
      </c>
      <c r="G1480" s="31">
        <f>IF(ISNUMBER(F1480),E1480*F1480,"")</f>
        <v>12.59225</v>
      </c>
      <c r="H1480" s="39">
        <f>SUM(G1480:G1491)</f>
        <v>23.397872999999997</v>
      </c>
      <c r="I1480" s="40"/>
      <c r="J1480" s="155">
        <v>0</v>
      </c>
    </row>
    <row r="1481" spans="1:10" ht="15.75" hidden="1" thickBot="1" x14ac:dyDescent="0.3">
      <c r="A1481" s="200"/>
      <c r="B1481" s="202"/>
      <c r="C1481" s="36" t="s">
        <v>74</v>
      </c>
      <c r="D1481" s="47" t="s">
        <v>12</v>
      </c>
      <c r="E1481" s="37">
        <v>0.55000000000000004</v>
      </c>
      <c r="F1481" s="31">
        <v>17.802999999999997</v>
      </c>
      <c r="G1481" s="31">
        <f>IF(ISNUMBER(F1481),E1481*F1481,"")</f>
        <v>9.7916499999999989</v>
      </c>
      <c r="H1481" s="35"/>
      <c r="I1481" s="31"/>
      <c r="J1481" s="155">
        <v>0</v>
      </c>
    </row>
    <row r="1482" spans="1:10" ht="26.25" hidden="1" thickBot="1" x14ac:dyDescent="0.3">
      <c r="A1482" s="200"/>
      <c r="B1482" s="202"/>
      <c r="C1482" s="36" t="s">
        <v>467</v>
      </c>
      <c r="D1482" s="36" t="s">
        <v>147</v>
      </c>
      <c r="E1482" s="37">
        <v>1.3332999999999999</v>
      </c>
      <c r="F1482" s="31">
        <v>0</v>
      </c>
      <c r="G1482" s="31">
        <f>IF(ISNUMBER(F1482),E1482*F1482,"")</f>
        <v>0</v>
      </c>
      <c r="H1482" s="62"/>
      <c r="I1482" s="1"/>
      <c r="J1482" s="155">
        <v>0</v>
      </c>
    </row>
    <row r="1483" spans="1:10" ht="26.25" hidden="1" thickBot="1" x14ac:dyDescent="0.3">
      <c r="A1483" s="200"/>
      <c r="B1483" s="202"/>
      <c r="C1483" s="36" t="s">
        <v>493</v>
      </c>
      <c r="D1483" s="36" t="s">
        <v>93</v>
      </c>
      <c r="E1483" s="37">
        <v>1.05</v>
      </c>
      <c r="F1483" s="34" t="s">
        <v>558</v>
      </c>
      <c r="G1483" s="31" t="str">
        <f>IF(ISNUMBER(F1483),E1483*F1483,"")</f>
        <v/>
      </c>
      <c r="H1483" s="35"/>
      <c r="I1483" s="31"/>
      <c r="J1483" s="155">
        <v>0</v>
      </c>
    </row>
    <row r="1484" spans="1:10" ht="15.75" hidden="1" thickBot="1" x14ac:dyDescent="0.3">
      <c r="A1484" s="200"/>
      <c r="B1484" s="202"/>
      <c r="C1484" s="36" t="s">
        <v>469</v>
      </c>
      <c r="D1484" s="36" t="s">
        <v>93</v>
      </c>
      <c r="E1484" s="37">
        <v>1.6</v>
      </c>
      <c r="F1484" s="31">
        <v>0</v>
      </c>
      <c r="G1484" s="31">
        <f>IF(ISNUMBER(F1484),E1484*F1484,"")</f>
        <v>0</v>
      </c>
      <c r="H1484" s="35"/>
      <c r="I1484" s="31"/>
      <c r="J1484" s="155">
        <v>0</v>
      </c>
    </row>
    <row r="1485" spans="1:10" ht="15.75" hidden="1" thickBot="1" x14ac:dyDescent="0.3">
      <c r="A1485" s="200"/>
      <c r="B1485" s="202"/>
      <c r="C1485" s="36" t="s">
        <v>470</v>
      </c>
      <c r="D1485" s="36" t="s">
        <v>292</v>
      </c>
      <c r="E1485" s="37">
        <v>5.3367000000000004</v>
      </c>
      <c r="F1485" s="34">
        <v>0.19</v>
      </c>
      <c r="G1485" s="31">
        <f>IF(ISNUMBER(F1485),E1485*F1485,"")</f>
        <v>1.013973</v>
      </c>
      <c r="H1485" s="35"/>
      <c r="I1485" s="31"/>
      <c r="J1485" s="155">
        <v>0</v>
      </c>
    </row>
    <row r="1486" spans="1:10" ht="15.75" hidden="1" thickBot="1" x14ac:dyDescent="0.3">
      <c r="A1486" s="200"/>
      <c r="B1486" s="202"/>
      <c r="C1486" s="36" t="s">
        <v>471</v>
      </c>
      <c r="D1486" s="36" t="s">
        <v>147</v>
      </c>
      <c r="E1486" s="37">
        <v>5.34</v>
      </c>
      <c r="F1486" s="31">
        <v>0</v>
      </c>
      <c r="G1486" s="31">
        <f>IF(ISNUMBER(F1486),E1486*F1486,"")</f>
        <v>0</v>
      </c>
      <c r="H1486" s="35"/>
      <c r="I1486" s="31"/>
      <c r="J1486" s="155">
        <v>0</v>
      </c>
    </row>
    <row r="1487" spans="1:10" ht="15.75" hidden="1" thickBot="1" x14ac:dyDescent="0.3">
      <c r="A1487" s="200"/>
      <c r="B1487" s="202"/>
      <c r="C1487" s="36" t="s">
        <v>494</v>
      </c>
      <c r="D1487" s="36" t="s">
        <v>147</v>
      </c>
      <c r="E1487" s="37">
        <v>0.67</v>
      </c>
      <c r="F1487" s="31">
        <v>0</v>
      </c>
      <c r="G1487" s="31">
        <f>IF(ISNUMBER(F1487),E1487*F1487,"")</f>
        <v>0</v>
      </c>
      <c r="H1487" s="35"/>
      <c r="I1487" s="31"/>
      <c r="J1487" s="155">
        <v>0</v>
      </c>
    </row>
    <row r="1488" spans="1:10" ht="15.75" hidden="1" thickBot="1" x14ac:dyDescent="0.3">
      <c r="A1488" s="200"/>
      <c r="B1488" s="202"/>
      <c r="C1488" s="36" t="s">
        <v>473</v>
      </c>
      <c r="D1488" s="36" t="s">
        <v>147</v>
      </c>
      <c r="E1488" s="37">
        <v>1.3332999999999999</v>
      </c>
      <c r="F1488" s="31">
        <v>0</v>
      </c>
      <c r="G1488" s="31">
        <f>IF(ISNUMBER(F1488),E1488*F1488,"")</f>
        <v>0</v>
      </c>
      <c r="H1488" s="35"/>
      <c r="I1488" s="31"/>
      <c r="J1488" s="155">
        <v>0</v>
      </c>
    </row>
    <row r="1489" spans="1:10" ht="15.75" hidden="1" thickBot="1" x14ac:dyDescent="0.3">
      <c r="A1489" s="200"/>
      <c r="B1489" s="202"/>
      <c r="C1489" s="36" t="s">
        <v>474</v>
      </c>
      <c r="D1489" s="36" t="s">
        <v>20</v>
      </c>
      <c r="E1489" s="37">
        <v>2.67</v>
      </c>
      <c r="F1489" s="31">
        <v>0</v>
      </c>
      <c r="G1489" s="31">
        <f>IF(ISNUMBER(F1489),E1489*F1489,"")</f>
        <v>0</v>
      </c>
      <c r="H1489" s="35"/>
      <c r="I1489" s="31"/>
      <c r="J1489" s="155">
        <v>0</v>
      </c>
    </row>
    <row r="1490" spans="1:10" ht="15.75" hidden="1" thickBot="1" x14ac:dyDescent="0.3">
      <c r="A1490" s="200"/>
      <c r="B1490" s="202"/>
      <c r="C1490" s="36" t="s">
        <v>475</v>
      </c>
      <c r="D1490" s="36" t="s">
        <v>147</v>
      </c>
      <c r="E1490" s="37">
        <v>0.67</v>
      </c>
      <c r="F1490" s="31">
        <v>0</v>
      </c>
      <c r="G1490" s="31">
        <f>IF(ISNUMBER(F1490),E1490*F1490,"")</f>
        <v>0</v>
      </c>
      <c r="H1490" s="35"/>
      <c r="I1490" s="31"/>
      <c r="J1490" s="155">
        <v>0</v>
      </c>
    </row>
    <row r="1491" spans="1:10" ht="26.25" hidden="1" thickBot="1" x14ac:dyDescent="0.3">
      <c r="A1491" s="200"/>
      <c r="B1491" s="202"/>
      <c r="C1491" s="36" t="s">
        <v>495</v>
      </c>
      <c r="D1491" s="36" t="s">
        <v>93</v>
      </c>
      <c r="E1491" s="37">
        <v>1.05</v>
      </c>
      <c r="F1491" s="34" t="s">
        <v>558</v>
      </c>
      <c r="G1491" s="31" t="str">
        <f>IF(ISNUMBER(F1491),E1491*F1491,"")</f>
        <v/>
      </c>
      <c r="H1491" s="35"/>
      <c r="I1491" s="31"/>
      <c r="J1491" s="155">
        <v>0</v>
      </c>
    </row>
    <row r="1492" spans="1:10" ht="15.75" hidden="1" thickBot="1" x14ac:dyDescent="0.3">
      <c r="A1492" s="201"/>
      <c r="B1492" s="188"/>
      <c r="C1492" s="36"/>
      <c r="D1492" s="36"/>
      <c r="E1492" s="37"/>
      <c r="F1492" s="31" t="s">
        <v>558</v>
      </c>
      <c r="G1492" s="31" t="str">
        <f>IF(ISNUMBER(F1492),E1492*F1492,"")</f>
        <v/>
      </c>
      <c r="H1492" s="35"/>
      <c r="I1492" s="31"/>
      <c r="J1492" s="155">
        <v>0</v>
      </c>
    </row>
    <row r="1493" spans="1:10" ht="15.75" hidden="1" thickBot="1" x14ac:dyDescent="0.3">
      <c r="A1493" s="180" t="s">
        <v>496</v>
      </c>
      <c r="B1493" s="186" t="str">
        <f>INDEX(Orçamentária!A:B,MATCH(Composições!A1493,Orçamentária!A:A,0),2)</f>
        <v>Eletrocalha 50x50 mm</v>
      </c>
      <c r="C1493" s="41"/>
      <c r="D1493" s="26" t="str">
        <f>TRIM(INDEX(Orçamentária!C:C,MATCH(Composições!A1493,Orçamentária!A:A,0),1))</f>
        <v>m</v>
      </c>
      <c r="E1493" s="27"/>
      <c r="F1493" s="42" t="s">
        <v>558</v>
      </c>
      <c r="G1493" s="28" t="str">
        <f>IF(ISNUMBER(F1493),E1493*F1493,"")</f>
        <v/>
      </c>
      <c r="H1493" s="29"/>
      <c r="I1493" s="30"/>
      <c r="J1493" s="155">
        <v>0</v>
      </c>
    </row>
    <row r="1494" spans="1:10" ht="15.75" hidden="1" thickBot="1" x14ac:dyDescent="0.3">
      <c r="A1494" s="181"/>
      <c r="B1494" s="202"/>
      <c r="C1494" s="32"/>
      <c r="D1494" s="32"/>
      <c r="E1494" s="33"/>
      <c r="F1494" s="43" t="s">
        <v>558</v>
      </c>
      <c r="G1494" s="31" t="str">
        <f>IF(ISNUMBER(F1494),E1494*F1494,"")</f>
        <v/>
      </c>
      <c r="H1494" s="35"/>
      <c r="I1494" s="31"/>
      <c r="J1494" s="155">
        <v>0</v>
      </c>
    </row>
    <row r="1495" spans="1:10" ht="15.75" hidden="1" thickBot="1" x14ac:dyDescent="0.3">
      <c r="A1495" s="181"/>
      <c r="B1495" s="202"/>
      <c r="C1495" s="36" t="s">
        <v>30</v>
      </c>
      <c r="D1495" s="36" t="s">
        <v>12</v>
      </c>
      <c r="E1495" s="37">
        <v>0.45</v>
      </c>
      <c r="F1495" s="31">
        <v>22.895</v>
      </c>
      <c r="G1495" s="31">
        <f>IF(ISNUMBER(F1495),E1495*F1495,"")</f>
        <v>10.30275</v>
      </c>
      <c r="H1495" s="39">
        <f>SUM(G1495:G1506)</f>
        <v>19.711226999999997</v>
      </c>
      <c r="I1495" s="40"/>
      <c r="J1495" s="155">
        <v>0</v>
      </c>
    </row>
    <row r="1496" spans="1:10" ht="15.75" hidden="1" thickBot="1" x14ac:dyDescent="0.3">
      <c r="A1496" s="181"/>
      <c r="B1496" s="202"/>
      <c r="C1496" s="36" t="s">
        <v>74</v>
      </c>
      <c r="D1496" s="47" t="s">
        <v>12</v>
      </c>
      <c r="E1496" s="37">
        <v>0.45</v>
      </c>
      <c r="F1496" s="31">
        <v>17.802999999999997</v>
      </c>
      <c r="G1496" s="31">
        <f>IF(ISNUMBER(F1496),E1496*F1496,"")</f>
        <v>8.0113499999999984</v>
      </c>
      <c r="H1496" s="35"/>
      <c r="I1496" s="31"/>
      <c r="J1496" s="155">
        <v>0</v>
      </c>
    </row>
    <row r="1497" spans="1:10" ht="26.25" hidden="1" thickBot="1" x14ac:dyDescent="0.3">
      <c r="A1497" s="181"/>
      <c r="B1497" s="202"/>
      <c r="C1497" s="36" t="s">
        <v>467</v>
      </c>
      <c r="D1497" s="36" t="s">
        <v>147</v>
      </c>
      <c r="E1497" s="37">
        <v>0.67</v>
      </c>
      <c r="F1497" s="31">
        <v>0</v>
      </c>
      <c r="G1497" s="31">
        <f>IF(ISNUMBER(F1497),E1497*F1497,"")</f>
        <v>0</v>
      </c>
      <c r="H1497" s="62"/>
      <c r="I1497" s="1"/>
      <c r="J1497" s="155">
        <v>0</v>
      </c>
    </row>
    <row r="1498" spans="1:10" ht="26.25" hidden="1" thickBot="1" x14ac:dyDescent="0.3">
      <c r="A1498" s="181"/>
      <c r="B1498" s="202"/>
      <c r="C1498" s="36" t="s">
        <v>497</v>
      </c>
      <c r="D1498" s="36" t="s">
        <v>93</v>
      </c>
      <c r="E1498" s="37">
        <v>1.05</v>
      </c>
      <c r="F1498" s="34" t="s">
        <v>558</v>
      </c>
      <c r="G1498" s="31" t="str">
        <f>IF(ISNUMBER(F1498),E1498*F1498,"")</f>
        <v/>
      </c>
      <c r="H1498" s="35"/>
      <c r="I1498" s="31"/>
      <c r="J1498" s="155">
        <v>0</v>
      </c>
    </row>
    <row r="1499" spans="1:10" ht="15.75" hidden="1" thickBot="1" x14ac:dyDescent="0.3">
      <c r="A1499" s="181"/>
      <c r="B1499" s="202"/>
      <c r="C1499" s="36" t="s">
        <v>469</v>
      </c>
      <c r="D1499" s="36" t="s">
        <v>93</v>
      </c>
      <c r="E1499" s="37">
        <v>0.8</v>
      </c>
      <c r="F1499" s="31">
        <v>0</v>
      </c>
      <c r="G1499" s="31">
        <f>IF(ISNUMBER(F1499),E1499*F1499,"")</f>
        <v>0</v>
      </c>
      <c r="H1499" s="35"/>
      <c r="I1499" s="31"/>
      <c r="J1499" s="155">
        <v>0</v>
      </c>
    </row>
    <row r="1500" spans="1:10" ht="15.75" hidden="1" thickBot="1" x14ac:dyDescent="0.3">
      <c r="A1500" s="181"/>
      <c r="B1500" s="202"/>
      <c r="C1500" s="36" t="s">
        <v>470</v>
      </c>
      <c r="D1500" s="36" t="s">
        <v>292</v>
      </c>
      <c r="E1500" s="37">
        <v>4.0033000000000003</v>
      </c>
      <c r="F1500" s="34">
        <v>0.19</v>
      </c>
      <c r="G1500" s="31">
        <f>IF(ISNUMBER(F1500),E1500*F1500,"")</f>
        <v>0.76062700000000005</v>
      </c>
      <c r="H1500" s="35"/>
      <c r="I1500" s="31"/>
      <c r="J1500" s="155">
        <v>0</v>
      </c>
    </row>
    <row r="1501" spans="1:10" ht="15.75" hidden="1" thickBot="1" x14ac:dyDescent="0.3">
      <c r="A1501" s="181"/>
      <c r="B1501" s="202"/>
      <c r="C1501" s="36" t="s">
        <v>471</v>
      </c>
      <c r="D1501" s="36" t="s">
        <v>147</v>
      </c>
      <c r="E1501" s="37">
        <v>4.0033000000000003</v>
      </c>
      <c r="F1501" s="31">
        <v>0</v>
      </c>
      <c r="G1501" s="31">
        <f>IF(ISNUMBER(F1501),E1501*F1501,"")</f>
        <v>0</v>
      </c>
      <c r="H1501" s="35"/>
      <c r="I1501" s="31"/>
      <c r="J1501" s="155">
        <v>0</v>
      </c>
    </row>
    <row r="1502" spans="1:10" ht="15.75" hidden="1" thickBot="1" x14ac:dyDescent="0.3">
      <c r="A1502" s="181"/>
      <c r="B1502" s="202"/>
      <c r="C1502" s="36" t="s">
        <v>498</v>
      </c>
      <c r="D1502" s="36" t="s">
        <v>147</v>
      </c>
      <c r="E1502" s="37">
        <v>0.67</v>
      </c>
      <c r="F1502" s="31">
        <v>0.95</v>
      </c>
      <c r="G1502" s="31">
        <f>IF(ISNUMBER(F1502),E1502*F1502,"")</f>
        <v>0.63649999999999995</v>
      </c>
      <c r="H1502" s="35"/>
      <c r="I1502" s="31"/>
      <c r="J1502" s="155">
        <v>0</v>
      </c>
    </row>
    <row r="1503" spans="1:10" ht="15.75" hidden="1" thickBot="1" x14ac:dyDescent="0.3">
      <c r="A1503" s="181"/>
      <c r="B1503" s="202"/>
      <c r="C1503" s="36" t="s">
        <v>473</v>
      </c>
      <c r="D1503" s="36" t="s">
        <v>147</v>
      </c>
      <c r="E1503" s="37">
        <v>1.05</v>
      </c>
      <c r="F1503" s="31">
        <v>0</v>
      </c>
      <c r="G1503" s="31">
        <f>IF(ISNUMBER(F1503),E1503*F1503,"")</f>
        <v>0</v>
      </c>
      <c r="H1503" s="35"/>
      <c r="I1503" s="31"/>
      <c r="J1503" s="155">
        <v>0</v>
      </c>
    </row>
    <row r="1504" spans="1:10" ht="15.75" hidden="1" thickBot="1" x14ac:dyDescent="0.3">
      <c r="A1504" s="181"/>
      <c r="B1504" s="202"/>
      <c r="C1504" s="36" t="s">
        <v>474</v>
      </c>
      <c r="D1504" s="36" t="s">
        <v>20</v>
      </c>
      <c r="E1504" s="37">
        <v>2.67</v>
      </c>
      <c r="F1504" s="31">
        <v>0</v>
      </c>
      <c r="G1504" s="31">
        <f>IF(ISNUMBER(F1504),E1504*F1504,"")</f>
        <v>0</v>
      </c>
      <c r="H1504" s="35"/>
      <c r="I1504" s="31"/>
      <c r="J1504" s="155">
        <v>0</v>
      </c>
    </row>
    <row r="1505" spans="1:10" ht="15.75" hidden="1" thickBot="1" x14ac:dyDescent="0.3">
      <c r="A1505" s="181"/>
      <c r="B1505" s="202"/>
      <c r="C1505" s="36" t="s">
        <v>475</v>
      </c>
      <c r="D1505" s="36" t="s">
        <v>147</v>
      </c>
      <c r="E1505" s="37">
        <v>0.66669999999999996</v>
      </c>
      <c r="F1505" s="31">
        <v>0</v>
      </c>
      <c r="G1505" s="31">
        <f>IF(ISNUMBER(F1505),E1505*F1505,"")</f>
        <v>0</v>
      </c>
      <c r="H1505" s="35"/>
      <c r="I1505" s="31"/>
      <c r="J1505" s="155">
        <v>0</v>
      </c>
    </row>
    <row r="1506" spans="1:10" ht="26.25" hidden="1" thickBot="1" x14ac:dyDescent="0.3">
      <c r="A1506" s="181"/>
      <c r="B1506" s="202"/>
      <c r="C1506" s="36" t="s">
        <v>499</v>
      </c>
      <c r="D1506" s="36" t="s">
        <v>93</v>
      </c>
      <c r="E1506" s="37">
        <v>1.05</v>
      </c>
      <c r="F1506" s="34" t="s">
        <v>558</v>
      </c>
      <c r="G1506" s="31" t="str">
        <f>IF(ISNUMBER(F1506),E1506*F1506,"")</f>
        <v/>
      </c>
      <c r="H1506" s="35"/>
      <c r="I1506" s="31"/>
      <c r="J1506" s="155">
        <v>0</v>
      </c>
    </row>
    <row r="1507" spans="1:10" ht="15.75" hidden="1" thickBot="1" x14ac:dyDescent="0.3">
      <c r="A1507" s="182"/>
      <c r="B1507" s="188"/>
      <c r="C1507" s="36"/>
      <c r="D1507" s="36"/>
      <c r="E1507" s="37"/>
      <c r="F1507" s="31" t="s">
        <v>558</v>
      </c>
      <c r="G1507" s="31" t="str">
        <f>IF(ISNUMBER(F1507),E1507*F1507,"")</f>
        <v/>
      </c>
      <c r="H1507" s="35"/>
      <c r="I1507" s="31"/>
      <c r="J1507" s="155">
        <v>0</v>
      </c>
    </row>
    <row r="1508" spans="1:10" ht="15.75" hidden="1" thickBot="1" x14ac:dyDescent="0.3">
      <c r="A1508" s="180" t="s">
        <v>500</v>
      </c>
      <c r="B1508" s="186" t="str">
        <f>INDEX(Orçamentária!A:B,MATCH(Composições!A1508,Orçamentária!A:A,0),2)</f>
        <v>Eletroduto de aço galvanizado de 1 1/2"</v>
      </c>
      <c r="C1508" s="41"/>
      <c r="D1508" s="26" t="str">
        <f>TRIM(INDEX(Orçamentária!C:C,MATCH(Composições!A1508,Orçamentária!A:A,0),1))</f>
        <v>m</v>
      </c>
      <c r="E1508" s="27"/>
      <c r="F1508" s="42" t="s">
        <v>558</v>
      </c>
      <c r="G1508" s="28" t="str">
        <f>IF(ISNUMBER(F1508),E1508*F1508,"")</f>
        <v/>
      </c>
      <c r="H1508" s="29"/>
      <c r="I1508" s="30"/>
      <c r="J1508" s="155">
        <v>0</v>
      </c>
    </row>
    <row r="1509" spans="1:10" ht="15.75" hidden="1" thickBot="1" x14ac:dyDescent="0.3">
      <c r="A1509" s="200"/>
      <c r="B1509" s="202"/>
      <c r="C1509" s="32"/>
      <c r="D1509" s="32"/>
      <c r="E1509" s="33"/>
      <c r="F1509" s="43" t="s">
        <v>558</v>
      </c>
      <c r="G1509" s="31" t="str">
        <f>IF(ISNUMBER(F1509),E1509*F1509,"")</f>
        <v/>
      </c>
      <c r="H1509" s="35"/>
      <c r="I1509" s="31"/>
      <c r="J1509" s="155">
        <v>0</v>
      </c>
    </row>
    <row r="1510" spans="1:10" ht="15.75" hidden="1" thickBot="1" x14ac:dyDescent="0.3">
      <c r="A1510" s="200"/>
      <c r="B1510" s="202"/>
      <c r="C1510" s="36" t="s">
        <v>501</v>
      </c>
      <c r="D1510" s="36" t="s">
        <v>93</v>
      </c>
      <c r="E1510" s="37">
        <v>1.05</v>
      </c>
      <c r="F1510" s="31">
        <v>0.95</v>
      </c>
      <c r="G1510" s="34">
        <f>IF(ISNUMBER(F1510),E1510*F1510,"")</f>
        <v>0.99749999999999994</v>
      </c>
      <c r="H1510" s="39">
        <f>SUM(G1510:G1514)</f>
        <v>20.358800615340002</v>
      </c>
      <c r="I1510" s="40"/>
      <c r="J1510" s="155">
        <v>0</v>
      </c>
    </row>
    <row r="1511" spans="1:10" ht="15.75" hidden="1" thickBot="1" x14ac:dyDescent="0.3">
      <c r="A1511" s="200"/>
      <c r="B1511" s="202"/>
      <c r="C1511" s="36" t="s">
        <v>30</v>
      </c>
      <c r="D1511" s="36" t="s">
        <v>12</v>
      </c>
      <c r="E1511" s="37">
        <v>0.28210000000000002</v>
      </c>
      <c r="F1511" s="31">
        <v>22.895</v>
      </c>
      <c r="G1511" s="34">
        <f>IF(ISNUMBER(F1511),E1511*F1511,"")</f>
        <v>6.4586795000000006</v>
      </c>
      <c r="H1511" s="35"/>
      <c r="I1511" s="31"/>
      <c r="J1511" s="155">
        <v>0</v>
      </c>
    </row>
    <row r="1512" spans="1:10" ht="15.75" hidden="1" thickBot="1" x14ac:dyDescent="0.3">
      <c r="A1512" s="200"/>
      <c r="B1512" s="202"/>
      <c r="C1512" s="36" t="s">
        <v>74</v>
      </c>
      <c r="D1512" s="36" t="s">
        <v>12</v>
      </c>
      <c r="E1512" s="37">
        <v>0.28210000000000002</v>
      </c>
      <c r="F1512" s="31">
        <v>17.802999999999997</v>
      </c>
      <c r="G1512" s="34">
        <f>IF(ISNUMBER(F1512),E1512*F1512,"")</f>
        <v>5.0222262999999998</v>
      </c>
      <c r="H1512" s="35"/>
      <c r="I1512" s="31"/>
      <c r="J1512" s="155">
        <v>0</v>
      </c>
    </row>
    <row r="1513" spans="1:10" ht="39" hidden="1" thickBot="1" x14ac:dyDescent="0.3">
      <c r="A1513" s="200"/>
      <c r="B1513" s="202"/>
      <c r="C1513" s="36" t="s">
        <v>502</v>
      </c>
      <c r="D1513" s="36" t="s">
        <v>93</v>
      </c>
      <c r="E1513" s="37">
        <v>2</v>
      </c>
      <c r="F1513" s="34">
        <v>1.3015380000000001</v>
      </c>
      <c r="G1513" s="34">
        <f>IF(ISNUMBER(F1513),E1513*F1513,"")</f>
        <v>2.6030760000000002</v>
      </c>
      <c r="H1513" s="35"/>
      <c r="I1513" s="31"/>
      <c r="J1513" s="155">
        <v>0</v>
      </c>
    </row>
    <row r="1514" spans="1:10" ht="26.25" hidden="1" thickBot="1" x14ac:dyDescent="0.3">
      <c r="A1514" s="200"/>
      <c r="B1514" s="202"/>
      <c r="C1514" s="36" t="s">
        <v>503</v>
      </c>
      <c r="D1514" s="36" t="s">
        <v>292</v>
      </c>
      <c r="E1514" s="37">
        <v>0.33329999999999999</v>
      </c>
      <c r="F1514" s="34">
        <v>15.833539799999999</v>
      </c>
      <c r="G1514" s="34">
        <f>IF(ISNUMBER(F1514),E1514*F1514,"")</f>
        <v>5.2773188153399992</v>
      </c>
      <c r="H1514" s="35"/>
      <c r="I1514" s="31"/>
      <c r="J1514" s="155">
        <v>0</v>
      </c>
    </row>
    <row r="1515" spans="1:10" ht="15.75" hidden="1" thickBot="1" x14ac:dyDescent="0.3">
      <c r="A1515" s="201"/>
      <c r="B1515" s="188"/>
      <c r="C1515" s="36"/>
      <c r="D1515" s="36"/>
      <c r="E1515" s="37"/>
      <c r="F1515" s="31" t="s">
        <v>558</v>
      </c>
      <c r="G1515" s="31" t="str">
        <f>IF(ISNUMBER(F1515),E1515*F1515,"")</f>
        <v/>
      </c>
      <c r="H1515" s="35"/>
      <c r="I1515" s="31"/>
      <c r="J1515" s="155">
        <v>0</v>
      </c>
    </row>
    <row r="1516" spans="1:10" ht="15.75" hidden="1" thickBot="1" x14ac:dyDescent="0.3">
      <c r="A1516" s="180" t="s">
        <v>504</v>
      </c>
      <c r="B1516" s="186" t="str">
        <f>INDEX(Orçamentária!A:B,MATCH(Composições!A1516,Orçamentária!A:A,0),2)</f>
        <v>Eletroduto de aço galvanizado de 1 1/4"</v>
      </c>
      <c r="C1516" s="41"/>
      <c r="D1516" s="26" t="str">
        <f>TRIM(INDEX(Orçamentária!C:C,MATCH(Composições!A1516,Orçamentária!A:A,0),1))</f>
        <v>m</v>
      </c>
      <c r="E1516" s="27"/>
      <c r="F1516" s="42" t="s">
        <v>558</v>
      </c>
      <c r="G1516" s="28" t="str">
        <f>IF(ISNUMBER(F1516),E1516*F1516,"")</f>
        <v/>
      </c>
      <c r="H1516" s="29"/>
      <c r="I1516" s="30"/>
      <c r="J1516" s="155">
        <v>0</v>
      </c>
    </row>
    <row r="1517" spans="1:10" ht="15.75" hidden="1" thickBot="1" x14ac:dyDescent="0.3">
      <c r="A1517" s="200"/>
      <c r="B1517" s="202"/>
      <c r="C1517" s="32"/>
      <c r="D1517" s="32"/>
      <c r="E1517" s="33"/>
      <c r="F1517" s="43" t="s">
        <v>558</v>
      </c>
      <c r="G1517" s="31" t="str">
        <f>IF(ISNUMBER(F1517),E1517*F1517,"")</f>
        <v/>
      </c>
      <c r="H1517" s="35"/>
      <c r="I1517" s="31"/>
      <c r="J1517" s="155">
        <v>0</v>
      </c>
    </row>
    <row r="1518" spans="1:10" ht="15.75" hidden="1" thickBot="1" x14ac:dyDescent="0.3">
      <c r="A1518" s="200"/>
      <c r="B1518" s="202"/>
      <c r="C1518" s="36" t="s">
        <v>505</v>
      </c>
      <c r="D1518" s="36" t="s">
        <v>93</v>
      </c>
      <c r="E1518" s="37">
        <v>1.05</v>
      </c>
      <c r="F1518" s="31">
        <v>0</v>
      </c>
      <c r="G1518" s="34">
        <f>IF(ISNUMBER(F1518),E1518*F1518,"")</f>
        <v>0</v>
      </c>
      <c r="H1518" s="39">
        <f>SUM(G1518:G1522)</f>
        <v>16.967242647479999</v>
      </c>
      <c r="I1518" s="40"/>
      <c r="J1518" s="155">
        <v>0</v>
      </c>
    </row>
    <row r="1519" spans="1:10" ht="15.75" hidden="1" thickBot="1" x14ac:dyDescent="0.3">
      <c r="A1519" s="200"/>
      <c r="B1519" s="202"/>
      <c r="C1519" s="36" t="s">
        <v>30</v>
      </c>
      <c r="D1519" s="36" t="s">
        <v>12</v>
      </c>
      <c r="E1519" s="37">
        <v>0.247</v>
      </c>
      <c r="F1519" s="31">
        <v>22.895</v>
      </c>
      <c r="G1519" s="34">
        <f>IF(ISNUMBER(F1519),E1519*F1519,"")</f>
        <v>5.6550649999999996</v>
      </c>
      <c r="H1519" s="35"/>
      <c r="I1519" s="31"/>
      <c r="J1519" s="155">
        <v>0</v>
      </c>
    </row>
    <row r="1520" spans="1:10" ht="15.75" hidden="1" thickBot="1" x14ac:dyDescent="0.3">
      <c r="A1520" s="200"/>
      <c r="B1520" s="202"/>
      <c r="C1520" s="36" t="s">
        <v>74</v>
      </c>
      <c r="D1520" s="36" t="s">
        <v>12</v>
      </c>
      <c r="E1520" s="37">
        <v>0.247</v>
      </c>
      <c r="F1520" s="31">
        <v>17.802999999999997</v>
      </c>
      <c r="G1520" s="34">
        <f>IF(ISNUMBER(F1520),E1520*F1520,"")</f>
        <v>4.3973409999999991</v>
      </c>
      <c r="H1520" s="35"/>
      <c r="I1520" s="31"/>
      <c r="J1520" s="155">
        <v>0</v>
      </c>
    </row>
    <row r="1521" spans="1:10" ht="39" hidden="1" thickBot="1" x14ac:dyDescent="0.3">
      <c r="A1521" s="200"/>
      <c r="B1521" s="202"/>
      <c r="C1521" s="36" t="s">
        <v>502</v>
      </c>
      <c r="D1521" s="36" t="s">
        <v>93</v>
      </c>
      <c r="E1521" s="37">
        <v>2</v>
      </c>
      <c r="F1521" s="34">
        <v>1.3015380000000001</v>
      </c>
      <c r="G1521" s="34">
        <f>IF(ISNUMBER(F1521),E1521*F1521,"")</f>
        <v>2.6030760000000002</v>
      </c>
      <c r="H1521" s="35"/>
      <c r="I1521" s="31"/>
      <c r="J1521" s="155">
        <v>0</v>
      </c>
    </row>
    <row r="1522" spans="1:10" ht="26.25" hidden="1" thickBot="1" x14ac:dyDescent="0.3">
      <c r="A1522" s="200"/>
      <c r="B1522" s="202"/>
      <c r="C1522" s="36" t="s">
        <v>506</v>
      </c>
      <c r="D1522" s="36" t="s">
        <v>292</v>
      </c>
      <c r="E1522" s="37">
        <v>0.33329999999999999</v>
      </c>
      <c r="F1522" s="34">
        <v>12.936575599999999</v>
      </c>
      <c r="G1522" s="34">
        <f>IF(ISNUMBER(F1522),E1522*F1522,"")</f>
        <v>4.3117606474799999</v>
      </c>
      <c r="H1522" s="35"/>
      <c r="I1522" s="31"/>
      <c r="J1522" s="155">
        <v>0</v>
      </c>
    </row>
    <row r="1523" spans="1:10" ht="15.75" hidden="1" thickBot="1" x14ac:dyDescent="0.3">
      <c r="A1523" s="201"/>
      <c r="B1523" s="188"/>
      <c r="C1523" s="36"/>
      <c r="D1523" s="36"/>
      <c r="E1523" s="37"/>
      <c r="F1523" s="31" t="s">
        <v>558</v>
      </c>
      <c r="G1523" s="31" t="str">
        <f>IF(ISNUMBER(F1523),E1523*F1523,"")</f>
        <v/>
      </c>
      <c r="H1523" s="35"/>
      <c r="I1523" s="31"/>
      <c r="J1523" s="155">
        <v>0</v>
      </c>
    </row>
    <row r="1524" spans="1:10" ht="15.75" hidden="1" thickBot="1" x14ac:dyDescent="0.3">
      <c r="A1524" s="180" t="s">
        <v>507</v>
      </c>
      <c r="B1524" s="186" t="str">
        <f>INDEX(Orçamentária!A:B,MATCH(Composições!A1524,Orçamentária!A:A,0),2)</f>
        <v>Eletroduto de aço galvanizado de 1"</v>
      </c>
      <c r="C1524" s="41"/>
      <c r="D1524" s="26" t="str">
        <f>TRIM(INDEX(Orçamentária!C:C,MATCH(Composições!A1524,Orçamentária!A:A,0),1))</f>
        <v>m</v>
      </c>
      <c r="E1524" s="27"/>
      <c r="F1524" s="42" t="s">
        <v>558</v>
      </c>
      <c r="G1524" s="28" t="str">
        <f>IF(ISNUMBER(F1524),E1524*F1524,"")</f>
        <v/>
      </c>
      <c r="H1524" s="29"/>
      <c r="I1524" s="30"/>
      <c r="J1524" s="155">
        <v>0</v>
      </c>
    </row>
    <row r="1525" spans="1:10" ht="15.75" hidden="1" thickBot="1" x14ac:dyDescent="0.3">
      <c r="A1525" s="200"/>
      <c r="B1525" s="202"/>
      <c r="C1525" s="32"/>
      <c r="D1525" s="32"/>
      <c r="E1525" s="33"/>
      <c r="F1525" s="43" t="s">
        <v>558</v>
      </c>
      <c r="G1525" s="31" t="str">
        <f>IF(ISNUMBER(F1525),E1525*F1525,"")</f>
        <v/>
      </c>
      <c r="H1525" s="35"/>
      <c r="I1525" s="31"/>
      <c r="J1525" s="155">
        <v>0</v>
      </c>
    </row>
    <row r="1526" spans="1:10" ht="15.75" hidden="1" thickBot="1" x14ac:dyDescent="0.3">
      <c r="A1526" s="200"/>
      <c r="B1526" s="202"/>
      <c r="C1526" s="36" t="s">
        <v>508</v>
      </c>
      <c r="D1526" s="36" t="s">
        <v>93</v>
      </c>
      <c r="E1526" s="37">
        <v>1.05</v>
      </c>
      <c r="F1526" s="31">
        <v>0</v>
      </c>
      <c r="G1526" s="34">
        <f>IF(ISNUMBER(F1526),E1526*F1526,"")</f>
        <v>0</v>
      </c>
      <c r="H1526" s="39">
        <f>SUM(G1526:G1530)</f>
        <v>14.81917985322</v>
      </c>
      <c r="I1526" s="40"/>
      <c r="J1526" s="155">
        <v>0</v>
      </c>
    </row>
    <row r="1527" spans="1:10" ht="15.75" hidden="1" thickBot="1" x14ac:dyDescent="0.3">
      <c r="A1527" s="200"/>
      <c r="B1527" s="202"/>
      <c r="C1527" s="36" t="s">
        <v>30</v>
      </c>
      <c r="D1527" s="36" t="s">
        <v>12</v>
      </c>
      <c r="E1527" s="37">
        <v>0.21629999999999999</v>
      </c>
      <c r="F1527" s="31">
        <v>22.895</v>
      </c>
      <c r="G1527" s="34">
        <f>IF(ISNUMBER(F1527),E1527*F1527,"")</f>
        <v>4.9521885000000001</v>
      </c>
      <c r="H1527" s="35"/>
      <c r="I1527" s="31"/>
      <c r="J1527" s="155">
        <v>0</v>
      </c>
    </row>
    <row r="1528" spans="1:10" ht="15.75" hidden="1" thickBot="1" x14ac:dyDescent="0.3">
      <c r="A1528" s="200"/>
      <c r="B1528" s="202"/>
      <c r="C1528" s="36" t="s">
        <v>74</v>
      </c>
      <c r="D1528" s="36" t="s">
        <v>12</v>
      </c>
      <c r="E1528" s="37">
        <v>0.21629999999999999</v>
      </c>
      <c r="F1528" s="31">
        <v>17.802999999999997</v>
      </c>
      <c r="G1528" s="34">
        <f>IF(ISNUMBER(F1528),E1528*F1528,"")</f>
        <v>3.8507888999999991</v>
      </c>
      <c r="H1528" s="35"/>
      <c r="I1528" s="31"/>
      <c r="J1528" s="155">
        <v>0</v>
      </c>
    </row>
    <row r="1529" spans="1:10" ht="39" hidden="1" thickBot="1" x14ac:dyDescent="0.3">
      <c r="A1529" s="200"/>
      <c r="B1529" s="202"/>
      <c r="C1529" s="36" t="s">
        <v>502</v>
      </c>
      <c r="D1529" s="36" t="s">
        <v>93</v>
      </c>
      <c r="E1529" s="37">
        <v>2</v>
      </c>
      <c r="F1529" s="34">
        <v>1.3015380000000001</v>
      </c>
      <c r="G1529" s="34">
        <f>IF(ISNUMBER(F1529),E1529*F1529,"")</f>
        <v>2.6030760000000002</v>
      </c>
      <c r="H1529" s="35"/>
      <c r="I1529" s="31"/>
      <c r="J1529" s="155">
        <v>0</v>
      </c>
    </row>
    <row r="1530" spans="1:10" ht="26.25" hidden="1" thickBot="1" x14ac:dyDescent="0.3">
      <c r="A1530" s="200"/>
      <c r="B1530" s="202"/>
      <c r="C1530" s="36" t="s">
        <v>509</v>
      </c>
      <c r="D1530" s="36" t="s">
        <v>292</v>
      </c>
      <c r="E1530" s="37">
        <v>0.33329999999999999</v>
      </c>
      <c r="F1530" s="34">
        <v>10.2404034</v>
      </c>
      <c r="G1530" s="34">
        <f>IF(ISNUMBER(F1530),E1530*F1530,"")</f>
        <v>3.4131264532199999</v>
      </c>
      <c r="H1530" s="35"/>
      <c r="I1530" s="31"/>
      <c r="J1530" s="155">
        <v>0</v>
      </c>
    </row>
    <row r="1531" spans="1:10" ht="15.75" hidden="1" thickBot="1" x14ac:dyDescent="0.3">
      <c r="A1531" s="201"/>
      <c r="B1531" s="188"/>
      <c r="C1531" s="36"/>
      <c r="D1531" s="36"/>
      <c r="E1531" s="37"/>
      <c r="F1531" s="31" t="s">
        <v>558</v>
      </c>
      <c r="G1531" s="31" t="str">
        <f>IF(ISNUMBER(F1531),E1531*F1531,"")</f>
        <v/>
      </c>
      <c r="H1531" s="35"/>
      <c r="I1531" s="31"/>
      <c r="J1531" s="155">
        <v>0</v>
      </c>
    </row>
    <row r="1532" spans="1:10" ht="15.75" hidden="1" thickBot="1" x14ac:dyDescent="0.3">
      <c r="A1532" s="180" t="s">
        <v>510</v>
      </c>
      <c r="B1532" s="186" t="str">
        <f>INDEX(Orçamentária!A:B,MATCH(Composições!A1532,Orçamentária!A:A,0),2)</f>
        <v>Eletroduto de aço galvanizado de 2"</v>
      </c>
      <c r="C1532" s="41"/>
      <c r="D1532" s="26" t="str">
        <f>TRIM(INDEX(Orçamentária!C:C,MATCH(Composições!A1532,Orçamentária!A:A,0),1))</f>
        <v>m</v>
      </c>
      <c r="E1532" s="27"/>
      <c r="F1532" s="42" t="s">
        <v>558</v>
      </c>
      <c r="G1532" s="28" t="str">
        <f>IF(ISNUMBER(F1532),E1532*F1532,"")</f>
        <v/>
      </c>
      <c r="H1532" s="29"/>
      <c r="I1532" s="30"/>
      <c r="J1532" s="155">
        <v>0</v>
      </c>
    </row>
    <row r="1533" spans="1:10" ht="15.75" hidden="1" thickBot="1" x14ac:dyDescent="0.3">
      <c r="A1533" s="200"/>
      <c r="B1533" s="202"/>
      <c r="C1533" s="32"/>
      <c r="D1533" s="32"/>
      <c r="E1533" s="33"/>
      <c r="F1533" s="43" t="s">
        <v>558</v>
      </c>
      <c r="G1533" s="31" t="str">
        <f>IF(ISNUMBER(F1533),E1533*F1533,"")</f>
        <v/>
      </c>
      <c r="H1533" s="35"/>
      <c r="I1533" s="31"/>
      <c r="J1533" s="155">
        <v>0</v>
      </c>
    </row>
    <row r="1534" spans="1:10" ht="15.75" hidden="1" thickBot="1" x14ac:dyDescent="0.3">
      <c r="A1534" s="200"/>
      <c r="B1534" s="202"/>
      <c r="C1534" s="36" t="s">
        <v>511</v>
      </c>
      <c r="D1534" s="36" t="s">
        <v>93</v>
      </c>
      <c r="E1534" s="37">
        <v>1.05</v>
      </c>
      <c r="F1534" s="31">
        <v>0</v>
      </c>
      <c r="G1534" s="34">
        <f>IF(ISNUMBER(F1534),E1534*F1534,"")</f>
        <v>0</v>
      </c>
      <c r="H1534" s="39">
        <f>SUM(G1534:G1538)</f>
        <v>22.704822765339998</v>
      </c>
      <c r="I1534" s="40"/>
      <c r="J1534" s="155">
        <v>0</v>
      </c>
    </row>
    <row r="1535" spans="1:10" ht="15.75" hidden="1" thickBot="1" x14ac:dyDescent="0.3">
      <c r="A1535" s="200"/>
      <c r="B1535" s="202"/>
      <c r="C1535" s="36" t="s">
        <v>30</v>
      </c>
      <c r="D1535" s="36" t="s">
        <v>12</v>
      </c>
      <c r="E1535" s="37">
        <v>0.28210000000000002</v>
      </c>
      <c r="F1535" s="31">
        <v>22.895</v>
      </c>
      <c r="G1535" s="34">
        <f>IF(ISNUMBER(F1535),E1535*F1535,"")</f>
        <v>6.4586795000000006</v>
      </c>
      <c r="H1535" s="35"/>
      <c r="I1535" s="31"/>
      <c r="J1535" s="155">
        <v>0</v>
      </c>
    </row>
    <row r="1536" spans="1:10" ht="15.75" hidden="1" thickBot="1" x14ac:dyDescent="0.3">
      <c r="A1536" s="200"/>
      <c r="B1536" s="202"/>
      <c r="C1536" s="36" t="s">
        <v>74</v>
      </c>
      <c r="D1536" s="36" t="s">
        <v>12</v>
      </c>
      <c r="E1536" s="37">
        <v>0.28210000000000002</v>
      </c>
      <c r="F1536" s="31">
        <v>17.802999999999997</v>
      </c>
      <c r="G1536" s="34">
        <f>IF(ISNUMBER(F1536),E1536*F1536,"")</f>
        <v>5.0222262999999998</v>
      </c>
      <c r="H1536" s="35"/>
      <c r="I1536" s="31"/>
      <c r="J1536" s="155">
        <v>0</v>
      </c>
    </row>
    <row r="1537" spans="1:10" ht="51.75" hidden="1" thickBot="1" x14ac:dyDescent="0.3">
      <c r="A1537" s="200"/>
      <c r="B1537" s="202"/>
      <c r="C1537" s="36" t="s">
        <v>512</v>
      </c>
      <c r="D1537" s="36" t="s">
        <v>513</v>
      </c>
      <c r="E1537" s="37">
        <v>2</v>
      </c>
      <c r="F1537" s="34">
        <v>2.6424154999999998</v>
      </c>
      <c r="G1537" s="34">
        <f>IF(ISNUMBER(F1537),E1537*F1537,"")</f>
        <v>5.2848309999999996</v>
      </c>
      <c r="H1537" s="35"/>
      <c r="I1537" s="31"/>
      <c r="J1537" s="155">
        <v>0</v>
      </c>
    </row>
    <row r="1538" spans="1:10" ht="26.25" hidden="1" thickBot="1" x14ac:dyDescent="0.3">
      <c r="A1538" s="200"/>
      <c r="B1538" s="202"/>
      <c r="C1538" s="36" t="s">
        <v>514</v>
      </c>
      <c r="D1538" s="36" t="s">
        <v>292</v>
      </c>
      <c r="E1538" s="37">
        <v>0.33329999999999999</v>
      </c>
      <c r="F1538" s="34">
        <v>17.819039799999999</v>
      </c>
      <c r="G1538" s="31">
        <f>IF(ISNUMBER(F1538),E1538*F1538,"")</f>
        <v>5.9390859653399994</v>
      </c>
      <c r="H1538" s="35"/>
      <c r="I1538" s="31"/>
      <c r="J1538" s="155">
        <v>0</v>
      </c>
    </row>
    <row r="1539" spans="1:10" ht="15.75" hidden="1" thickBot="1" x14ac:dyDescent="0.3">
      <c r="A1539" s="201"/>
      <c r="B1539" s="188"/>
      <c r="C1539" s="36"/>
      <c r="D1539" s="36"/>
      <c r="E1539" s="37"/>
      <c r="F1539" s="31" t="s">
        <v>558</v>
      </c>
      <c r="G1539" s="31" t="str">
        <f>IF(ISNUMBER(F1539),E1539*F1539,"")</f>
        <v/>
      </c>
      <c r="H1539" s="35"/>
      <c r="I1539" s="31"/>
      <c r="J1539" s="155">
        <v>0</v>
      </c>
    </row>
    <row r="1540" spans="1:10" ht="15.75" hidden="1" thickBot="1" x14ac:dyDescent="0.3">
      <c r="A1540" s="180" t="s">
        <v>515</v>
      </c>
      <c r="B1540" s="186" t="str">
        <f>INDEX(Orçamentária!A:B,MATCH(Composições!A1540,Orçamentária!A:A,0),2)</f>
        <v>Eletroduto de aço galvanizado de 3/4"</v>
      </c>
      <c r="C1540" s="41"/>
      <c r="D1540" s="26" t="str">
        <f>TRIM(INDEX(Orçamentária!C:C,MATCH(Composições!A1540,Orçamentária!A:A,0),1))</f>
        <v>m</v>
      </c>
      <c r="E1540" s="27"/>
      <c r="F1540" s="42" t="s">
        <v>558</v>
      </c>
      <c r="G1540" s="28" t="str">
        <f>IF(ISNUMBER(F1540),E1540*F1540,"")</f>
        <v/>
      </c>
      <c r="H1540" s="29"/>
      <c r="I1540" s="30"/>
      <c r="J1540" s="155">
        <v>0</v>
      </c>
    </row>
    <row r="1541" spans="1:10" ht="15.75" hidden="1" thickBot="1" x14ac:dyDescent="0.3">
      <c r="A1541" s="200"/>
      <c r="B1541" s="202"/>
      <c r="C1541" s="32"/>
      <c r="D1541" s="32"/>
      <c r="E1541" s="33"/>
      <c r="F1541" s="43" t="s">
        <v>558</v>
      </c>
      <c r="G1541" s="31" t="str">
        <f>IF(ISNUMBER(F1541),E1541*F1541,"")</f>
        <v/>
      </c>
      <c r="H1541" s="35"/>
      <c r="I1541" s="31"/>
      <c r="J1541" s="155">
        <v>0</v>
      </c>
    </row>
    <row r="1542" spans="1:10" ht="15.75" hidden="1" thickBot="1" x14ac:dyDescent="0.3">
      <c r="A1542" s="200"/>
      <c r="B1542" s="202"/>
      <c r="C1542" s="36" t="s">
        <v>516</v>
      </c>
      <c r="D1542" s="36" t="s">
        <v>93</v>
      </c>
      <c r="E1542" s="37">
        <v>1.05</v>
      </c>
      <c r="F1542" s="31">
        <v>0</v>
      </c>
      <c r="G1542" s="34">
        <f>IF(ISNUMBER(F1542),E1542*F1542,"")</f>
        <v>0</v>
      </c>
      <c r="H1542" s="39">
        <f>SUM(G1542:G1546)</f>
        <v>13.556637849179998</v>
      </c>
      <c r="I1542" s="40"/>
      <c r="J1542" s="155">
        <v>0</v>
      </c>
    </row>
    <row r="1543" spans="1:10" ht="15.75" hidden="1" thickBot="1" x14ac:dyDescent="0.3">
      <c r="A1543" s="200"/>
      <c r="B1543" s="202"/>
      <c r="C1543" s="36" t="s">
        <v>30</v>
      </c>
      <c r="D1543" s="36" t="s">
        <v>12</v>
      </c>
      <c r="E1543" s="37">
        <v>0.19439999999999999</v>
      </c>
      <c r="F1543" s="31">
        <v>22.895</v>
      </c>
      <c r="G1543" s="34">
        <f>IF(ISNUMBER(F1543),E1543*F1543,"")</f>
        <v>4.4507879999999993</v>
      </c>
      <c r="H1543" s="35"/>
      <c r="I1543" s="31"/>
      <c r="J1543" s="155">
        <v>0</v>
      </c>
    </row>
    <row r="1544" spans="1:10" ht="15.75" hidden="1" thickBot="1" x14ac:dyDescent="0.3">
      <c r="A1544" s="200"/>
      <c r="B1544" s="202"/>
      <c r="C1544" s="36" t="s">
        <v>74</v>
      </c>
      <c r="D1544" s="36" t="s">
        <v>12</v>
      </c>
      <c r="E1544" s="37">
        <v>0.19439999999999999</v>
      </c>
      <c r="F1544" s="31">
        <v>17.802999999999997</v>
      </c>
      <c r="G1544" s="34">
        <f>IF(ISNUMBER(F1544),E1544*F1544,"")</f>
        <v>3.4609031999999993</v>
      </c>
      <c r="H1544" s="35"/>
      <c r="I1544" s="31"/>
      <c r="J1544" s="155">
        <v>0</v>
      </c>
    </row>
    <row r="1545" spans="1:10" ht="39" hidden="1" thickBot="1" x14ac:dyDescent="0.3">
      <c r="A1545" s="200"/>
      <c r="B1545" s="202"/>
      <c r="C1545" s="36" t="s">
        <v>502</v>
      </c>
      <c r="D1545" s="36" t="s">
        <v>93</v>
      </c>
      <c r="E1545" s="37">
        <v>2</v>
      </c>
      <c r="F1545" s="34">
        <v>1.3015380000000001</v>
      </c>
      <c r="G1545" s="34">
        <f>IF(ISNUMBER(F1545),E1545*F1545,"")</f>
        <v>2.6030760000000002</v>
      </c>
      <c r="H1545" s="35"/>
      <c r="I1545" s="31"/>
      <c r="J1545" s="155">
        <v>0</v>
      </c>
    </row>
    <row r="1546" spans="1:10" ht="26.25" hidden="1" thickBot="1" x14ac:dyDescent="0.3">
      <c r="A1546" s="200"/>
      <c r="B1546" s="202"/>
      <c r="C1546" s="36" t="s">
        <v>517</v>
      </c>
      <c r="D1546" s="36" t="s">
        <v>292</v>
      </c>
      <c r="E1546" s="37">
        <v>0.33329999999999999</v>
      </c>
      <c r="F1546" s="34">
        <v>9.1265245999999998</v>
      </c>
      <c r="G1546" s="34">
        <f>IF(ISNUMBER(F1546),E1546*F1546,"")</f>
        <v>3.0418706491799998</v>
      </c>
      <c r="H1546" s="35"/>
      <c r="I1546" s="31"/>
      <c r="J1546" s="155">
        <v>0</v>
      </c>
    </row>
    <row r="1547" spans="1:10" ht="15.75" hidden="1" thickBot="1" x14ac:dyDescent="0.3">
      <c r="A1547" s="201"/>
      <c r="B1547" s="188"/>
      <c r="C1547" s="36"/>
      <c r="D1547" s="36"/>
      <c r="E1547" s="37"/>
      <c r="F1547" s="31" t="s">
        <v>558</v>
      </c>
      <c r="G1547" s="31" t="str">
        <f>IF(ISNUMBER(F1547),E1547*F1547,"")</f>
        <v/>
      </c>
      <c r="H1547" s="35"/>
      <c r="I1547" s="31"/>
      <c r="J1547" s="155">
        <v>0</v>
      </c>
    </row>
    <row r="1548" spans="1:10" ht="15.75" hidden="1" thickBot="1" x14ac:dyDescent="0.3">
      <c r="A1548" s="180" t="s">
        <v>518</v>
      </c>
      <c r="B1548" s="186" t="str">
        <f>INDEX(Orçamentária!A:B,MATCH(Composições!A1548,Orçamentária!A:A,0),2)</f>
        <v>Eletroduto de PVC Corrugado Reforçado 1'' (DE 32mm)</v>
      </c>
      <c r="C1548" s="41"/>
      <c r="D1548" s="26" t="str">
        <f>TRIM(INDEX(Orçamentária!C:C,MATCH(Composições!A1548,Orçamentária!A:A,0),1))</f>
        <v>m</v>
      </c>
      <c r="E1548" s="27"/>
      <c r="F1548" s="42" t="s">
        <v>558</v>
      </c>
      <c r="G1548" s="28" t="str">
        <f>IF(ISNUMBER(F1548),E1548*F1548,"")</f>
        <v/>
      </c>
      <c r="H1548" s="29"/>
      <c r="I1548" s="30"/>
      <c r="J1548" s="155">
        <v>0</v>
      </c>
    </row>
    <row r="1549" spans="1:10" ht="15.75" hidden="1" thickBot="1" x14ac:dyDescent="0.3">
      <c r="A1549" s="200"/>
      <c r="B1549" s="202"/>
      <c r="C1549" s="32"/>
      <c r="D1549" s="32"/>
      <c r="E1549" s="33"/>
      <c r="F1549" s="43" t="s">
        <v>558</v>
      </c>
      <c r="G1549" s="31" t="str">
        <f>IF(ISNUMBER(F1549),E1549*F1549,"")</f>
        <v/>
      </c>
      <c r="H1549" s="35"/>
      <c r="I1549" s="31"/>
      <c r="J1549" s="155">
        <v>0</v>
      </c>
    </row>
    <row r="1550" spans="1:10" ht="26.25" hidden="1" thickBot="1" x14ac:dyDescent="0.3">
      <c r="A1550" s="200"/>
      <c r="B1550" s="202"/>
      <c r="C1550" s="36" t="s">
        <v>519</v>
      </c>
      <c r="D1550" s="36" t="s">
        <v>93</v>
      </c>
      <c r="E1550" s="37">
        <v>1.1000000000000001</v>
      </c>
      <c r="F1550" s="34">
        <v>6.3839999999999995</v>
      </c>
      <c r="G1550" s="34">
        <f>IF(ISNUMBER(F1550),E1550*F1550,"")</f>
        <v>7.0224000000000002</v>
      </c>
      <c r="H1550" s="39">
        <f>SUM(G1550:G1553)</f>
        <v>13.245080499999998</v>
      </c>
      <c r="I1550" s="40"/>
      <c r="J1550" s="155">
        <v>0</v>
      </c>
    </row>
    <row r="1551" spans="1:10" ht="15.75" hidden="1" thickBot="1" x14ac:dyDescent="0.3">
      <c r="A1551" s="200"/>
      <c r="B1551" s="202"/>
      <c r="C1551" s="36" t="s">
        <v>30</v>
      </c>
      <c r="D1551" s="36" t="s">
        <v>12</v>
      </c>
      <c r="E1551" s="37">
        <v>0.09</v>
      </c>
      <c r="F1551" s="31">
        <v>22.895</v>
      </c>
      <c r="G1551" s="34">
        <f>IF(ISNUMBER(F1551),E1551*F1551,"")</f>
        <v>2.0605500000000001</v>
      </c>
      <c r="H1551" s="35"/>
      <c r="I1551" s="31"/>
      <c r="J1551" s="155">
        <v>0</v>
      </c>
    </row>
    <row r="1552" spans="1:10" ht="15.75" hidden="1" thickBot="1" x14ac:dyDescent="0.3">
      <c r="A1552" s="200"/>
      <c r="B1552" s="202"/>
      <c r="C1552" s="36" t="s">
        <v>74</v>
      </c>
      <c r="D1552" s="36" t="s">
        <v>12</v>
      </c>
      <c r="E1552" s="37">
        <v>0.09</v>
      </c>
      <c r="F1552" s="31">
        <v>17.802999999999997</v>
      </c>
      <c r="G1552" s="34">
        <f>IF(ISNUMBER(F1552),E1552*F1552,"")</f>
        <v>1.6022699999999996</v>
      </c>
      <c r="H1552" s="35"/>
      <c r="I1552" s="31"/>
      <c r="J1552" s="155">
        <v>0</v>
      </c>
    </row>
    <row r="1553" spans="1:10" ht="39" hidden="1" thickBot="1" x14ac:dyDescent="0.3">
      <c r="A1553" s="200"/>
      <c r="B1553" s="202"/>
      <c r="C1553" s="36" t="s">
        <v>520</v>
      </c>
      <c r="D1553" s="36" t="s">
        <v>93</v>
      </c>
      <c r="E1553" s="37">
        <v>1</v>
      </c>
      <c r="F1553" s="34">
        <v>2.5598604999999997</v>
      </c>
      <c r="G1553" s="31">
        <f>IF(ISNUMBER(F1553),E1553*F1553,"")</f>
        <v>2.5598604999999997</v>
      </c>
      <c r="H1553" s="35"/>
      <c r="I1553" s="31"/>
      <c r="J1553" s="155">
        <v>0</v>
      </c>
    </row>
    <row r="1554" spans="1:10" ht="15.75" hidden="1" thickBot="1" x14ac:dyDescent="0.3">
      <c r="A1554" s="201"/>
      <c r="B1554" s="188"/>
      <c r="C1554" s="36"/>
      <c r="D1554" s="36"/>
      <c r="E1554" s="37"/>
      <c r="F1554" s="31" t="s">
        <v>558</v>
      </c>
      <c r="G1554" s="31" t="str">
        <f>IF(ISNUMBER(F1554),E1554*F1554,"")</f>
        <v/>
      </c>
      <c r="H1554" s="35"/>
      <c r="I1554" s="31"/>
      <c r="J1554" s="155">
        <v>0</v>
      </c>
    </row>
    <row r="1555" spans="1:10" ht="15.75" hidden="1" thickBot="1" x14ac:dyDescent="0.3">
      <c r="A1555" s="180" t="s">
        <v>521</v>
      </c>
      <c r="B1555" s="186" t="str">
        <f>INDEX(Orçamentária!A:B,MATCH(Composições!A1555,Orçamentária!A:A,0),2)</f>
        <v>Eletroduto de PVC Corrugado Reforçado 3/4'' (DE 25mm)</v>
      </c>
      <c r="C1555" s="41"/>
      <c r="D1555" s="26" t="str">
        <f>TRIM(INDEX(Orçamentária!C:C,MATCH(Composições!A1555,Orçamentária!A:A,0),1))</f>
        <v>m</v>
      </c>
      <c r="E1555" s="27"/>
      <c r="F1555" s="42" t="s">
        <v>558</v>
      </c>
      <c r="G1555" s="28" t="str">
        <f>IF(ISNUMBER(F1555),E1555*F1555,"")</f>
        <v/>
      </c>
      <c r="H1555" s="29"/>
      <c r="I1555" s="30"/>
      <c r="J1555" s="155">
        <v>0</v>
      </c>
    </row>
    <row r="1556" spans="1:10" ht="15.75" hidden="1" thickBot="1" x14ac:dyDescent="0.3">
      <c r="A1556" s="200"/>
      <c r="B1556" s="202"/>
      <c r="C1556" s="32"/>
      <c r="D1556" s="32"/>
      <c r="E1556" s="33"/>
      <c r="F1556" s="43" t="s">
        <v>558</v>
      </c>
      <c r="G1556" s="31" t="str">
        <f>IF(ISNUMBER(F1556),E1556*F1556,"")</f>
        <v/>
      </c>
      <c r="H1556" s="35"/>
      <c r="I1556" s="31"/>
      <c r="J1556" s="155">
        <v>0</v>
      </c>
    </row>
    <row r="1557" spans="1:10" ht="15.75" hidden="1" thickBot="1" x14ac:dyDescent="0.3">
      <c r="A1557" s="200"/>
      <c r="B1557" s="202"/>
      <c r="C1557" s="36" t="s">
        <v>30</v>
      </c>
      <c r="D1557" s="36" t="s">
        <v>12</v>
      </c>
      <c r="E1557" s="37">
        <v>7.0000000000000007E-2</v>
      </c>
      <c r="F1557" s="31">
        <v>22.895</v>
      </c>
      <c r="G1557" s="31">
        <f>IF(ISNUMBER(F1557),E1557*F1557,"")</f>
        <v>1.6026500000000001</v>
      </c>
      <c r="H1557" s="39">
        <f>SUM(G1557:G1560)</f>
        <v>9.0557704999999995</v>
      </c>
      <c r="I1557" s="40"/>
      <c r="J1557" s="155">
        <v>0</v>
      </c>
    </row>
    <row r="1558" spans="1:10" ht="15.75" hidden="1" thickBot="1" x14ac:dyDescent="0.3">
      <c r="A1558" s="200"/>
      <c r="B1558" s="202"/>
      <c r="C1558" s="36" t="s">
        <v>74</v>
      </c>
      <c r="D1558" s="36" t="s">
        <v>12</v>
      </c>
      <c r="E1558" s="37">
        <v>7.0000000000000007E-2</v>
      </c>
      <c r="F1558" s="31">
        <v>17.802999999999997</v>
      </c>
      <c r="G1558" s="31">
        <f>IF(ISNUMBER(F1558),E1558*F1558,"")</f>
        <v>1.2462099999999998</v>
      </c>
      <c r="H1558" s="35"/>
      <c r="I1558" s="31"/>
      <c r="J1558" s="155">
        <v>0</v>
      </c>
    </row>
    <row r="1559" spans="1:10" ht="26.25" hidden="1" thickBot="1" x14ac:dyDescent="0.3">
      <c r="A1559" s="200"/>
      <c r="B1559" s="202"/>
      <c r="C1559" s="36" t="s">
        <v>522</v>
      </c>
      <c r="D1559" s="36" t="s">
        <v>93</v>
      </c>
      <c r="E1559" s="37">
        <v>1.1000000000000001</v>
      </c>
      <c r="F1559" s="34">
        <v>3.3155000000000001</v>
      </c>
      <c r="G1559" s="31">
        <f>IF(ISNUMBER(F1559),E1559*F1559,"")</f>
        <v>3.6470500000000006</v>
      </c>
      <c r="H1559" s="35"/>
      <c r="I1559" s="31"/>
      <c r="J1559" s="155">
        <v>0</v>
      </c>
    </row>
    <row r="1560" spans="1:10" ht="39" hidden="1" thickBot="1" x14ac:dyDescent="0.3">
      <c r="A1560" s="200"/>
      <c r="B1560" s="202"/>
      <c r="C1560" s="36" t="s">
        <v>520</v>
      </c>
      <c r="D1560" s="36" t="s">
        <v>93</v>
      </c>
      <c r="E1560" s="37">
        <v>1</v>
      </c>
      <c r="F1560" s="34">
        <v>2.5598604999999997</v>
      </c>
      <c r="G1560" s="31">
        <f>IF(ISNUMBER(F1560),E1560*F1560,"")</f>
        <v>2.5598604999999997</v>
      </c>
      <c r="H1560" s="35"/>
      <c r="I1560" s="31"/>
      <c r="J1560" s="155">
        <v>0</v>
      </c>
    </row>
    <row r="1561" spans="1:10" ht="15.75" hidden="1" thickBot="1" x14ac:dyDescent="0.3">
      <c r="A1561" s="201"/>
      <c r="B1561" s="188"/>
      <c r="C1561" s="36"/>
      <c r="D1561" s="36"/>
      <c r="E1561" s="37"/>
      <c r="F1561" s="31" t="s">
        <v>558</v>
      </c>
      <c r="G1561" s="31" t="str">
        <f>IF(ISNUMBER(F1561),E1561*F1561,"")</f>
        <v/>
      </c>
      <c r="H1561" s="35"/>
      <c r="I1561" s="31"/>
      <c r="J1561" s="155">
        <v>0</v>
      </c>
    </row>
    <row r="1562" spans="1:10" ht="15.75" hidden="1" thickBot="1" x14ac:dyDescent="0.3">
      <c r="A1562" s="180" t="s">
        <v>523</v>
      </c>
      <c r="B1562" s="186" t="str">
        <f>INDEX(Orçamentária!A:B,MATCH(Composições!A1562,Orçamentária!A:A,0),2)</f>
        <v>Eletroduto flexível metálico com capa de PVC 1’’</v>
      </c>
      <c r="C1562" s="41"/>
      <c r="D1562" s="26" t="str">
        <f>TRIM(INDEX(Orçamentária!C:C,MATCH(Composições!A1562,Orçamentária!A:A,0),1))</f>
        <v>m</v>
      </c>
      <c r="E1562" s="27"/>
      <c r="F1562" s="42" t="s">
        <v>558</v>
      </c>
      <c r="G1562" s="28" t="str">
        <f>IF(ISNUMBER(F1562),E1562*F1562,"")</f>
        <v/>
      </c>
      <c r="H1562" s="29"/>
      <c r="I1562" s="30"/>
      <c r="J1562" s="155">
        <v>0</v>
      </c>
    </row>
    <row r="1563" spans="1:10" ht="15.75" hidden="1" thickBot="1" x14ac:dyDescent="0.3">
      <c r="A1563" s="200"/>
      <c r="B1563" s="202"/>
      <c r="C1563" s="32"/>
      <c r="D1563" s="32"/>
      <c r="E1563" s="33"/>
      <c r="F1563" s="43" t="s">
        <v>558</v>
      </c>
      <c r="G1563" s="31" t="str">
        <f>IF(ISNUMBER(F1563),E1563*F1563,"")</f>
        <v/>
      </c>
      <c r="H1563" s="35"/>
      <c r="I1563" s="31"/>
      <c r="J1563" s="155">
        <v>0</v>
      </c>
    </row>
    <row r="1564" spans="1:10" ht="26.25" hidden="1" thickBot="1" x14ac:dyDescent="0.3">
      <c r="A1564" s="200"/>
      <c r="B1564" s="202"/>
      <c r="C1564" s="36" t="s">
        <v>524</v>
      </c>
      <c r="D1564" s="36" t="s">
        <v>93</v>
      </c>
      <c r="E1564" s="37">
        <v>1.1000000000000001</v>
      </c>
      <c r="F1564" s="34">
        <v>13.3475</v>
      </c>
      <c r="G1564" s="31">
        <f>IF(ISNUMBER(F1564),E1564*F1564,"")</f>
        <v>14.682250000000002</v>
      </c>
      <c r="H1564" s="39">
        <f>SUM(G1564:G1567)</f>
        <v>19.080445999999998</v>
      </c>
      <c r="I1564" s="40"/>
      <c r="J1564" s="155">
        <v>0</v>
      </c>
    </row>
    <row r="1565" spans="1:10" ht="26.25" hidden="1" thickBot="1" x14ac:dyDescent="0.3">
      <c r="A1565" s="200"/>
      <c r="B1565" s="202"/>
      <c r="C1565" s="36" t="s">
        <v>3598</v>
      </c>
      <c r="D1565" s="36" t="s">
        <v>42</v>
      </c>
      <c r="E1565" s="37">
        <v>2E-3</v>
      </c>
      <c r="F1565" s="34">
        <v>21.754999999999999</v>
      </c>
      <c r="G1565" s="31">
        <f>IF(ISNUMBER(F1565),E1565*F1565,"")</f>
        <v>4.351E-2</v>
      </c>
      <c r="H1565" s="35"/>
      <c r="I1565" s="31"/>
      <c r="J1565" s="155">
        <v>0</v>
      </c>
    </row>
    <row r="1566" spans="1:10" ht="15.75" hidden="1" thickBot="1" x14ac:dyDescent="0.3">
      <c r="A1566" s="200"/>
      <c r="B1566" s="202"/>
      <c r="C1566" s="36" t="s">
        <v>74</v>
      </c>
      <c r="D1566" s="47" t="s">
        <v>12</v>
      </c>
      <c r="E1566" s="37">
        <v>0.107</v>
      </c>
      <c r="F1566" s="31">
        <v>17.802999999999997</v>
      </c>
      <c r="G1566" s="31">
        <f>IF(ISNUMBER(F1566),E1566*F1566,"")</f>
        <v>1.9049209999999996</v>
      </c>
      <c r="H1566" s="35"/>
      <c r="I1566" s="31"/>
      <c r="J1566" s="155">
        <v>0</v>
      </c>
    </row>
    <row r="1567" spans="1:10" ht="15.75" hidden="1" thickBot="1" x14ac:dyDescent="0.3">
      <c r="A1567" s="200"/>
      <c r="B1567" s="202"/>
      <c r="C1567" s="36" t="s">
        <v>30</v>
      </c>
      <c r="D1567" s="36" t="s">
        <v>12</v>
      </c>
      <c r="E1567" s="37">
        <v>0.107</v>
      </c>
      <c r="F1567" s="31">
        <v>22.895</v>
      </c>
      <c r="G1567" s="31">
        <f>IF(ISNUMBER(F1567),E1567*F1567,"")</f>
        <v>2.4497649999999997</v>
      </c>
      <c r="H1567" s="35"/>
      <c r="I1567" s="31"/>
      <c r="J1567" s="155">
        <v>0</v>
      </c>
    </row>
    <row r="1568" spans="1:10" ht="15.75" hidden="1" thickBot="1" x14ac:dyDescent="0.3">
      <c r="A1568" s="201"/>
      <c r="B1568" s="188"/>
      <c r="C1568" s="36"/>
      <c r="D1568" s="36"/>
      <c r="E1568" s="37"/>
      <c r="F1568" s="31" t="s">
        <v>558</v>
      </c>
      <c r="G1568" s="31" t="str">
        <f>IF(ISNUMBER(F1568),E1568*F1568,"")</f>
        <v/>
      </c>
      <c r="H1568" s="35"/>
      <c r="I1568" s="31"/>
      <c r="J1568" s="155">
        <v>0</v>
      </c>
    </row>
    <row r="1569" spans="1:10" ht="15.75" hidden="1" thickBot="1" x14ac:dyDescent="0.3">
      <c r="A1569" s="180" t="s">
        <v>525</v>
      </c>
      <c r="B1569" s="186" t="str">
        <f>INDEX(Orçamentária!A:B,MATCH(Composições!A1569,Orçamentária!A:A,0),2)</f>
        <v>Eletroduto flexível metálico com capa de PVC 3/4"</v>
      </c>
      <c r="C1569" s="41"/>
      <c r="D1569" s="26" t="str">
        <f>TRIM(INDEX(Orçamentária!C:C,MATCH(Composições!A1569,Orçamentária!A:A,0),1))</f>
        <v>m</v>
      </c>
      <c r="E1569" s="27"/>
      <c r="F1569" s="42" t="s">
        <v>558</v>
      </c>
      <c r="G1569" s="28" t="str">
        <f>IF(ISNUMBER(F1569),E1569*F1569,"")</f>
        <v/>
      </c>
      <c r="H1569" s="29"/>
      <c r="I1569" s="30"/>
      <c r="J1569" s="155">
        <v>0</v>
      </c>
    </row>
    <row r="1570" spans="1:10" ht="15.75" hidden="1" thickBot="1" x14ac:dyDescent="0.3">
      <c r="A1570" s="200"/>
      <c r="B1570" s="202"/>
      <c r="C1570" s="32"/>
      <c r="D1570" s="32"/>
      <c r="E1570" s="33"/>
      <c r="F1570" s="43" t="s">
        <v>558</v>
      </c>
      <c r="G1570" s="31" t="str">
        <f>IF(ISNUMBER(F1570),E1570*F1570,"")</f>
        <v/>
      </c>
      <c r="H1570" s="35"/>
      <c r="I1570" s="31"/>
      <c r="J1570" s="155">
        <v>0</v>
      </c>
    </row>
    <row r="1571" spans="1:10" ht="26.25" hidden="1" thickBot="1" x14ac:dyDescent="0.3">
      <c r="A1571" s="200"/>
      <c r="B1571" s="202"/>
      <c r="C1571" s="36" t="s">
        <v>526</v>
      </c>
      <c r="D1571" s="36" t="s">
        <v>93</v>
      </c>
      <c r="E1571" s="37">
        <v>1.1000000000000001</v>
      </c>
      <c r="F1571" s="34">
        <v>10.183999999999999</v>
      </c>
      <c r="G1571" s="34">
        <f>IF(ISNUMBER(F1571),E1571*F1571,"")</f>
        <v>11.202400000000001</v>
      </c>
      <c r="H1571" s="39">
        <f>SUM(G1571:G1574)</f>
        <v>14.782285000000002</v>
      </c>
      <c r="I1571" s="40"/>
      <c r="J1571" s="155">
        <v>0</v>
      </c>
    </row>
    <row r="1572" spans="1:10" ht="26.25" hidden="1" thickBot="1" x14ac:dyDescent="0.3">
      <c r="A1572" s="200"/>
      <c r="B1572" s="202"/>
      <c r="C1572" s="36" t="s">
        <v>3598</v>
      </c>
      <c r="D1572" s="36" t="s">
        <v>42</v>
      </c>
      <c r="E1572" s="37">
        <v>1.8E-3</v>
      </c>
      <c r="F1572" s="34">
        <v>21.754999999999999</v>
      </c>
      <c r="G1572" s="34">
        <f>IF(ISNUMBER(F1572),E1572*F1572,"")</f>
        <v>3.9158999999999999E-2</v>
      </c>
      <c r="H1572" s="35"/>
      <c r="I1572" s="31"/>
      <c r="J1572" s="155">
        <v>0</v>
      </c>
    </row>
    <row r="1573" spans="1:10" ht="15.75" hidden="1" thickBot="1" x14ac:dyDescent="0.3">
      <c r="A1573" s="200"/>
      <c r="B1573" s="202"/>
      <c r="C1573" s="36" t="s">
        <v>74</v>
      </c>
      <c r="D1573" s="47" t="s">
        <v>12</v>
      </c>
      <c r="E1573" s="37">
        <v>8.6999999999999994E-2</v>
      </c>
      <c r="F1573" s="31">
        <v>17.802999999999997</v>
      </c>
      <c r="G1573" s="34">
        <f>IF(ISNUMBER(F1573),E1573*F1573,"")</f>
        <v>1.5488609999999996</v>
      </c>
      <c r="H1573" s="35"/>
      <c r="I1573" s="31"/>
      <c r="J1573" s="155">
        <v>0</v>
      </c>
    </row>
    <row r="1574" spans="1:10" ht="15.75" hidden="1" thickBot="1" x14ac:dyDescent="0.3">
      <c r="A1574" s="200"/>
      <c r="B1574" s="202"/>
      <c r="C1574" s="36" t="s">
        <v>30</v>
      </c>
      <c r="D1574" s="36" t="s">
        <v>12</v>
      </c>
      <c r="E1574" s="37">
        <v>8.6999999999999994E-2</v>
      </c>
      <c r="F1574" s="31">
        <v>22.895</v>
      </c>
      <c r="G1574" s="34">
        <f>IF(ISNUMBER(F1574),E1574*F1574,"")</f>
        <v>1.9918649999999998</v>
      </c>
      <c r="H1574" s="35"/>
      <c r="I1574" s="31"/>
      <c r="J1574" s="155">
        <v>0</v>
      </c>
    </row>
    <row r="1575" spans="1:10" ht="15.75" hidden="1" thickBot="1" x14ac:dyDescent="0.3">
      <c r="A1575" s="201"/>
      <c r="B1575" s="188"/>
      <c r="C1575" s="36"/>
      <c r="D1575" s="36"/>
      <c r="E1575" s="37"/>
      <c r="F1575" s="31" t="s">
        <v>558</v>
      </c>
      <c r="G1575" s="31" t="str">
        <f>IF(ISNUMBER(F1575),E1575*F1575,"")</f>
        <v/>
      </c>
      <c r="H1575" s="35"/>
      <c r="I1575" s="31"/>
      <c r="J1575" s="155">
        <v>0</v>
      </c>
    </row>
    <row r="1576" spans="1:10" ht="15.75" hidden="1" thickBot="1" x14ac:dyDescent="0.3">
      <c r="A1576" s="180" t="s">
        <v>527</v>
      </c>
      <c r="B1576" s="186" t="str">
        <f>INDEX(Orçamentária!A:B,MATCH(Composições!A1576,Orçamentária!A:A,0),2)</f>
        <v>Perfilado 38x38mm</v>
      </c>
      <c r="C1576" s="41"/>
      <c r="D1576" s="26" t="str">
        <f>TRIM(INDEX(Orçamentária!C:C,MATCH(Composições!A1576,Orçamentária!A:A,0),1))</f>
        <v>m</v>
      </c>
      <c r="E1576" s="27"/>
      <c r="F1576" s="42" t="s">
        <v>558</v>
      </c>
      <c r="G1576" s="28" t="str">
        <f>IF(ISNUMBER(F1576),E1576*F1576,"")</f>
        <v/>
      </c>
      <c r="H1576" s="29"/>
      <c r="I1576" s="30"/>
      <c r="J1576" s="155">
        <v>0</v>
      </c>
    </row>
    <row r="1577" spans="1:10" ht="15.75" hidden="1" thickBot="1" x14ac:dyDescent="0.3">
      <c r="A1577" s="200"/>
      <c r="B1577" s="202"/>
      <c r="C1577" s="32"/>
      <c r="D1577" s="32"/>
      <c r="E1577" s="33"/>
      <c r="F1577" s="43" t="s">
        <v>558</v>
      </c>
      <c r="G1577" s="31" t="str">
        <f>IF(ISNUMBER(F1577),E1577*F1577,"")</f>
        <v/>
      </c>
      <c r="H1577" s="35"/>
      <c r="I1577" s="31"/>
      <c r="J1577" s="155">
        <v>0</v>
      </c>
    </row>
    <row r="1578" spans="1:10" ht="15.75" hidden="1" thickBot="1" x14ac:dyDescent="0.3">
      <c r="A1578" s="200"/>
      <c r="B1578" s="202"/>
      <c r="C1578" s="36" t="s">
        <v>528</v>
      </c>
      <c r="D1578" s="36" t="s">
        <v>93</v>
      </c>
      <c r="E1578" s="37">
        <v>1.05</v>
      </c>
      <c r="F1578" s="34" t="s">
        <v>558</v>
      </c>
      <c r="G1578" s="34" t="str">
        <f>IF(ISNUMBER(F1578),E1578*F1578,"")</f>
        <v/>
      </c>
      <c r="H1578" s="39">
        <f>SUM(G1578:G1589)</f>
        <v>18.820126999999996</v>
      </c>
      <c r="I1578" s="40"/>
      <c r="J1578" s="155">
        <v>0</v>
      </c>
    </row>
    <row r="1579" spans="1:10" ht="15.75" hidden="1" thickBot="1" x14ac:dyDescent="0.3">
      <c r="A1579" s="200"/>
      <c r="B1579" s="202"/>
      <c r="C1579" s="36" t="s">
        <v>74</v>
      </c>
      <c r="D1579" s="36" t="s">
        <v>12</v>
      </c>
      <c r="E1579" s="37">
        <v>0.45</v>
      </c>
      <c r="F1579" s="31">
        <v>17.802999999999997</v>
      </c>
      <c r="G1579" s="34">
        <f>IF(ISNUMBER(F1579),E1579*F1579,"")</f>
        <v>8.0113499999999984</v>
      </c>
      <c r="H1579" s="35"/>
      <c r="I1579" s="31"/>
      <c r="J1579" s="155">
        <v>0</v>
      </c>
    </row>
    <row r="1580" spans="1:10" ht="15.75" hidden="1" thickBot="1" x14ac:dyDescent="0.3">
      <c r="A1580" s="200"/>
      <c r="B1580" s="202"/>
      <c r="C1580" s="36" t="s">
        <v>30</v>
      </c>
      <c r="D1580" s="36" t="s">
        <v>12</v>
      </c>
      <c r="E1580" s="37">
        <v>0.45</v>
      </c>
      <c r="F1580" s="31">
        <v>22.895</v>
      </c>
      <c r="G1580" s="34">
        <f>IF(ISNUMBER(F1580),E1580*F1580,"")</f>
        <v>10.30275</v>
      </c>
      <c r="H1580" s="35"/>
      <c r="I1580" s="31"/>
      <c r="J1580" s="155">
        <v>0</v>
      </c>
    </row>
    <row r="1581" spans="1:10" ht="26.25" hidden="1" thickBot="1" x14ac:dyDescent="0.3">
      <c r="A1581" s="200"/>
      <c r="B1581" s="202"/>
      <c r="C1581" s="36" t="s">
        <v>467</v>
      </c>
      <c r="D1581" s="36" t="s">
        <v>147</v>
      </c>
      <c r="E1581" s="37">
        <v>0.67</v>
      </c>
      <c r="F1581" s="31">
        <v>0</v>
      </c>
      <c r="G1581" s="34">
        <f>IF(ISNUMBER(F1581),E1581*F1581,"")</f>
        <v>0</v>
      </c>
      <c r="H1581" s="35"/>
      <c r="I1581" s="31"/>
      <c r="J1581" s="155">
        <v>0</v>
      </c>
    </row>
    <row r="1582" spans="1:10" ht="15.75" hidden="1" thickBot="1" x14ac:dyDescent="0.3">
      <c r="A1582" s="200"/>
      <c r="B1582" s="202"/>
      <c r="C1582" s="36" t="s">
        <v>529</v>
      </c>
      <c r="D1582" s="36" t="s">
        <v>147</v>
      </c>
      <c r="E1582" s="37">
        <v>0.67</v>
      </c>
      <c r="F1582" s="31">
        <v>0</v>
      </c>
      <c r="G1582" s="34">
        <f>IF(ISNUMBER(F1582),E1582*F1582,"")</f>
        <v>0</v>
      </c>
      <c r="H1582" s="35"/>
      <c r="I1582" s="31"/>
      <c r="J1582" s="155">
        <v>0</v>
      </c>
    </row>
    <row r="1583" spans="1:10" ht="15.75" hidden="1" thickBot="1" x14ac:dyDescent="0.3">
      <c r="A1583" s="200"/>
      <c r="B1583" s="202"/>
      <c r="C1583" s="36" t="s">
        <v>469</v>
      </c>
      <c r="D1583" s="36" t="s">
        <v>93</v>
      </c>
      <c r="E1583" s="37">
        <v>0.8</v>
      </c>
      <c r="F1583" s="31">
        <v>0</v>
      </c>
      <c r="G1583" s="34">
        <f>IF(ISNUMBER(F1583),E1583*F1583,"")</f>
        <v>0</v>
      </c>
      <c r="H1583" s="35"/>
      <c r="I1583" s="31"/>
      <c r="J1583" s="155">
        <v>0</v>
      </c>
    </row>
    <row r="1584" spans="1:10" ht="15.75" hidden="1" thickBot="1" x14ac:dyDescent="0.3">
      <c r="A1584" s="200"/>
      <c r="B1584" s="202"/>
      <c r="C1584" s="36" t="s">
        <v>470</v>
      </c>
      <c r="D1584" s="36" t="s">
        <v>292</v>
      </c>
      <c r="E1584" s="37">
        <v>2.6633</v>
      </c>
      <c r="F1584" s="34">
        <v>0.19</v>
      </c>
      <c r="G1584" s="34">
        <f>IF(ISNUMBER(F1584),E1584*F1584,"")</f>
        <v>0.506027</v>
      </c>
      <c r="H1584" s="35"/>
      <c r="I1584" s="31"/>
      <c r="J1584" s="155">
        <v>0</v>
      </c>
    </row>
    <row r="1585" spans="1:10" ht="15.75" hidden="1" thickBot="1" x14ac:dyDescent="0.3">
      <c r="A1585" s="200"/>
      <c r="B1585" s="202"/>
      <c r="C1585" s="36" t="s">
        <v>471</v>
      </c>
      <c r="D1585" s="36" t="s">
        <v>147</v>
      </c>
      <c r="E1585" s="37">
        <v>2.6633</v>
      </c>
      <c r="F1585" s="31">
        <v>0</v>
      </c>
      <c r="G1585" s="34">
        <f>IF(ISNUMBER(F1585),E1585*F1585,"")</f>
        <v>0</v>
      </c>
      <c r="H1585" s="35"/>
      <c r="I1585" s="31"/>
      <c r="J1585" s="155">
        <v>0</v>
      </c>
    </row>
    <row r="1586" spans="1:10" ht="15.75" hidden="1" thickBot="1" x14ac:dyDescent="0.3">
      <c r="A1586" s="200"/>
      <c r="B1586" s="202"/>
      <c r="C1586" s="36" t="s">
        <v>473</v>
      </c>
      <c r="D1586" s="36" t="s">
        <v>147</v>
      </c>
      <c r="E1586" s="37">
        <v>0.67</v>
      </c>
      <c r="F1586" s="31">
        <v>0</v>
      </c>
      <c r="G1586" s="34">
        <f>IF(ISNUMBER(F1586),E1586*F1586,"")</f>
        <v>0</v>
      </c>
      <c r="H1586" s="35"/>
      <c r="I1586" s="31"/>
      <c r="J1586" s="155">
        <v>0</v>
      </c>
    </row>
    <row r="1587" spans="1:10" ht="15.75" hidden="1" thickBot="1" x14ac:dyDescent="0.3">
      <c r="A1587" s="200"/>
      <c r="B1587" s="202"/>
      <c r="C1587" s="36" t="s">
        <v>474</v>
      </c>
      <c r="D1587" s="36" t="s">
        <v>20</v>
      </c>
      <c r="E1587" s="37">
        <v>1.33</v>
      </c>
      <c r="F1587" s="31">
        <v>0</v>
      </c>
      <c r="G1587" s="34">
        <f>IF(ISNUMBER(F1587),E1587*F1587,"")</f>
        <v>0</v>
      </c>
      <c r="H1587" s="35"/>
      <c r="I1587" s="31"/>
      <c r="J1587" s="155">
        <v>0</v>
      </c>
    </row>
    <row r="1588" spans="1:10" ht="15.75" hidden="1" thickBot="1" x14ac:dyDescent="0.3">
      <c r="A1588" s="200"/>
      <c r="B1588" s="202"/>
      <c r="C1588" s="36" t="s">
        <v>530</v>
      </c>
      <c r="D1588" s="36" t="s">
        <v>147</v>
      </c>
      <c r="E1588" s="37">
        <v>0.33329999999999999</v>
      </c>
      <c r="F1588" s="31">
        <v>0</v>
      </c>
      <c r="G1588" s="34">
        <f>IF(ISNUMBER(F1588),E1588*F1588,"")</f>
        <v>0</v>
      </c>
      <c r="H1588" s="35"/>
      <c r="I1588" s="31"/>
      <c r="J1588" s="155">
        <v>0</v>
      </c>
    </row>
    <row r="1589" spans="1:10" ht="15.75" hidden="1" thickBot="1" x14ac:dyDescent="0.3">
      <c r="A1589" s="200"/>
      <c r="B1589" s="202"/>
      <c r="C1589" s="36" t="s">
        <v>531</v>
      </c>
      <c r="D1589" s="36" t="s">
        <v>93</v>
      </c>
      <c r="E1589" s="37">
        <v>1.05</v>
      </c>
      <c r="F1589" s="31">
        <v>0</v>
      </c>
      <c r="G1589" s="34">
        <f>IF(ISNUMBER(F1589),E1589*F1589,"")</f>
        <v>0</v>
      </c>
      <c r="H1589" s="35"/>
      <c r="I1589" s="31"/>
      <c r="J1589" s="155">
        <v>0</v>
      </c>
    </row>
    <row r="1590" spans="1:10" ht="15.75" hidden="1" thickBot="1" x14ac:dyDescent="0.3">
      <c r="A1590" s="201"/>
      <c r="B1590" s="188"/>
      <c r="C1590" s="36"/>
      <c r="D1590" s="36"/>
      <c r="E1590" s="37"/>
      <c r="F1590" s="31" t="s">
        <v>558</v>
      </c>
      <c r="G1590" s="31" t="str">
        <f>IF(ISNUMBER(F1590),E1590*F1590,"")</f>
        <v/>
      </c>
      <c r="H1590" s="35"/>
      <c r="I1590" s="31"/>
      <c r="J1590" s="155">
        <v>0</v>
      </c>
    </row>
    <row r="1591" spans="1:10" ht="15.75" hidden="1" thickBot="1" x14ac:dyDescent="0.3">
      <c r="A1591" s="180" t="s">
        <v>532</v>
      </c>
      <c r="B1591" s="186" t="str">
        <f>INDEX(Orçamentária!A:B,MATCH(Composições!A1591,Orçamentária!A:A,0),2)</f>
        <v>Espelho 4x2</v>
      </c>
      <c r="C1591" s="41"/>
      <c r="D1591" s="26" t="str">
        <f>TRIM(INDEX(Orçamentária!C:C,MATCH(Composições!A1591,Orçamentária!A:A,0),1))</f>
        <v>un</v>
      </c>
      <c r="E1591" s="27"/>
      <c r="F1591" s="42" t="s">
        <v>558</v>
      </c>
      <c r="G1591" s="28" t="str">
        <f>IF(ISNUMBER(F1591),E1591*F1591,"")</f>
        <v/>
      </c>
      <c r="H1591" s="29"/>
      <c r="I1591" s="30"/>
      <c r="J1591" s="155">
        <v>0</v>
      </c>
    </row>
    <row r="1592" spans="1:10" ht="15.75" hidden="1" thickBot="1" x14ac:dyDescent="0.3">
      <c r="A1592" s="200"/>
      <c r="B1592" s="202"/>
      <c r="C1592" s="32"/>
      <c r="D1592" s="32"/>
      <c r="E1592" s="33"/>
      <c r="F1592" s="43" t="s">
        <v>558</v>
      </c>
      <c r="G1592" s="31" t="str">
        <f>IF(ISNUMBER(F1592),E1592*F1592,"")</f>
        <v/>
      </c>
      <c r="H1592" s="35"/>
      <c r="I1592" s="31"/>
      <c r="J1592" s="155">
        <v>0</v>
      </c>
    </row>
    <row r="1593" spans="1:10" ht="26.25" hidden="1" thickBot="1" x14ac:dyDescent="0.3">
      <c r="A1593" s="200"/>
      <c r="B1593" s="202"/>
      <c r="C1593" s="36" t="s">
        <v>533</v>
      </c>
      <c r="D1593" s="36" t="s">
        <v>20</v>
      </c>
      <c r="E1593" s="37">
        <v>1</v>
      </c>
      <c r="F1593" s="34">
        <v>2.4510000000000001</v>
      </c>
      <c r="G1593" s="34">
        <f>IF(ISNUMBER(F1593),E1593*F1593,"")</f>
        <v>2.4510000000000001</v>
      </c>
      <c r="H1593" s="39">
        <f>SUM(G1593:G1595)</f>
        <v>5.7387600000000001</v>
      </c>
      <c r="I1593" s="40"/>
      <c r="J1593" s="155">
        <v>0</v>
      </c>
    </row>
    <row r="1594" spans="1:10" ht="26.25" hidden="1" thickBot="1" x14ac:dyDescent="0.3">
      <c r="A1594" s="200"/>
      <c r="B1594" s="202"/>
      <c r="C1594" s="36" t="s">
        <v>534</v>
      </c>
      <c r="D1594" s="36" t="s">
        <v>20</v>
      </c>
      <c r="E1594" s="37">
        <v>1</v>
      </c>
      <c r="F1594" s="34">
        <v>1.2729999999999999</v>
      </c>
      <c r="G1594" s="34">
        <f>IF(ISNUMBER(F1594),E1594*F1594,"")</f>
        <v>1.2729999999999999</v>
      </c>
      <c r="H1594" s="35"/>
      <c r="I1594" s="31"/>
      <c r="J1594" s="155">
        <v>0</v>
      </c>
    </row>
    <row r="1595" spans="1:10" ht="15.75" hidden="1" thickBot="1" x14ac:dyDescent="0.3">
      <c r="A1595" s="200"/>
      <c r="B1595" s="202"/>
      <c r="C1595" s="36" t="s">
        <v>30</v>
      </c>
      <c r="D1595" s="36" t="s">
        <v>12</v>
      </c>
      <c r="E1595" s="37">
        <v>8.7999999999999995E-2</v>
      </c>
      <c r="F1595" s="31">
        <v>22.895</v>
      </c>
      <c r="G1595" s="34">
        <f>IF(ISNUMBER(F1595),E1595*F1595,"")</f>
        <v>2.0147599999999999</v>
      </c>
      <c r="H1595" s="35"/>
      <c r="I1595" s="31"/>
      <c r="J1595" s="155">
        <v>0</v>
      </c>
    </row>
    <row r="1596" spans="1:10" ht="15.75" hidden="1" thickBot="1" x14ac:dyDescent="0.3">
      <c r="A1596" s="201"/>
      <c r="B1596" s="188"/>
      <c r="C1596" s="36"/>
      <c r="D1596" s="36"/>
      <c r="E1596" s="37"/>
      <c r="F1596" s="31" t="s">
        <v>558</v>
      </c>
      <c r="G1596" s="31" t="str">
        <f>IF(ISNUMBER(F1596),E1596*F1596,"")</f>
        <v/>
      </c>
      <c r="H1596" s="35"/>
      <c r="I1596" s="31"/>
      <c r="J1596" s="155">
        <v>0</v>
      </c>
    </row>
    <row r="1597" spans="1:10" ht="15.75" hidden="1" thickBot="1" x14ac:dyDescent="0.3">
      <c r="A1597" s="180" t="s">
        <v>535</v>
      </c>
      <c r="B1597" s="186" t="str">
        <f>INDEX(Orçamentária!A:B,MATCH(Composições!A1597,Orçamentária!A:A,0),2)</f>
        <v>Espelho 4x4</v>
      </c>
      <c r="C1597" s="41"/>
      <c r="D1597" s="26" t="str">
        <f>TRIM(INDEX(Orçamentária!C:C,MATCH(Composições!A1597,Orçamentária!A:A,0),1))</f>
        <v>un</v>
      </c>
      <c r="E1597" s="27"/>
      <c r="F1597" s="42" t="s">
        <v>558</v>
      </c>
      <c r="G1597" s="28" t="str">
        <f>IF(ISNUMBER(F1597),E1597*F1597,"")</f>
        <v/>
      </c>
      <c r="H1597" s="29"/>
      <c r="I1597" s="30"/>
      <c r="J1597" s="155">
        <v>0</v>
      </c>
    </row>
    <row r="1598" spans="1:10" ht="15.75" hidden="1" thickBot="1" x14ac:dyDescent="0.3">
      <c r="A1598" s="200"/>
      <c r="B1598" s="202"/>
      <c r="C1598" s="32"/>
      <c r="D1598" s="32"/>
      <c r="E1598" s="33"/>
      <c r="F1598" s="43" t="s">
        <v>558</v>
      </c>
      <c r="G1598" s="31" t="str">
        <f>IF(ISNUMBER(F1598),E1598*F1598,"")</f>
        <v/>
      </c>
      <c r="H1598" s="35"/>
      <c r="I1598" s="31"/>
      <c r="J1598" s="155">
        <v>0</v>
      </c>
    </row>
    <row r="1599" spans="1:10" ht="26.25" hidden="1" thickBot="1" x14ac:dyDescent="0.3">
      <c r="A1599" s="200"/>
      <c r="B1599" s="202"/>
      <c r="C1599" s="36" t="s">
        <v>536</v>
      </c>
      <c r="D1599" s="36" t="s">
        <v>20</v>
      </c>
      <c r="E1599" s="37">
        <v>1</v>
      </c>
      <c r="F1599" s="34">
        <v>4.9779999999999998</v>
      </c>
      <c r="G1599" s="31">
        <f>IF(ISNUMBER(F1599),E1599*F1599,"")</f>
        <v>4.9779999999999998</v>
      </c>
      <c r="H1599" s="39">
        <f>SUM(G1599:G1601)</f>
        <v>9.4395799999999994</v>
      </c>
      <c r="I1599" s="40"/>
      <c r="J1599" s="155">
        <v>0</v>
      </c>
    </row>
    <row r="1600" spans="1:10" ht="26.25" hidden="1" thickBot="1" x14ac:dyDescent="0.3">
      <c r="A1600" s="200"/>
      <c r="B1600" s="202"/>
      <c r="C1600" s="36" t="s">
        <v>537</v>
      </c>
      <c r="D1600" s="47" t="s">
        <v>20</v>
      </c>
      <c r="E1600" s="37">
        <v>1</v>
      </c>
      <c r="F1600" s="34">
        <v>2.0804999999999998</v>
      </c>
      <c r="G1600" s="34">
        <f>IF(ISNUMBER(F1600),E1600*F1600,"")</f>
        <v>2.0804999999999998</v>
      </c>
      <c r="H1600" s="35"/>
      <c r="I1600" s="31"/>
      <c r="J1600" s="155">
        <v>0</v>
      </c>
    </row>
    <row r="1601" spans="1:10" ht="15.75" hidden="1" thickBot="1" x14ac:dyDescent="0.3">
      <c r="A1601" s="200"/>
      <c r="B1601" s="202"/>
      <c r="C1601" s="36" t="s">
        <v>30</v>
      </c>
      <c r="D1601" s="36" t="s">
        <v>12</v>
      </c>
      <c r="E1601" s="37">
        <v>0.104</v>
      </c>
      <c r="F1601" s="31">
        <v>22.895</v>
      </c>
      <c r="G1601" s="34">
        <f>IF(ISNUMBER(F1601),E1601*F1601,"")</f>
        <v>2.3810799999999999</v>
      </c>
      <c r="H1601" s="35"/>
      <c r="I1601" s="31"/>
      <c r="J1601" s="155">
        <v>0</v>
      </c>
    </row>
    <row r="1602" spans="1:10" ht="15.75" hidden="1" thickBot="1" x14ac:dyDescent="0.3">
      <c r="A1602" s="201"/>
      <c r="B1602" s="188"/>
      <c r="C1602" s="36"/>
      <c r="D1602" s="36"/>
      <c r="E1602" s="37"/>
      <c r="F1602" s="31" t="s">
        <v>558</v>
      </c>
      <c r="G1602" s="31" t="str">
        <f>IF(ISNUMBER(F1602),E1602*F1602,"")</f>
        <v/>
      </c>
      <c r="H1602" s="35"/>
      <c r="I1602" s="31"/>
      <c r="J1602" s="155">
        <v>0</v>
      </c>
    </row>
    <row r="1603" spans="1:10" ht="15.75" hidden="1" thickBot="1" x14ac:dyDescent="0.3">
      <c r="A1603" s="180" t="s">
        <v>538</v>
      </c>
      <c r="B1603" s="186" t="str">
        <f>INDEX(Orçamentária!A:B,MATCH(Composições!A1603,Orçamentária!A:A,0),2)</f>
        <v>Espelho cego redondo</v>
      </c>
      <c r="C1603" s="41"/>
      <c r="D1603" s="26" t="str">
        <f>TRIM(INDEX(Orçamentária!C:C,MATCH(Composições!A1603,Orçamentária!A:A,0),1))</f>
        <v>un</v>
      </c>
      <c r="E1603" s="27"/>
      <c r="F1603" s="42" t="s">
        <v>558</v>
      </c>
      <c r="G1603" s="28" t="str">
        <f>IF(ISNUMBER(F1603),E1603*F1603,"")</f>
        <v/>
      </c>
      <c r="H1603" s="29"/>
      <c r="I1603" s="30"/>
      <c r="J1603" s="155">
        <v>0</v>
      </c>
    </row>
    <row r="1604" spans="1:10" ht="15.75" hidden="1" thickBot="1" x14ac:dyDescent="0.3">
      <c r="A1604" s="200"/>
      <c r="B1604" s="202"/>
      <c r="C1604" s="32"/>
      <c r="D1604" s="32"/>
      <c r="E1604" s="33"/>
      <c r="F1604" s="43" t="s">
        <v>558</v>
      </c>
      <c r="G1604" s="31" t="str">
        <f>IF(ISNUMBER(F1604),E1604*F1604,"")</f>
        <v/>
      </c>
      <c r="H1604" s="35"/>
      <c r="I1604" s="31"/>
      <c r="J1604" s="155">
        <v>0</v>
      </c>
    </row>
    <row r="1605" spans="1:10" ht="15.75" hidden="1" thickBot="1" x14ac:dyDescent="0.3">
      <c r="A1605" s="200"/>
      <c r="B1605" s="202"/>
      <c r="C1605" s="36" t="s">
        <v>539</v>
      </c>
      <c r="D1605" s="36" t="s">
        <v>20</v>
      </c>
      <c r="E1605" s="37">
        <v>1</v>
      </c>
      <c r="F1605" s="34" t="s">
        <v>558</v>
      </c>
      <c r="G1605" s="31" t="str">
        <f>IF(ISNUMBER(F1605),E1605*F1605,"")</f>
        <v/>
      </c>
      <c r="H1605" s="39">
        <f>SUM(G1605:G1607)</f>
        <v>4.4615799999999997</v>
      </c>
      <c r="I1605" s="40"/>
      <c r="J1605" s="155">
        <v>0</v>
      </c>
    </row>
    <row r="1606" spans="1:10" ht="26.25" hidden="1" thickBot="1" x14ac:dyDescent="0.3">
      <c r="A1606" s="200"/>
      <c r="B1606" s="202"/>
      <c r="C1606" s="36" t="s">
        <v>537</v>
      </c>
      <c r="D1606" s="47" t="s">
        <v>20</v>
      </c>
      <c r="E1606" s="37">
        <v>1</v>
      </c>
      <c r="F1606" s="34">
        <v>2.0804999999999998</v>
      </c>
      <c r="G1606" s="34">
        <f>IF(ISNUMBER(F1606),E1606*F1606,"")</f>
        <v>2.0804999999999998</v>
      </c>
      <c r="H1606" s="35"/>
      <c r="I1606" s="31"/>
      <c r="J1606" s="155">
        <v>0</v>
      </c>
    </row>
    <row r="1607" spans="1:10" ht="15.75" hidden="1" thickBot="1" x14ac:dyDescent="0.3">
      <c r="A1607" s="200"/>
      <c r="B1607" s="202"/>
      <c r="C1607" s="36" t="s">
        <v>30</v>
      </c>
      <c r="D1607" s="36" t="s">
        <v>12</v>
      </c>
      <c r="E1607" s="37">
        <v>0.104</v>
      </c>
      <c r="F1607" s="31">
        <v>22.895</v>
      </c>
      <c r="G1607" s="34">
        <f>IF(ISNUMBER(F1607),E1607*F1607,"")</f>
        <v>2.3810799999999999</v>
      </c>
      <c r="H1607" s="35"/>
      <c r="I1607" s="31"/>
      <c r="J1607" s="155">
        <v>0</v>
      </c>
    </row>
    <row r="1608" spans="1:10" ht="15.75" hidden="1" thickBot="1" x14ac:dyDescent="0.3">
      <c r="A1608" s="201"/>
      <c r="B1608" s="188"/>
      <c r="C1608" s="36"/>
      <c r="D1608" s="36"/>
      <c r="E1608" s="37"/>
      <c r="F1608" s="31" t="s">
        <v>558</v>
      </c>
      <c r="G1608" s="31" t="str">
        <f>IF(ISNUMBER(F1608),E1608*F1608,"")</f>
        <v/>
      </c>
      <c r="H1608" s="35"/>
      <c r="I1608" s="31"/>
      <c r="J1608" s="155">
        <v>0</v>
      </c>
    </row>
    <row r="1609" spans="1:10" ht="15.75" hidden="1" thickBot="1" x14ac:dyDescent="0.3">
      <c r="A1609" s="180" t="s">
        <v>540</v>
      </c>
      <c r="B1609" s="186" t="str">
        <f>INDEX(Orçamentária!A:B,MATCH(Composições!A1609,Orçamentária!A:A,0),2)</f>
        <v>Interruptor para condulete</v>
      </c>
      <c r="C1609" s="41"/>
      <c r="D1609" s="26" t="str">
        <f>TRIM(INDEX(Orçamentária!C:C,MATCH(Composições!A1609,Orçamentária!A:A,0),1))</f>
        <v>un</v>
      </c>
      <c r="E1609" s="27"/>
      <c r="F1609" s="42" t="s">
        <v>558</v>
      </c>
      <c r="G1609" s="28" t="str">
        <f>IF(ISNUMBER(F1609),E1609*F1609,"")</f>
        <v/>
      </c>
      <c r="H1609" s="29"/>
      <c r="I1609" s="30"/>
      <c r="J1609" s="155">
        <v>0</v>
      </c>
    </row>
    <row r="1610" spans="1:10" ht="15.75" hidden="1" thickBot="1" x14ac:dyDescent="0.3">
      <c r="A1610" s="200"/>
      <c r="B1610" s="202"/>
      <c r="C1610" s="32"/>
      <c r="D1610" s="32"/>
      <c r="E1610" s="33"/>
      <c r="F1610" s="43" t="s">
        <v>558</v>
      </c>
      <c r="G1610" s="31" t="str">
        <f>IF(ISNUMBER(F1610),E1610*F1610,"")</f>
        <v/>
      </c>
      <c r="H1610" s="35"/>
      <c r="I1610" s="31"/>
      <c r="J1610" s="155">
        <v>0</v>
      </c>
    </row>
    <row r="1611" spans="1:10" ht="15.75" hidden="1" thickBot="1" x14ac:dyDescent="0.3">
      <c r="A1611" s="200"/>
      <c r="B1611" s="202"/>
      <c r="C1611" s="36" t="s">
        <v>30</v>
      </c>
      <c r="D1611" s="36" t="s">
        <v>12</v>
      </c>
      <c r="E1611" s="37">
        <f>0.3/2</f>
        <v>0.15</v>
      </c>
      <c r="F1611" s="31">
        <v>22.895</v>
      </c>
      <c r="G1611" s="34">
        <f>IF(ISNUMBER(F1611),E1611*F1611,"")</f>
        <v>3.43425</v>
      </c>
      <c r="H1611" s="39">
        <f>SUM(G1611:G1614)</f>
        <v>6.1046999999999993</v>
      </c>
      <c r="I1611" s="40"/>
      <c r="J1611" s="155">
        <v>0</v>
      </c>
    </row>
    <row r="1612" spans="1:10" ht="15.75" hidden="1" thickBot="1" x14ac:dyDescent="0.3">
      <c r="A1612" s="200"/>
      <c r="B1612" s="202"/>
      <c r="C1612" s="36" t="s">
        <v>74</v>
      </c>
      <c r="D1612" s="36" t="s">
        <v>12</v>
      </c>
      <c r="E1612" s="37">
        <f>0.3/2</f>
        <v>0.15</v>
      </c>
      <c r="F1612" s="31">
        <v>17.802999999999997</v>
      </c>
      <c r="G1612" s="34">
        <f>IF(ISNUMBER(F1612),E1612*F1612,"")</f>
        <v>2.6704499999999993</v>
      </c>
      <c r="H1612" s="35"/>
      <c r="I1612" s="31"/>
      <c r="J1612" s="155">
        <v>0</v>
      </c>
    </row>
    <row r="1613" spans="1:10" ht="26.25" hidden="1" thickBot="1" x14ac:dyDescent="0.3">
      <c r="A1613" s="200"/>
      <c r="B1613" s="202"/>
      <c r="C1613" s="36" t="s">
        <v>541</v>
      </c>
      <c r="D1613" s="36" t="s">
        <v>20</v>
      </c>
      <c r="E1613" s="37">
        <v>1</v>
      </c>
      <c r="F1613" s="34" t="s">
        <v>558</v>
      </c>
      <c r="G1613" s="34" t="str">
        <f>IF(ISNUMBER(F1613),E1613*F1613,"")</f>
        <v/>
      </c>
      <c r="H1613" s="35"/>
      <c r="I1613" s="31"/>
      <c r="J1613" s="155">
        <v>0</v>
      </c>
    </row>
    <row r="1614" spans="1:10" ht="26.25" hidden="1" thickBot="1" x14ac:dyDescent="0.3">
      <c r="A1614" s="200"/>
      <c r="B1614" s="202"/>
      <c r="C1614" s="36" t="s">
        <v>542</v>
      </c>
      <c r="D1614" s="36" t="s">
        <v>20</v>
      </c>
      <c r="E1614" s="37">
        <v>1</v>
      </c>
      <c r="F1614" s="34" t="s">
        <v>558</v>
      </c>
      <c r="G1614" s="31" t="str">
        <f>IF(ISNUMBER(F1614),E1614*F1614,"")</f>
        <v/>
      </c>
      <c r="H1614" s="35"/>
      <c r="I1614" s="31"/>
      <c r="J1614" s="155">
        <v>0</v>
      </c>
    </row>
    <row r="1615" spans="1:10" ht="15.75" hidden="1" thickBot="1" x14ac:dyDescent="0.3">
      <c r="A1615" s="201"/>
      <c r="B1615" s="188"/>
      <c r="C1615" s="36"/>
      <c r="D1615" s="36"/>
      <c r="E1615" s="37"/>
      <c r="F1615" s="31" t="s">
        <v>558</v>
      </c>
      <c r="G1615" s="31" t="str">
        <f>IF(ISNUMBER(F1615),E1615*F1615,"")</f>
        <v/>
      </c>
      <c r="H1615" s="35"/>
      <c r="I1615" s="31"/>
      <c r="J1615" s="155">
        <v>0</v>
      </c>
    </row>
    <row r="1616" spans="1:10" ht="15.75" hidden="1" thickBot="1" x14ac:dyDescent="0.3">
      <c r="A1616" s="180" t="s">
        <v>543</v>
      </c>
      <c r="B1616" s="186" t="str">
        <f>INDEX(Orçamentária!A:B,MATCH(Composições!A1616,Orçamentária!A:A,0),2)</f>
        <v>Módulo cego</v>
      </c>
      <c r="C1616" s="41"/>
      <c r="D1616" s="26" t="str">
        <f>TRIM(INDEX(Orçamentária!C:C,MATCH(Composições!A1616,Orçamentária!A:A,0),1))</f>
        <v>un</v>
      </c>
      <c r="E1616" s="27"/>
      <c r="F1616" s="42" t="s">
        <v>558</v>
      </c>
      <c r="G1616" s="28" t="str">
        <f>IF(ISNUMBER(F1616),E1616*F1616,"")</f>
        <v/>
      </c>
      <c r="H1616" s="29"/>
      <c r="I1616" s="30"/>
      <c r="J1616" s="155">
        <v>0</v>
      </c>
    </row>
    <row r="1617" spans="1:10" ht="15.75" hidden="1" thickBot="1" x14ac:dyDescent="0.3">
      <c r="A1617" s="200"/>
      <c r="B1617" s="202"/>
      <c r="C1617" s="32"/>
      <c r="D1617" s="32"/>
      <c r="E1617" s="33"/>
      <c r="F1617" s="43" t="s">
        <v>558</v>
      </c>
      <c r="G1617" s="31" t="str">
        <f>IF(ISNUMBER(F1617),E1617*F1617,"")</f>
        <v/>
      </c>
      <c r="H1617" s="35"/>
      <c r="I1617" s="31"/>
      <c r="J1617" s="155">
        <v>0</v>
      </c>
    </row>
    <row r="1618" spans="1:10" ht="15.75" hidden="1" thickBot="1" x14ac:dyDescent="0.3">
      <c r="A1618" s="200"/>
      <c r="B1618" s="202"/>
      <c r="C1618" s="36" t="s">
        <v>30</v>
      </c>
      <c r="D1618" s="36" t="s">
        <v>12</v>
      </c>
      <c r="E1618" s="37">
        <v>0.1</v>
      </c>
      <c r="F1618" s="31">
        <v>22.895</v>
      </c>
      <c r="G1618" s="34">
        <f>IF(ISNUMBER(F1618),E1618*F1618,"")</f>
        <v>2.2894999999999999</v>
      </c>
      <c r="H1618" s="39">
        <f>SUM(G1618:G1619)</f>
        <v>2.2894999999999999</v>
      </c>
      <c r="I1618" s="40"/>
      <c r="J1618" s="155">
        <v>0</v>
      </c>
    </row>
    <row r="1619" spans="1:10" ht="15.75" hidden="1" thickBot="1" x14ac:dyDescent="0.3">
      <c r="A1619" s="200"/>
      <c r="B1619" s="202"/>
      <c r="C1619" s="36" t="s">
        <v>544</v>
      </c>
      <c r="D1619" s="36" t="s">
        <v>20</v>
      </c>
      <c r="E1619" s="37">
        <v>1</v>
      </c>
      <c r="F1619" s="34" t="s">
        <v>558</v>
      </c>
      <c r="G1619" s="31" t="str">
        <f>IF(ISNUMBER(F1619),E1619*F1619,"")</f>
        <v/>
      </c>
      <c r="H1619" s="35"/>
      <c r="I1619" s="31"/>
      <c r="J1619" s="155">
        <v>0</v>
      </c>
    </row>
    <row r="1620" spans="1:10" ht="15.75" hidden="1" thickBot="1" x14ac:dyDescent="0.3">
      <c r="A1620" s="201"/>
      <c r="B1620" s="188"/>
      <c r="C1620" s="36"/>
      <c r="D1620" s="36"/>
      <c r="E1620" s="37"/>
      <c r="F1620" s="31" t="s">
        <v>558</v>
      </c>
      <c r="G1620" s="31" t="str">
        <f>IF(ISNUMBER(F1620),E1620*F1620,"")</f>
        <v/>
      </c>
      <c r="H1620" s="35"/>
      <c r="I1620" s="31"/>
      <c r="J1620" s="155">
        <v>0</v>
      </c>
    </row>
    <row r="1621" spans="1:10" ht="15.75" hidden="1" thickBot="1" x14ac:dyDescent="0.3">
      <c r="A1621" s="180" t="s">
        <v>545</v>
      </c>
      <c r="B1621" s="186" t="str">
        <f>INDEX(Orçamentária!A:B,MATCH(Composições!A1621,Orçamentária!A:A,0),2)</f>
        <v>Módulo interruptor paralelo</v>
      </c>
      <c r="C1621" s="41"/>
      <c r="D1621" s="26" t="str">
        <f>TRIM(INDEX(Orçamentária!C:C,MATCH(Composições!A1621,Orçamentária!A:A,0),1))</f>
        <v>un</v>
      </c>
      <c r="E1621" s="27"/>
      <c r="F1621" s="42" t="s">
        <v>558</v>
      </c>
      <c r="G1621" s="28" t="str">
        <f>IF(ISNUMBER(F1621),E1621*F1621,"")</f>
        <v/>
      </c>
      <c r="H1621" s="29"/>
      <c r="I1621" s="30"/>
      <c r="J1621" s="155">
        <v>0</v>
      </c>
    </row>
    <row r="1622" spans="1:10" ht="15.75" hidden="1" thickBot="1" x14ac:dyDescent="0.3">
      <c r="A1622" s="200"/>
      <c r="B1622" s="202"/>
      <c r="C1622" s="32"/>
      <c r="D1622" s="32"/>
      <c r="E1622" s="33"/>
      <c r="F1622" s="43" t="s">
        <v>558</v>
      </c>
      <c r="G1622" s="31" t="str">
        <f>IF(ISNUMBER(F1622),E1622*F1622,"")</f>
        <v/>
      </c>
      <c r="H1622" s="35"/>
      <c r="I1622" s="31"/>
      <c r="J1622" s="155">
        <v>0</v>
      </c>
    </row>
    <row r="1623" spans="1:10" ht="15.75" hidden="1" thickBot="1" x14ac:dyDescent="0.3">
      <c r="A1623" s="200"/>
      <c r="B1623" s="202"/>
      <c r="C1623" s="36" t="s">
        <v>546</v>
      </c>
      <c r="D1623" s="36" t="s">
        <v>20</v>
      </c>
      <c r="E1623" s="37">
        <v>1</v>
      </c>
      <c r="F1623" s="34">
        <v>7.5430000000000001</v>
      </c>
      <c r="G1623" s="31">
        <f>IF(ISNUMBER(F1623),E1623*F1623,"")</f>
        <v>7.5430000000000001</v>
      </c>
      <c r="H1623" s="39">
        <f>SUM(G1623:G1625)</f>
        <v>20.077984000000001</v>
      </c>
      <c r="I1623" s="40"/>
      <c r="J1623" s="155">
        <v>0</v>
      </c>
    </row>
    <row r="1624" spans="1:10" ht="15.75" hidden="1" thickBot="1" x14ac:dyDescent="0.3">
      <c r="A1624" s="200"/>
      <c r="B1624" s="202"/>
      <c r="C1624" s="36" t="s">
        <v>74</v>
      </c>
      <c r="D1624" s="36" t="s">
        <v>12</v>
      </c>
      <c r="E1624" s="37">
        <v>0.308</v>
      </c>
      <c r="F1624" s="31">
        <v>17.802999999999997</v>
      </c>
      <c r="G1624" s="34">
        <f>IF(ISNUMBER(F1624),E1624*F1624,"")</f>
        <v>5.4833239999999988</v>
      </c>
      <c r="H1624" s="35"/>
      <c r="I1624" s="31"/>
      <c r="J1624" s="155">
        <v>0</v>
      </c>
    </row>
    <row r="1625" spans="1:10" ht="15.75" hidden="1" thickBot="1" x14ac:dyDescent="0.3">
      <c r="A1625" s="200"/>
      <c r="B1625" s="202"/>
      <c r="C1625" s="36" t="s">
        <v>30</v>
      </c>
      <c r="D1625" s="36" t="s">
        <v>12</v>
      </c>
      <c r="E1625" s="37">
        <v>0.308</v>
      </c>
      <c r="F1625" s="31">
        <v>22.895</v>
      </c>
      <c r="G1625" s="34">
        <f>IF(ISNUMBER(F1625),E1625*F1625,"")</f>
        <v>7.05166</v>
      </c>
      <c r="H1625" s="35"/>
      <c r="I1625" s="31"/>
      <c r="J1625" s="155">
        <v>0</v>
      </c>
    </row>
    <row r="1626" spans="1:10" ht="15.75" hidden="1" thickBot="1" x14ac:dyDescent="0.3">
      <c r="A1626" s="201"/>
      <c r="B1626" s="188"/>
      <c r="C1626" s="36"/>
      <c r="D1626" s="36"/>
      <c r="E1626" s="37"/>
      <c r="F1626" s="31" t="s">
        <v>558</v>
      </c>
      <c r="G1626" s="31" t="str">
        <f>IF(ISNUMBER(F1626),E1626*F1626,"")</f>
        <v/>
      </c>
      <c r="H1626" s="35"/>
      <c r="I1626" s="31"/>
      <c r="J1626" s="155">
        <v>0</v>
      </c>
    </row>
    <row r="1627" spans="1:10" ht="15.75" hidden="1" thickBot="1" x14ac:dyDescent="0.3">
      <c r="A1627" s="180" t="s">
        <v>547</v>
      </c>
      <c r="B1627" s="186" t="str">
        <f>INDEX(Orçamentária!A:B,MATCH(Composições!A1627,Orçamentária!A:A,0),2)</f>
        <v>Módulo interruptor simples</v>
      </c>
      <c r="C1627" s="41"/>
      <c r="D1627" s="26" t="str">
        <f>TRIM(INDEX(Orçamentária!C:C,MATCH(Composições!A1627,Orçamentária!A:A,0),1))</f>
        <v>un</v>
      </c>
      <c r="E1627" s="27"/>
      <c r="F1627" s="42" t="s">
        <v>558</v>
      </c>
      <c r="G1627" s="28" t="str">
        <f>IF(ISNUMBER(F1627),E1627*F1627,"")</f>
        <v/>
      </c>
      <c r="H1627" s="29"/>
      <c r="I1627" s="30"/>
      <c r="J1627" s="155">
        <v>0</v>
      </c>
    </row>
    <row r="1628" spans="1:10" ht="15.75" hidden="1" thickBot="1" x14ac:dyDescent="0.3">
      <c r="A1628" s="200"/>
      <c r="B1628" s="202"/>
      <c r="C1628" s="32"/>
      <c r="D1628" s="32"/>
      <c r="E1628" s="33"/>
      <c r="F1628" s="43" t="s">
        <v>558</v>
      </c>
      <c r="G1628" s="31" t="str">
        <f>IF(ISNUMBER(F1628),E1628*F1628,"")</f>
        <v/>
      </c>
      <c r="H1628" s="35"/>
      <c r="I1628" s="31"/>
      <c r="J1628" s="155">
        <v>0</v>
      </c>
    </row>
    <row r="1629" spans="1:10" ht="15.75" hidden="1" thickBot="1" x14ac:dyDescent="0.3">
      <c r="A1629" s="200"/>
      <c r="B1629" s="202"/>
      <c r="C1629" s="36" t="s">
        <v>548</v>
      </c>
      <c r="D1629" s="36" t="s">
        <v>20</v>
      </c>
      <c r="E1629" s="37">
        <v>1</v>
      </c>
      <c r="F1629" s="34">
        <v>5.7854999999999999</v>
      </c>
      <c r="G1629" s="31">
        <f>IF(ISNUMBER(F1629),E1629*F1629,"")</f>
        <v>5.7854999999999999</v>
      </c>
      <c r="H1629" s="39">
        <f>SUM(G1629:G1631)</f>
        <v>14.942549999999999</v>
      </c>
      <c r="I1629" s="40"/>
      <c r="J1629" s="155">
        <v>0</v>
      </c>
    </row>
    <row r="1630" spans="1:10" ht="15.75" hidden="1" thickBot="1" x14ac:dyDescent="0.3">
      <c r="A1630" s="200"/>
      <c r="B1630" s="202"/>
      <c r="C1630" s="36" t="s">
        <v>74</v>
      </c>
      <c r="D1630" s="36" t="s">
        <v>12</v>
      </c>
      <c r="E1630" s="37">
        <v>0.22500000000000001</v>
      </c>
      <c r="F1630" s="31">
        <v>17.802999999999997</v>
      </c>
      <c r="G1630" s="34">
        <f>IF(ISNUMBER(F1630),E1630*F1630,"")</f>
        <v>4.0056749999999992</v>
      </c>
      <c r="H1630" s="35"/>
      <c r="I1630" s="31"/>
      <c r="J1630" s="155">
        <v>0</v>
      </c>
    </row>
    <row r="1631" spans="1:10" ht="15.75" hidden="1" thickBot="1" x14ac:dyDescent="0.3">
      <c r="A1631" s="200"/>
      <c r="B1631" s="202"/>
      <c r="C1631" s="36" t="s">
        <v>30</v>
      </c>
      <c r="D1631" s="36" t="s">
        <v>12</v>
      </c>
      <c r="E1631" s="37">
        <v>0.22500000000000001</v>
      </c>
      <c r="F1631" s="31">
        <v>22.895</v>
      </c>
      <c r="G1631" s="34">
        <f>IF(ISNUMBER(F1631),E1631*F1631,"")</f>
        <v>5.1513749999999998</v>
      </c>
      <c r="H1631" s="35"/>
      <c r="I1631" s="31"/>
      <c r="J1631" s="155">
        <v>0</v>
      </c>
    </row>
    <row r="1632" spans="1:10" ht="15.75" hidden="1" thickBot="1" x14ac:dyDescent="0.3">
      <c r="A1632" s="201"/>
      <c r="B1632" s="188"/>
      <c r="C1632" s="36"/>
      <c r="D1632" s="36"/>
      <c r="E1632" s="37"/>
      <c r="F1632" s="31" t="s">
        <v>558</v>
      </c>
      <c r="G1632" s="31" t="str">
        <f>IF(ISNUMBER(F1632),E1632*F1632,"")</f>
        <v/>
      </c>
      <c r="H1632" s="35"/>
      <c r="I1632" s="31"/>
      <c r="J1632" s="155">
        <v>0</v>
      </c>
    </row>
    <row r="1633" spans="1:10" ht="15.75" hidden="1" thickBot="1" x14ac:dyDescent="0.3">
      <c r="A1633" s="180" t="s">
        <v>549</v>
      </c>
      <c r="B1633" s="186" t="str">
        <f>INDEX(Orçamentária!A:B,MATCH(Composições!A1633,Orçamentária!A:A,0),2)</f>
        <v>Módulo para saída de fio</v>
      </c>
      <c r="C1633" s="41"/>
      <c r="D1633" s="26" t="str">
        <f>TRIM(INDEX(Orçamentária!C:C,MATCH(Composições!A1633,Orçamentária!A:A,0),1))</f>
        <v>un</v>
      </c>
      <c r="E1633" s="27"/>
      <c r="F1633" s="42" t="s">
        <v>558</v>
      </c>
      <c r="G1633" s="28" t="str">
        <f>IF(ISNUMBER(F1633),E1633*F1633,"")</f>
        <v/>
      </c>
      <c r="H1633" s="29"/>
      <c r="I1633" s="30"/>
      <c r="J1633" s="155">
        <v>0</v>
      </c>
    </row>
    <row r="1634" spans="1:10" ht="15.75" hidden="1" thickBot="1" x14ac:dyDescent="0.3">
      <c r="A1634" s="200"/>
      <c r="B1634" s="202"/>
      <c r="C1634" s="32"/>
      <c r="D1634" s="32"/>
      <c r="E1634" s="33"/>
      <c r="F1634" s="43" t="s">
        <v>558</v>
      </c>
      <c r="G1634" s="31" t="str">
        <f>IF(ISNUMBER(F1634),E1634*F1634,"")</f>
        <v/>
      </c>
      <c r="H1634" s="35"/>
      <c r="I1634" s="31"/>
      <c r="J1634" s="155">
        <v>0</v>
      </c>
    </row>
    <row r="1635" spans="1:10" ht="15.75" hidden="1" thickBot="1" x14ac:dyDescent="0.3">
      <c r="A1635" s="200"/>
      <c r="B1635" s="202"/>
      <c r="C1635" s="36" t="s">
        <v>30</v>
      </c>
      <c r="D1635" s="36" t="s">
        <v>12</v>
      </c>
      <c r="E1635" s="37">
        <v>0.1</v>
      </c>
      <c r="F1635" s="31">
        <v>22.895</v>
      </c>
      <c r="G1635" s="34">
        <f>IF(ISNUMBER(F1635),E1635*F1635,"")</f>
        <v>2.2894999999999999</v>
      </c>
      <c r="H1635" s="39">
        <f>SUM(G1635:G1636)</f>
        <v>2.2894999999999999</v>
      </c>
      <c r="I1635" s="40"/>
      <c r="J1635" s="155">
        <v>0</v>
      </c>
    </row>
    <row r="1636" spans="1:10" ht="15.75" hidden="1" thickBot="1" x14ac:dyDescent="0.3">
      <c r="A1636" s="200"/>
      <c r="B1636" s="202"/>
      <c r="C1636" s="36" t="s">
        <v>550</v>
      </c>
      <c r="D1636" s="36" t="s">
        <v>20</v>
      </c>
      <c r="E1636" s="37">
        <v>1</v>
      </c>
      <c r="F1636" s="34" t="s">
        <v>558</v>
      </c>
      <c r="G1636" s="31" t="str">
        <f>IF(ISNUMBER(F1636),E1636*F1636,"")</f>
        <v/>
      </c>
      <c r="H1636" s="35"/>
      <c r="I1636" s="31"/>
      <c r="J1636" s="155">
        <v>0</v>
      </c>
    </row>
    <row r="1637" spans="1:10" ht="15.75" hidden="1" thickBot="1" x14ac:dyDescent="0.3">
      <c r="A1637" s="201"/>
      <c r="B1637" s="188"/>
      <c r="C1637" s="36"/>
      <c r="D1637" s="36"/>
      <c r="E1637" s="37"/>
      <c r="F1637" s="31" t="s">
        <v>558</v>
      </c>
      <c r="G1637" s="31" t="str">
        <f>IF(ISNUMBER(F1637),E1637*F1637,"")</f>
        <v/>
      </c>
      <c r="H1637" s="35"/>
      <c r="I1637" s="31"/>
      <c r="J1637" s="155">
        <v>0</v>
      </c>
    </row>
    <row r="1638" spans="1:10" ht="15.75" hidden="1" thickBot="1" x14ac:dyDescent="0.3">
      <c r="A1638" s="180" t="s">
        <v>551</v>
      </c>
      <c r="B1638" s="186" t="str">
        <f>INDEX(Orçamentária!A:B,MATCH(Composições!A1638,Orçamentária!A:A,0),2)</f>
        <v>Módulo sensor de presença</v>
      </c>
      <c r="C1638" s="41"/>
      <c r="D1638" s="26" t="str">
        <f>TRIM(INDEX(Orçamentária!C:C,MATCH(Composições!A1638,Orçamentária!A:A,0),1))</f>
        <v>un</v>
      </c>
      <c r="E1638" s="27"/>
      <c r="F1638" s="42" t="s">
        <v>558</v>
      </c>
      <c r="G1638" s="28" t="str">
        <f>IF(ISNUMBER(F1638),E1638*F1638,"")</f>
        <v/>
      </c>
      <c r="H1638" s="29"/>
      <c r="I1638" s="30"/>
      <c r="J1638" s="155">
        <v>0</v>
      </c>
    </row>
    <row r="1639" spans="1:10" ht="15.75" hidden="1" thickBot="1" x14ac:dyDescent="0.3">
      <c r="A1639" s="200"/>
      <c r="B1639" s="202"/>
      <c r="C1639" s="32"/>
      <c r="D1639" s="32"/>
      <c r="E1639" s="33"/>
      <c r="F1639" s="43" t="s">
        <v>558</v>
      </c>
      <c r="G1639" s="31" t="str">
        <f>IF(ISNUMBER(F1639),E1639*F1639,"")</f>
        <v/>
      </c>
      <c r="H1639" s="35"/>
      <c r="I1639" s="31"/>
      <c r="J1639" s="155">
        <v>0</v>
      </c>
    </row>
    <row r="1640" spans="1:10" ht="15.75" hidden="1" thickBot="1" x14ac:dyDescent="0.3">
      <c r="A1640" s="200"/>
      <c r="B1640" s="202"/>
      <c r="C1640" s="36" t="s">
        <v>30</v>
      </c>
      <c r="D1640" s="36" t="s">
        <v>12</v>
      </c>
      <c r="E1640" s="37">
        <v>0.308</v>
      </c>
      <c r="F1640" s="31">
        <v>22.895</v>
      </c>
      <c r="G1640" s="34">
        <f>IF(ISNUMBER(F1640),E1640*F1640,"")</f>
        <v>7.05166</v>
      </c>
      <c r="H1640" s="39">
        <f>SUM(G1640:G1642)</f>
        <v>12.534983999999998</v>
      </c>
      <c r="I1640" s="40"/>
      <c r="J1640" s="155">
        <v>0</v>
      </c>
    </row>
    <row r="1641" spans="1:10" ht="15.75" hidden="1" thickBot="1" x14ac:dyDescent="0.3">
      <c r="A1641" s="200"/>
      <c r="B1641" s="202"/>
      <c r="C1641" s="36" t="s">
        <v>74</v>
      </c>
      <c r="D1641" s="36" t="s">
        <v>12</v>
      </c>
      <c r="E1641" s="37">
        <v>0.308</v>
      </c>
      <c r="F1641" s="31">
        <v>17.802999999999997</v>
      </c>
      <c r="G1641" s="34">
        <f>IF(ISNUMBER(F1641),E1641*F1641,"")</f>
        <v>5.4833239999999988</v>
      </c>
      <c r="H1641" s="45"/>
      <c r="I1641" s="46"/>
      <c r="J1641" s="155">
        <v>0</v>
      </c>
    </row>
    <row r="1642" spans="1:10" ht="15.75" hidden="1" thickBot="1" x14ac:dyDescent="0.3">
      <c r="A1642" s="200"/>
      <c r="B1642" s="202"/>
      <c r="C1642" s="36" t="s">
        <v>552</v>
      </c>
      <c r="D1642" s="36" t="s">
        <v>20</v>
      </c>
      <c r="E1642" s="37">
        <v>1</v>
      </c>
      <c r="F1642" s="34" t="s">
        <v>558</v>
      </c>
      <c r="G1642" s="31" t="str">
        <f>IF(ISNUMBER(F1642),E1642*F1642,"")</f>
        <v/>
      </c>
      <c r="H1642" s="35"/>
      <c r="I1642" s="31"/>
      <c r="J1642" s="155">
        <v>0</v>
      </c>
    </row>
    <row r="1643" spans="1:10" ht="15.75" hidden="1" thickBot="1" x14ac:dyDescent="0.3">
      <c r="A1643" s="201"/>
      <c r="B1643" s="188"/>
      <c r="C1643" s="52"/>
      <c r="D1643" s="36"/>
      <c r="E1643" s="37"/>
      <c r="F1643" s="31" t="s">
        <v>558</v>
      </c>
      <c r="G1643" s="31" t="str">
        <f>IF(ISNUMBER(F1643),E1643*F1643,"")</f>
        <v/>
      </c>
      <c r="H1643" s="35"/>
      <c r="I1643" s="31"/>
      <c r="J1643" s="155">
        <v>0</v>
      </c>
    </row>
    <row r="1644" spans="1:10" ht="15.75" hidden="1" thickBot="1" x14ac:dyDescent="0.3">
      <c r="A1644" s="180" t="s">
        <v>553</v>
      </c>
      <c r="B1644" s="186" t="str">
        <f>INDEX(Orçamentária!A:B,MATCH(Composições!A1644,Orçamentária!A:A,0),2)</f>
        <v>Módulo tomada 10 A</v>
      </c>
      <c r="C1644" s="41"/>
      <c r="D1644" s="26" t="str">
        <f>TRIM(INDEX(Orçamentária!C:C,MATCH(Composições!A1644,Orçamentária!A:A,0),1))</f>
        <v>un</v>
      </c>
      <c r="E1644" s="27"/>
      <c r="F1644" s="42" t="s">
        <v>558</v>
      </c>
      <c r="G1644" s="28" t="str">
        <f>IF(ISNUMBER(F1644),E1644*F1644,"")</f>
        <v/>
      </c>
      <c r="H1644" s="29"/>
      <c r="I1644" s="30"/>
      <c r="J1644" s="155">
        <v>0</v>
      </c>
    </row>
    <row r="1645" spans="1:10" ht="15.75" hidden="1" thickBot="1" x14ac:dyDescent="0.3">
      <c r="A1645" s="200"/>
      <c r="B1645" s="202"/>
      <c r="C1645" s="32"/>
      <c r="D1645" s="32"/>
      <c r="E1645" s="33"/>
      <c r="F1645" s="43" t="s">
        <v>558</v>
      </c>
      <c r="G1645" s="31" t="str">
        <f>IF(ISNUMBER(F1645),E1645*F1645,"")</f>
        <v/>
      </c>
      <c r="H1645" s="35"/>
      <c r="I1645" s="31"/>
      <c r="J1645" s="155">
        <v>0</v>
      </c>
    </row>
    <row r="1646" spans="1:10" ht="15.75" hidden="1" thickBot="1" x14ac:dyDescent="0.3">
      <c r="A1646" s="200"/>
      <c r="B1646" s="202"/>
      <c r="C1646" s="36" t="s">
        <v>554</v>
      </c>
      <c r="D1646" s="36" t="s">
        <v>20</v>
      </c>
      <c r="E1646" s="37">
        <v>1</v>
      </c>
      <c r="F1646" s="34">
        <v>6.583499999999999</v>
      </c>
      <c r="G1646" s="31">
        <f>IF(ISNUMBER(F1646),E1646*F1646,"")</f>
        <v>6.583499999999999</v>
      </c>
      <c r="H1646" s="39">
        <f>SUM(G1646:G1648)</f>
        <v>16.147529999999996</v>
      </c>
      <c r="I1646" s="40"/>
      <c r="J1646" s="155">
        <v>0</v>
      </c>
    </row>
    <row r="1647" spans="1:10" ht="15.75" hidden="1" thickBot="1" x14ac:dyDescent="0.3">
      <c r="A1647" s="200"/>
      <c r="B1647" s="202"/>
      <c r="C1647" s="36" t="s">
        <v>74</v>
      </c>
      <c r="D1647" s="36" t="s">
        <v>12</v>
      </c>
      <c r="E1647" s="37">
        <v>0.23499999999999999</v>
      </c>
      <c r="F1647" s="31">
        <v>17.802999999999997</v>
      </c>
      <c r="G1647" s="34">
        <f>IF(ISNUMBER(F1647),E1647*F1647,"")</f>
        <v>4.1837049999999989</v>
      </c>
      <c r="H1647" s="35"/>
      <c r="I1647" s="31"/>
      <c r="J1647" s="155">
        <v>0</v>
      </c>
    </row>
    <row r="1648" spans="1:10" ht="15.75" hidden="1" thickBot="1" x14ac:dyDescent="0.3">
      <c r="A1648" s="200"/>
      <c r="B1648" s="202"/>
      <c r="C1648" s="36" t="s">
        <v>30</v>
      </c>
      <c r="D1648" s="36" t="s">
        <v>12</v>
      </c>
      <c r="E1648" s="37">
        <v>0.23499999999999999</v>
      </c>
      <c r="F1648" s="31">
        <v>22.895</v>
      </c>
      <c r="G1648" s="34">
        <f>IF(ISNUMBER(F1648),E1648*F1648,"")</f>
        <v>5.380325</v>
      </c>
      <c r="H1648" s="35"/>
      <c r="I1648" s="31"/>
      <c r="J1648" s="155">
        <v>0</v>
      </c>
    </row>
    <row r="1649" spans="1:10" ht="15.75" hidden="1" thickBot="1" x14ac:dyDescent="0.3">
      <c r="A1649" s="201"/>
      <c r="B1649" s="188"/>
      <c r="C1649" s="36"/>
      <c r="D1649" s="36"/>
      <c r="E1649" s="37"/>
      <c r="F1649" s="31" t="s">
        <v>558</v>
      </c>
      <c r="G1649" s="31" t="str">
        <f>IF(ISNUMBER(F1649),E1649*F1649,"")</f>
        <v/>
      </c>
      <c r="H1649" s="35"/>
      <c r="I1649" s="31"/>
      <c r="J1649" s="155">
        <v>0</v>
      </c>
    </row>
    <row r="1650" spans="1:10" ht="15.75" hidden="1" thickBot="1" x14ac:dyDescent="0.3">
      <c r="A1650" s="180" t="s">
        <v>555</v>
      </c>
      <c r="B1650" s="186" t="str">
        <f>INDEX(Orçamentária!A:B,MATCH(Composições!A1650,Orçamentária!A:A,0),2)</f>
        <v>Módulo tomada 20 A</v>
      </c>
      <c r="C1650" s="41"/>
      <c r="D1650" s="26" t="str">
        <f>TRIM(INDEX(Orçamentária!C:C,MATCH(Composições!A1650,Orçamentária!A:A,0),1))</f>
        <v>un</v>
      </c>
      <c r="E1650" s="27"/>
      <c r="F1650" s="42" t="s">
        <v>558</v>
      </c>
      <c r="G1650" s="28" t="str">
        <f>IF(ISNUMBER(F1650),E1650*F1650,"")</f>
        <v/>
      </c>
      <c r="H1650" s="29"/>
      <c r="I1650" s="30"/>
      <c r="J1650" s="155">
        <v>0</v>
      </c>
    </row>
    <row r="1651" spans="1:10" ht="15.75" hidden="1" thickBot="1" x14ac:dyDescent="0.3">
      <c r="A1651" s="200"/>
      <c r="B1651" s="202"/>
      <c r="C1651" s="32"/>
      <c r="D1651" s="32"/>
      <c r="E1651" s="33"/>
      <c r="F1651" s="43" t="s">
        <v>558</v>
      </c>
      <c r="G1651" s="31" t="str">
        <f>IF(ISNUMBER(F1651),E1651*F1651,"")</f>
        <v/>
      </c>
      <c r="H1651" s="35"/>
      <c r="I1651" s="31"/>
      <c r="J1651" s="155">
        <v>0</v>
      </c>
    </row>
    <row r="1652" spans="1:10" ht="15.75" hidden="1" thickBot="1" x14ac:dyDescent="0.3">
      <c r="A1652" s="200"/>
      <c r="B1652" s="202"/>
      <c r="C1652" s="36" t="s">
        <v>556</v>
      </c>
      <c r="D1652" s="36" t="s">
        <v>20</v>
      </c>
      <c r="E1652" s="37">
        <v>1</v>
      </c>
      <c r="F1652" s="34">
        <v>8.426499999999999</v>
      </c>
      <c r="G1652" s="31">
        <f>IF(ISNUMBER(F1652),E1652*F1652,"")</f>
        <v>8.426499999999999</v>
      </c>
      <c r="H1652" s="39">
        <f>SUM(G1652:G1654)</f>
        <v>17.990529999999996</v>
      </c>
      <c r="I1652" s="40"/>
      <c r="J1652" s="155">
        <v>0</v>
      </c>
    </row>
    <row r="1653" spans="1:10" ht="15.75" hidden="1" thickBot="1" x14ac:dyDescent="0.3">
      <c r="A1653" s="200"/>
      <c r="B1653" s="202"/>
      <c r="C1653" s="36" t="s">
        <v>74</v>
      </c>
      <c r="D1653" s="36" t="s">
        <v>12</v>
      </c>
      <c r="E1653" s="37">
        <v>0.23499999999999999</v>
      </c>
      <c r="F1653" s="31">
        <v>17.802999999999997</v>
      </c>
      <c r="G1653" s="34">
        <f>IF(ISNUMBER(F1653),E1653*F1653,"")</f>
        <v>4.1837049999999989</v>
      </c>
      <c r="H1653" s="35"/>
      <c r="I1653" s="31"/>
      <c r="J1653" s="155">
        <v>0</v>
      </c>
    </row>
    <row r="1654" spans="1:10" ht="15.75" hidden="1" thickBot="1" x14ac:dyDescent="0.3">
      <c r="A1654" s="200"/>
      <c r="B1654" s="202"/>
      <c r="C1654" s="36" t="s">
        <v>30</v>
      </c>
      <c r="D1654" s="36" t="s">
        <v>12</v>
      </c>
      <c r="E1654" s="37">
        <v>0.23499999999999999</v>
      </c>
      <c r="F1654" s="31">
        <v>22.895</v>
      </c>
      <c r="G1654" s="34">
        <f>IF(ISNUMBER(F1654),E1654*F1654,"")</f>
        <v>5.380325</v>
      </c>
      <c r="H1654" s="35"/>
      <c r="I1654" s="31"/>
      <c r="J1654" s="155">
        <v>0</v>
      </c>
    </row>
    <row r="1655" spans="1:10" ht="15.75" hidden="1" thickBot="1" x14ac:dyDescent="0.3">
      <c r="A1655" s="201"/>
      <c r="B1655" s="188"/>
      <c r="C1655" s="36"/>
      <c r="D1655" s="36"/>
      <c r="E1655" s="37"/>
      <c r="F1655" s="31" t="s">
        <v>558</v>
      </c>
      <c r="G1655" s="31" t="str">
        <f>IF(ISNUMBER(F1655),E1655*F1655,"")</f>
        <v/>
      </c>
      <c r="H1655" s="35"/>
      <c r="I1655" s="31"/>
      <c r="J1655" s="155">
        <v>0</v>
      </c>
    </row>
    <row r="1656" spans="1:10" ht="15.75" hidden="1" thickBot="1" x14ac:dyDescent="0.3">
      <c r="A1656" s="180" t="s">
        <v>557</v>
      </c>
      <c r="B1656" s="186" t="str">
        <f>INDEX(Orçamentária!A:B,MATCH(Composições!A1656,Orçamentária!A:A,0),2)</f>
        <v>Porta equipamentos para canaleta de alumínio aparente</v>
      </c>
      <c r="C1656" s="41"/>
      <c r="D1656" s="26" t="str">
        <f>TRIM(INDEX(Orçamentária!C:C,MATCH(Composições!A1656,Orçamentária!A:A,0),1))</f>
        <v>un</v>
      </c>
      <c r="E1656" s="27"/>
      <c r="F1656" s="42" t="s">
        <v>558</v>
      </c>
      <c r="G1656" s="28" t="str">
        <f>IF(ISNUMBER(F1656),E1656*F1656,"")</f>
        <v/>
      </c>
      <c r="H1656" s="29"/>
      <c r="I1656" s="30"/>
      <c r="J1656" s="155">
        <v>0</v>
      </c>
    </row>
    <row r="1657" spans="1:10" ht="15.75" hidden="1" thickBot="1" x14ac:dyDescent="0.3">
      <c r="A1657" s="200"/>
      <c r="B1657" s="202"/>
      <c r="C1657" s="32"/>
      <c r="D1657" s="32"/>
      <c r="E1657" s="33"/>
      <c r="F1657" s="43" t="s">
        <v>558</v>
      </c>
      <c r="G1657" s="31" t="str">
        <f>IF(ISNUMBER(F1657),E1657*F1657,"")</f>
        <v/>
      </c>
      <c r="H1657" s="35"/>
      <c r="I1657" s="31"/>
      <c r="J1657" s="155">
        <v>0</v>
      </c>
    </row>
    <row r="1658" spans="1:10" ht="15.75" hidden="1" thickBot="1" x14ac:dyDescent="0.3">
      <c r="A1658" s="200"/>
      <c r="B1658" s="202"/>
      <c r="C1658" s="36" t="s">
        <v>74</v>
      </c>
      <c r="D1658" s="36" t="s">
        <v>12</v>
      </c>
      <c r="E1658" s="37">
        <f>0.35/2</f>
        <v>0.17499999999999999</v>
      </c>
      <c r="F1658" s="31">
        <v>17.802999999999997</v>
      </c>
      <c r="G1658" s="34">
        <f>IF(ISNUMBER(F1658),E1658*F1658,"")</f>
        <v>3.1155249999999994</v>
      </c>
      <c r="H1658" s="39">
        <f>SUM(G1658:G1660)</f>
        <v>7.1221499999999995</v>
      </c>
      <c r="I1658" s="40"/>
      <c r="J1658" s="155">
        <v>0</v>
      </c>
    </row>
    <row r="1659" spans="1:10" ht="15.75" hidden="1" thickBot="1" x14ac:dyDescent="0.3">
      <c r="A1659" s="200"/>
      <c r="B1659" s="202"/>
      <c r="C1659" s="36" t="s">
        <v>30</v>
      </c>
      <c r="D1659" s="36" t="s">
        <v>12</v>
      </c>
      <c r="E1659" s="37">
        <f>0.35/2</f>
        <v>0.17499999999999999</v>
      </c>
      <c r="F1659" s="31">
        <v>22.895</v>
      </c>
      <c r="G1659" s="34">
        <f>IF(ISNUMBER(F1659),E1659*F1659,"")</f>
        <v>4.0066249999999997</v>
      </c>
      <c r="H1659" s="63" t="s">
        <v>558</v>
      </c>
      <c r="I1659" s="64"/>
      <c r="J1659" s="155">
        <v>0</v>
      </c>
    </row>
    <row r="1660" spans="1:10" ht="15.75" hidden="1" thickBot="1" x14ac:dyDescent="0.3">
      <c r="A1660" s="200"/>
      <c r="B1660" s="202"/>
      <c r="C1660" s="36" t="s">
        <v>559</v>
      </c>
      <c r="D1660" s="36" t="s">
        <v>20</v>
      </c>
      <c r="E1660" s="37">
        <v>1</v>
      </c>
      <c r="F1660" s="34" t="s">
        <v>558</v>
      </c>
      <c r="G1660" s="34" t="str">
        <f>IF(ISNUMBER(F1660),E1660*F1660,"")</f>
        <v/>
      </c>
      <c r="H1660" s="35"/>
      <c r="I1660" s="31"/>
      <c r="J1660" s="155">
        <v>0</v>
      </c>
    </row>
    <row r="1661" spans="1:10" ht="15.75" hidden="1" thickBot="1" x14ac:dyDescent="0.3">
      <c r="A1661" s="201"/>
      <c r="B1661" s="188"/>
      <c r="C1661" s="36"/>
      <c r="D1661" s="36"/>
      <c r="E1661" s="37"/>
      <c r="F1661" s="31" t="s">
        <v>558</v>
      </c>
      <c r="G1661" s="31" t="str">
        <f>IF(ISNUMBER(F1661),E1661*F1661,"")</f>
        <v/>
      </c>
      <c r="H1661" s="35"/>
      <c r="I1661" s="31"/>
      <c r="J1661" s="155">
        <v>0</v>
      </c>
    </row>
    <row r="1662" spans="1:10" ht="15.75" hidden="1" thickBot="1" x14ac:dyDescent="0.3">
      <c r="A1662" s="180" t="s">
        <v>560</v>
      </c>
      <c r="B1662" s="186" t="str">
        <f>INDEX(Orçamentária!A:B,MATCH(Composições!A1662,Orçamentária!A:A,0),2)</f>
        <v>Tampa cega metálica para caixas de piso 4x2</v>
      </c>
      <c r="C1662" s="41"/>
      <c r="D1662" s="26" t="str">
        <f>TRIM(INDEX(Orçamentária!C:C,MATCH(Composições!A1662,Orçamentária!A:A,0),1))</f>
        <v>un</v>
      </c>
      <c r="E1662" s="27"/>
      <c r="F1662" s="42" t="s">
        <v>558</v>
      </c>
      <c r="G1662" s="28" t="str">
        <f>IF(ISNUMBER(F1662),E1662*F1662,"")</f>
        <v/>
      </c>
      <c r="H1662" s="29"/>
      <c r="I1662" s="30"/>
      <c r="J1662" s="155">
        <v>0</v>
      </c>
    </row>
    <row r="1663" spans="1:10" ht="15.75" hidden="1" thickBot="1" x14ac:dyDescent="0.3">
      <c r="A1663" s="200"/>
      <c r="B1663" s="202"/>
      <c r="C1663" s="32"/>
      <c r="D1663" s="32"/>
      <c r="E1663" s="33"/>
      <c r="F1663" s="43" t="s">
        <v>558</v>
      </c>
      <c r="G1663" s="31" t="str">
        <f>IF(ISNUMBER(F1663),E1663*F1663,"")</f>
        <v/>
      </c>
      <c r="H1663" s="35"/>
      <c r="I1663" s="31"/>
      <c r="J1663" s="155">
        <v>0</v>
      </c>
    </row>
    <row r="1664" spans="1:10" ht="15.75" hidden="1" thickBot="1" x14ac:dyDescent="0.3">
      <c r="A1664" s="200"/>
      <c r="B1664" s="202"/>
      <c r="C1664" s="36" t="s">
        <v>74</v>
      </c>
      <c r="D1664" s="36" t="s">
        <v>12</v>
      </c>
      <c r="E1664" s="37">
        <v>0.1</v>
      </c>
      <c r="F1664" s="31">
        <v>17.802999999999997</v>
      </c>
      <c r="G1664" s="31">
        <f>IF(ISNUMBER(F1664),E1664*F1664,"")</f>
        <v>1.7802999999999998</v>
      </c>
      <c r="H1664" s="39">
        <f>SUM(G1664:G1665)</f>
        <v>1.7802999999999998</v>
      </c>
      <c r="I1664" s="40"/>
      <c r="J1664" s="155">
        <v>0</v>
      </c>
    </row>
    <row r="1665" spans="1:10" ht="15.75" hidden="1" thickBot="1" x14ac:dyDescent="0.3">
      <c r="A1665" s="200"/>
      <c r="B1665" s="202"/>
      <c r="C1665" s="36" t="s">
        <v>561</v>
      </c>
      <c r="D1665" s="36" t="s">
        <v>20</v>
      </c>
      <c r="E1665" s="37">
        <v>1</v>
      </c>
      <c r="F1665" s="34" t="s">
        <v>558</v>
      </c>
      <c r="G1665" s="31" t="str">
        <f>IF(ISNUMBER(F1665),E1665*F1665,"")</f>
        <v/>
      </c>
      <c r="H1665" s="35"/>
      <c r="I1665" s="31"/>
      <c r="J1665" s="155">
        <v>0</v>
      </c>
    </row>
    <row r="1666" spans="1:10" ht="15.75" hidden="1" thickBot="1" x14ac:dyDescent="0.3">
      <c r="A1666" s="201"/>
      <c r="B1666" s="188"/>
      <c r="C1666" s="36"/>
      <c r="D1666" s="36"/>
      <c r="E1666" s="37"/>
      <c r="F1666" s="31" t="s">
        <v>558</v>
      </c>
      <c r="G1666" s="31" t="str">
        <f>IF(ISNUMBER(F1666),E1666*F1666,"")</f>
        <v/>
      </c>
      <c r="H1666" s="35"/>
      <c r="I1666" s="31"/>
      <c r="J1666" s="155">
        <v>0</v>
      </c>
    </row>
    <row r="1667" spans="1:10" ht="15.75" hidden="1" thickBot="1" x14ac:dyDescent="0.3">
      <c r="A1667" s="180" t="s">
        <v>562</v>
      </c>
      <c r="B1667" s="186" t="str">
        <f>INDEX(Orçamentária!A:B,MATCH(Composições!A1667,Orçamentária!A:A,0),2)</f>
        <v>Tampa cega metálica para caixas de piso 4x4</v>
      </c>
      <c r="C1667" s="41"/>
      <c r="D1667" s="26" t="str">
        <f>TRIM(INDEX(Orçamentária!C:C,MATCH(Composições!A1667,Orçamentária!A:A,0),1))</f>
        <v>un</v>
      </c>
      <c r="E1667" s="27"/>
      <c r="F1667" s="42" t="s">
        <v>558</v>
      </c>
      <c r="G1667" s="28" t="str">
        <f>IF(ISNUMBER(F1667),E1667*F1667,"")</f>
        <v/>
      </c>
      <c r="H1667" s="29"/>
      <c r="I1667" s="30"/>
      <c r="J1667" s="155">
        <v>0</v>
      </c>
    </row>
    <row r="1668" spans="1:10" ht="15.75" hidden="1" thickBot="1" x14ac:dyDescent="0.3">
      <c r="A1668" s="200"/>
      <c r="B1668" s="202"/>
      <c r="C1668" s="32"/>
      <c r="D1668" s="32"/>
      <c r="E1668" s="33"/>
      <c r="F1668" s="43" t="s">
        <v>558</v>
      </c>
      <c r="G1668" s="31" t="str">
        <f>IF(ISNUMBER(F1668),E1668*F1668,"")</f>
        <v/>
      </c>
      <c r="H1668" s="35"/>
      <c r="I1668" s="31"/>
      <c r="J1668" s="155">
        <v>0</v>
      </c>
    </row>
    <row r="1669" spans="1:10" ht="15.75" hidden="1" thickBot="1" x14ac:dyDescent="0.3">
      <c r="A1669" s="200"/>
      <c r="B1669" s="202"/>
      <c r="C1669" s="36" t="s">
        <v>74</v>
      </c>
      <c r="D1669" s="36" t="s">
        <v>12</v>
      </c>
      <c r="E1669" s="37">
        <v>0.1</v>
      </c>
      <c r="F1669" s="31">
        <v>17.802999999999997</v>
      </c>
      <c r="G1669" s="31">
        <f>IF(ISNUMBER(F1669),E1669*F1669,"")</f>
        <v>1.7802999999999998</v>
      </c>
      <c r="H1669" s="39">
        <f>SUM(G1669:G1670)</f>
        <v>1.7802999999999998</v>
      </c>
      <c r="I1669" s="40"/>
      <c r="J1669" s="155">
        <v>0</v>
      </c>
    </row>
    <row r="1670" spans="1:10" ht="15.75" hidden="1" thickBot="1" x14ac:dyDescent="0.3">
      <c r="A1670" s="200"/>
      <c r="B1670" s="202"/>
      <c r="C1670" s="36" t="s">
        <v>563</v>
      </c>
      <c r="D1670" s="36" t="s">
        <v>20</v>
      </c>
      <c r="E1670" s="37">
        <v>1</v>
      </c>
      <c r="F1670" s="34" t="s">
        <v>558</v>
      </c>
      <c r="G1670" s="31" t="str">
        <f>IF(ISNUMBER(F1670),E1670*F1670,"")</f>
        <v/>
      </c>
      <c r="H1670" s="35"/>
      <c r="I1670" s="31"/>
      <c r="J1670" s="155">
        <v>0</v>
      </c>
    </row>
    <row r="1671" spans="1:10" ht="15.75" hidden="1" thickBot="1" x14ac:dyDescent="0.3">
      <c r="A1671" s="201"/>
      <c r="B1671" s="188"/>
      <c r="C1671" s="36"/>
      <c r="D1671" s="36"/>
      <c r="E1671" s="37"/>
      <c r="F1671" s="31" t="s">
        <v>558</v>
      </c>
      <c r="G1671" s="31" t="str">
        <f>IF(ISNUMBER(F1671),E1671*F1671,"")</f>
        <v/>
      </c>
      <c r="H1671" s="35"/>
      <c r="I1671" s="31"/>
      <c r="J1671" s="155">
        <v>0</v>
      </c>
    </row>
    <row r="1672" spans="1:10" ht="15.75" hidden="1" thickBot="1" x14ac:dyDescent="0.3">
      <c r="A1672" s="180" t="s">
        <v>564</v>
      </c>
      <c r="B1672" s="186" t="str">
        <f>INDEX(Orçamentária!A:B,MATCH(Composições!A1672,Orçamentária!A:A,0),2)</f>
        <v>Tampa cega para condulete</v>
      </c>
      <c r="C1672" s="41"/>
      <c r="D1672" s="26" t="str">
        <f>TRIM(INDEX(Orçamentária!C:C,MATCH(Composições!A1672,Orçamentária!A:A,0),1))</f>
        <v>un</v>
      </c>
      <c r="E1672" s="27"/>
      <c r="F1672" s="42" t="s">
        <v>558</v>
      </c>
      <c r="G1672" s="28" t="str">
        <f>IF(ISNUMBER(F1672),E1672*F1672,"")</f>
        <v/>
      </c>
      <c r="H1672" s="29"/>
      <c r="I1672" s="30"/>
      <c r="J1672" s="155">
        <v>0</v>
      </c>
    </row>
    <row r="1673" spans="1:10" ht="15.75" hidden="1" thickBot="1" x14ac:dyDescent="0.3">
      <c r="A1673" s="200"/>
      <c r="B1673" s="202"/>
      <c r="C1673" s="32"/>
      <c r="D1673" s="32"/>
      <c r="E1673" s="33"/>
      <c r="F1673" s="43" t="s">
        <v>558</v>
      </c>
      <c r="G1673" s="31" t="str">
        <f>IF(ISNUMBER(F1673),E1673*F1673,"")</f>
        <v/>
      </c>
      <c r="H1673" s="35"/>
      <c r="I1673" s="31"/>
      <c r="J1673" s="155">
        <v>0</v>
      </c>
    </row>
    <row r="1674" spans="1:10" ht="15.75" hidden="1" thickBot="1" x14ac:dyDescent="0.3">
      <c r="A1674" s="200"/>
      <c r="B1674" s="202"/>
      <c r="C1674" s="36" t="s">
        <v>74</v>
      </c>
      <c r="D1674" s="36" t="s">
        <v>12</v>
      </c>
      <c r="E1674" s="37">
        <v>0.15</v>
      </c>
      <c r="F1674" s="31">
        <v>17.802999999999997</v>
      </c>
      <c r="G1674" s="34">
        <f>IF(ISNUMBER(F1674),E1674*F1674,"")</f>
        <v>2.6704499999999993</v>
      </c>
      <c r="H1674" s="39">
        <f>SUM(G1674:G1675)</f>
        <v>2.6704499999999993</v>
      </c>
      <c r="I1674" s="40"/>
      <c r="J1674" s="155">
        <v>0</v>
      </c>
    </row>
    <row r="1675" spans="1:10" ht="26.25" hidden="1" thickBot="1" x14ac:dyDescent="0.3">
      <c r="A1675" s="200"/>
      <c r="B1675" s="202"/>
      <c r="C1675" s="36" t="s">
        <v>565</v>
      </c>
      <c r="D1675" s="36" t="s">
        <v>20</v>
      </c>
      <c r="E1675" s="37">
        <v>1</v>
      </c>
      <c r="F1675" s="34" t="s">
        <v>558</v>
      </c>
      <c r="G1675" s="31" t="str">
        <f>IF(ISNUMBER(F1675),E1675*F1675,"")</f>
        <v/>
      </c>
      <c r="H1675" s="35"/>
      <c r="I1675" s="31"/>
      <c r="J1675" s="155">
        <v>0</v>
      </c>
    </row>
    <row r="1676" spans="1:10" ht="15.75" hidden="1" thickBot="1" x14ac:dyDescent="0.3">
      <c r="A1676" s="200"/>
      <c r="B1676" s="202"/>
      <c r="C1676" s="36"/>
      <c r="D1676" s="36"/>
      <c r="E1676" s="37"/>
      <c r="F1676" s="34" t="s">
        <v>558</v>
      </c>
      <c r="G1676" s="31" t="str">
        <f>IF(ISNUMBER(F1676),E1676*F1676,"")</f>
        <v/>
      </c>
      <c r="H1676" s="35"/>
      <c r="I1676" s="31"/>
      <c r="J1676" s="155">
        <v>0</v>
      </c>
    </row>
    <row r="1677" spans="1:10" ht="15.75" hidden="1" thickBot="1" x14ac:dyDescent="0.3">
      <c r="A1677" s="180" t="s">
        <v>566</v>
      </c>
      <c r="B1677" s="186" t="str">
        <f>INDEX(Orçamentária!A:B,MATCH(Composições!A1677,Orçamentária!A:A,0),2)</f>
        <v>Tampa RJ45 dupla para condulete</v>
      </c>
      <c r="C1677" s="41"/>
      <c r="D1677" s="26" t="str">
        <f>TRIM(INDEX(Orçamentária!C:C,MATCH(Composições!A1677,Orçamentária!A:A,0),1))</f>
        <v>un</v>
      </c>
      <c r="E1677" s="27"/>
      <c r="F1677" s="42" t="s">
        <v>558</v>
      </c>
      <c r="G1677" s="28" t="str">
        <f>IF(ISNUMBER(F1677),E1677*F1677,"")</f>
        <v/>
      </c>
      <c r="H1677" s="29"/>
      <c r="I1677" s="30"/>
      <c r="J1677" s="155">
        <v>0</v>
      </c>
    </row>
    <row r="1678" spans="1:10" ht="15.75" hidden="1" thickBot="1" x14ac:dyDescent="0.3">
      <c r="A1678" s="200"/>
      <c r="B1678" s="202"/>
      <c r="C1678" s="32"/>
      <c r="D1678" s="32"/>
      <c r="E1678" s="33"/>
      <c r="F1678" s="43" t="s">
        <v>558</v>
      </c>
      <c r="G1678" s="31" t="str">
        <f>IF(ISNUMBER(F1678),E1678*F1678,"")</f>
        <v/>
      </c>
      <c r="H1678" s="35"/>
      <c r="I1678" s="31"/>
      <c r="J1678" s="155">
        <v>0</v>
      </c>
    </row>
    <row r="1679" spans="1:10" ht="15.75" hidden="1" thickBot="1" x14ac:dyDescent="0.3">
      <c r="A1679" s="200"/>
      <c r="B1679" s="202"/>
      <c r="C1679" s="36" t="s">
        <v>74</v>
      </c>
      <c r="D1679" s="36" t="s">
        <v>12</v>
      </c>
      <c r="E1679" s="37">
        <v>0.15</v>
      </c>
      <c r="F1679" s="31">
        <v>17.802999999999997</v>
      </c>
      <c r="G1679" s="34">
        <f>IF(ISNUMBER(F1679),E1679*F1679,"")</f>
        <v>2.6704499999999993</v>
      </c>
      <c r="H1679" s="39">
        <f>SUM(G1679:G1681)</f>
        <v>6.1046999999999993</v>
      </c>
      <c r="I1679" s="40"/>
      <c r="J1679" s="155">
        <v>0</v>
      </c>
    </row>
    <row r="1680" spans="1:10" ht="15.75" hidden="1" thickBot="1" x14ac:dyDescent="0.3">
      <c r="A1680" s="200"/>
      <c r="B1680" s="202"/>
      <c r="C1680" s="36" t="s">
        <v>30</v>
      </c>
      <c r="D1680" s="36" t="s">
        <v>12</v>
      </c>
      <c r="E1680" s="37">
        <v>0.15</v>
      </c>
      <c r="F1680" s="31">
        <v>22.895</v>
      </c>
      <c r="G1680" s="34">
        <f>IF(ISNUMBER(F1680),E1680*F1680,"")</f>
        <v>3.43425</v>
      </c>
      <c r="H1680" s="62"/>
      <c r="I1680" s="1"/>
      <c r="J1680" s="155">
        <v>0</v>
      </c>
    </row>
    <row r="1681" spans="1:10" ht="26.25" hidden="1" thickBot="1" x14ac:dyDescent="0.3">
      <c r="A1681" s="200"/>
      <c r="B1681" s="202"/>
      <c r="C1681" s="36" t="s">
        <v>567</v>
      </c>
      <c r="D1681" s="36" t="s">
        <v>20</v>
      </c>
      <c r="E1681" s="37">
        <v>1</v>
      </c>
      <c r="F1681" s="34" t="s">
        <v>558</v>
      </c>
      <c r="G1681" s="31" t="str">
        <f>IF(ISNUMBER(F1681),E1681*F1681,"")</f>
        <v/>
      </c>
      <c r="H1681" s="35"/>
      <c r="I1681" s="31"/>
      <c r="J1681" s="155">
        <v>0</v>
      </c>
    </row>
    <row r="1682" spans="1:10" ht="15.75" hidden="1" thickBot="1" x14ac:dyDescent="0.3">
      <c r="A1682" s="201"/>
      <c r="B1682" s="188"/>
      <c r="C1682" s="36"/>
      <c r="D1682" s="36"/>
      <c r="E1682" s="37"/>
      <c r="F1682" s="31" t="s">
        <v>558</v>
      </c>
      <c r="G1682" s="31" t="str">
        <f>IF(ISNUMBER(F1682),E1682*F1682,"")</f>
        <v/>
      </c>
      <c r="H1682" s="35"/>
      <c r="I1682" s="31"/>
      <c r="J1682" s="155">
        <v>0</v>
      </c>
    </row>
    <row r="1683" spans="1:10" ht="15.75" hidden="1" thickBot="1" x14ac:dyDescent="0.3">
      <c r="A1683" s="180" t="s">
        <v>568</v>
      </c>
      <c r="B1683" s="186" t="str">
        <f>INDEX(Orçamentária!A:B,MATCH(Composições!A1683,Orçamentária!A:A,0),2)</f>
        <v>Tomada para condulete</v>
      </c>
      <c r="C1683" s="41"/>
      <c r="D1683" s="26" t="str">
        <f>TRIM(INDEX(Orçamentária!C:C,MATCH(Composições!A1683,Orçamentária!A:A,0),1))</f>
        <v>un</v>
      </c>
      <c r="E1683" s="27"/>
      <c r="F1683" s="42" t="s">
        <v>558</v>
      </c>
      <c r="G1683" s="28" t="str">
        <f>IF(ISNUMBER(F1683),E1683*F1683,"")</f>
        <v/>
      </c>
      <c r="H1683" s="29"/>
      <c r="I1683" s="30"/>
      <c r="J1683" s="155">
        <v>0</v>
      </c>
    </row>
    <row r="1684" spans="1:10" ht="15.75" hidden="1" thickBot="1" x14ac:dyDescent="0.3">
      <c r="A1684" s="200"/>
      <c r="B1684" s="202"/>
      <c r="C1684" s="32"/>
      <c r="D1684" s="32"/>
      <c r="E1684" s="33"/>
      <c r="F1684" s="43" t="s">
        <v>558</v>
      </c>
      <c r="G1684" s="31" t="str">
        <f>IF(ISNUMBER(F1684),E1684*F1684,"")</f>
        <v/>
      </c>
      <c r="H1684" s="35"/>
      <c r="I1684" s="31"/>
      <c r="J1684" s="155">
        <v>0</v>
      </c>
    </row>
    <row r="1685" spans="1:10" ht="15.75" hidden="1" thickBot="1" x14ac:dyDescent="0.3">
      <c r="A1685" s="200"/>
      <c r="B1685" s="202"/>
      <c r="C1685" s="36" t="s">
        <v>30</v>
      </c>
      <c r="D1685" s="36" t="s">
        <v>12</v>
      </c>
      <c r="E1685" s="37">
        <v>0.308</v>
      </c>
      <c r="F1685" s="31">
        <v>22.895</v>
      </c>
      <c r="G1685" s="34">
        <f>IF(ISNUMBER(F1685),E1685*F1685,"")</f>
        <v>7.05166</v>
      </c>
      <c r="H1685" s="39">
        <f>SUM(G1685:G1688)</f>
        <v>12.534983999999998</v>
      </c>
      <c r="I1685" s="40"/>
      <c r="J1685" s="155">
        <v>0</v>
      </c>
    </row>
    <row r="1686" spans="1:10" ht="15.75" hidden="1" thickBot="1" x14ac:dyDescent="0.3">
      <c r="A1686" s="200"/>
      <c r="B1686" s="202"/>
      <c r="C1686" s="36" t="s">
        <v>74</v>
      </c>
      <c r="D1686" s="36" t="s">
        <v>12</v>
      </c>
      <c r="E1686" s="37">
        <v>0.308</v>
      </c>
      <c r="F1686" s="31">
        <v>17.802999999999997</v>
      </c>
      <c r="G1686" s="34">
        <f>IF(ISNUMBER(F1686),E1686*F1686,"")</f>
        <v>5.4833239999999988</v>
      </c>
      <c r="H1686" s="35"/>
      <c r="I1686" s="31"/>
      <c r="J1686" s="155">
        <v>0</v>
      </c>
    </row>
    <row r="1687" spans="1:10" ht="26.25" hidden="1" thickBot="1" x14ac:dyDescent="0.3">
      <c r="A1687" s="200"/>
      <c r="B1687" s="202"/>
      <c r="C1687" s="36" t="s">
        <v>541</v>
      </c>
      <c r="D1687" s="36" t="s">
        <v>20</v>
      </c>
      <c r="E1687" s="37">
        <v>1</v>
      </c>
      <c r="F1687" s="34" t="s">
        <v>558</v>
      </c>
      <c r="G1687" s="34" t="str">
        <f>IF(ISNUMBER(F1687),E1687*F1687,"")</f>
        <v/>
      </c>
      <c r="H1687" s="35"/>
      <c r="I1687" s="31"/>
      <c r="J1687" s="155">
        <v>0</v>
      </c>
    </row>
    <row r="1688" spans="1:10" ht="26.25" hidden="1" thickBot="1" x14ac:dyDescent="0.3">
      <c r="A1688" s="200"/>
      <c r="B1688" s="202"/>
      <c r="C1688" s="36" t="s">
        <v>6499</v>
      </c>
      <c r="D1688" s="36" t="s">
        <v>20</v>
      </c>
      <c r="E1688" s="37">
        <v>1</v>
      </c>
      <c r="F1688" s="34" t="s">
        <v>558</v>
      </c>
      <c r="G1688" s="31" t="str">
        <f>IF(ISNUMBER(F1688),E1688*F1688,"")</f>
        <v/>
      </c>
      <c r="H1688" s="35"/>
      <c r="I1688" s="31"/>
      <c r="J1688" s="155">
        <v>0</v>
      </c>
    </row>
    <row r="1689" spans="1:10" ht="15.75" hidden="1" thickBot="1" x14ac:dyDescent="0.3">
      <c r="A1689" s="201"/>
      <c r="B1689" s="188"/>
      <c r="C1689" s="36"/>
      <c r="D1689" s="36"/>
      <c r="E1689" s="37"/>
      <c r="F1689" s="31" t="s">
        <v>558</v>
      </c>
      <c r="G1689" s="31" t="str">
        <f>IF(ISNUMBER(F1689),E1689*F1689,"")</f>
        <v/>
      </c>
      <c r="H1689" s="35"/>
      <c r="I1689" s="31"/>
      <c r="J1689" s="155">
        <v>0</v>
      </c>
    </row>
    <row r="1690" spans="1:10" ht="15.75" hidden="1" thickBot="1" x14ac:dyDescent="0.3">
      <c r="A1690" s="180" t="s">
        <v>569</v>
      </c>
      <c r="B1690" s="186" t="str">
        <f>INDEX(Orçamentária!A:B,MATCH(Composições!A1690,Orçamentária!A:A,0),2)</f>
        <v>Tomada para perfilado e eletrocalha</v>
      </c>
      <c r="C1690" s="41"/>
      <c r="D1690" s="26" t="str">
        <f>TRIM(INDEX(Orçamentária!C:C,MATCH(Composições!A1690,Orçamentária!A:A,0),1))</f>
        <v>un</v>
      </c>
      <c r="E1690" s="27"/>
      <c r="F1690" s="42" t="s">
        <v>558</v>
      </c>
      <c r="G1690" s="28" t="str">
        <f>IF(ISNUMBER(F1690),E1690*F1690,"")</f>
        <v/>
      </c>
      <c r="H1690" s="29"/>
      <c r="I1690" s="30"/>
      <c r="J1690" s="155">
        <v>0</v>
      </c>
    </row>
    <row r="1691" spans="1:10" ht="15.75" hidden="1" thickBot="1" x14ac:dyDescent="0.3">
      <c r="A1691" s="200"/>
      <c r="B1691" s="202"/>
      <c r="C1691" s="32"/>
      <c r="D1691" s="32"/>
      <c r="E1691" s="33"/>
      <c r="F1691" s="43" t="s">
        <v>558</v>
      </c>
      <c r="G1691" s="31" t="str">
        <f>IF(ISNUMBER(F1691),E1691*F1691,"")</f>
        <v/>
      </c>
      <c r="H1691" s="35"/>
      <c r="I1691" s="31"/>
      <c r="J1691" s="155">
        <v>0</v>
      </c>
    </row>
    <row r="1692" spans="1:10" ht="15.75" hidden="1" thickBot="1" x14ac:dyDescent="0.3">
      <c r="A1692" s="200"/>
      <c r="B1692" s="202"/>
      <c r="C1692" s="36" t="s">
        <v>74</v>
      </c>
      <c r="D1692" s="36" t="s">
        <v>12</v>
      </c>
      <c r="E1692" s="37">
        <v>0.65</v>
      </c>
      <c r="F1692" s="31">
        <v>17.802999999999997</v>
      </c>
      <c r="G1692" s="34">
        <f>IF(ISNUMBER(F1692),E1692*F1692,"")</f>
        <v>11.571949999999999</v>
      </c>
      <c r="H1692" s="39">
        <f>SUM(G1692:G1695)</f>
        <v>26.453699999999998</v>
      </c>
      <c r="I1692" s="40"/>
      <c r="J1692" s="155">
        <v>0</v>
      </c>
    </row>
    <row r="1693" spans="1:10" ht="15.75" hidden="1" thickBot="1" x14ac:dyDescent="0.3">
      <c r="A1693" s="200"/>
      <c r="B1693" s="202"/>
      <c r="C1693" s="36" t="s">
        <v>30</v>
      </c>
      <c r="D1693" s="36" t="s">
        <v>12</v>
      </c>
      <c r="E1693" s="37">
        <v>0.65</v>
      </c>
      <c r="F1693" s="31">
        <v>22.895</v>
      </c>
      <c r="G1693" s="34">
        <f>IF(ISNUMBER(F1693),E1693*F1693,"")</f>
        <v>14.88175</v>
      </c>
      <c r="H1693" s="35"/>
      <c r="I1693" s="31"/>
      <c r="J1693" s="155">
        <v>0</v>
      </c>
    </row>
    <row r="1694" spans="1:10" ht="15.75" hidden="1" thickBot="1" x14ac:dyDescent="0.3">
      <c r="A1694" s="200"/>
      <c r="B1694" s="202"/>
      <c r="C1694" s="36" t="s">
        <v>570</v>
      </c>
      <c r="D1694" s="36" t="s">
        <v>20</v>
      </c>
      <c r="E1694" s="37">
        <v>1</v>
      </c>
      <c r="F1694" s="31">
        <v>0</v>
      </c>
      <c r="G1694" s="31">
        <f>IF(ISNUMBER(F1694),E1694*F1694,"")</f>
        <v>0</v>
      </c>
      <c r="H1694" s="35"/>
      <c r="I1694" s="31"/>
      <c r="J1694" s="155">
        <v>0</v>
      </c>
    </row>
    <row r="1695" spans="1:10" ht="15.75" hidden="1" thickBot="1" x14ac:dyDescent="0.3">
      <c r="A1695" s="200"/>
      <c r="B1695" s="202"/>
      <c r="C1695" s="36" t="s">
        <v>571</v>
      </c>
      <c r="D1695" s="36" t="s">
        <v>20</v>
      </c>
      <c r="E1695" s="37">
        <v>1</v>
      </c>
      <c r="F1695" s="31">
        <v>0</v>
      </c>
      <c r="G1695" s="31">
        <f>IF(ISNUMBER(F1695),E1695*F1695,"")</f>
        <v>0</v>
      </c>
      <c r="H1695" s="35"/>
      <c r="I1695" s="31"/>
      <c r="J1695" s="155">
        <v>0</v>
      </c>
    </row>
    <row r="1696" spans="1:10" ht="15.75" hidden="1" thickBot="1" x14ac:dyDescent="0.3">
      <c r="A1696" s="201"/>
      <c r="B1696" s="188"/>
      <c r="C1696" s="36"/>
      <c r="D1696" s="36"/>
      <c r="E1696" s="37"/>
      <c r="F1696" s="31" t="s">
        <v>558</v>
      </c>
      <c r="G1696" s="31" t="str">
        <f>IF(ISNUMBER(F1696),E1696*F1696,"")</f>
        <v/>
      </c>
      <c r="H1696" s="35"/>
      <c r="I1696" s="31"/>
      <c r="J1696" s="155">
        <v>0</v>
      </c>
    </row>
    <row r="1697" spans="1:10" ht="15.75" hidden="1" thickBot="1" x14ac:dyDescent="0.3">
      <c r="A1697" s="180" t="s">
        <v>572</v>
      </c>
      <c r="B1697" s="186" t="str">
        <f>INDEX(Orçamentária!A:B,MATCH(Composições!A1697,Orçamentária!A:A,0),2)</f>
        <v>Bloco autônomo de emergência</v>
      </c>
      <c r="C1697" s="41"/>
      <c r="D1697" s="26" t="str">
        <f>TRIM(INDEX(Orçamentária!C:C,MATCH(Composições!A1697,Orçamentária!A:A,0),1))</f>
        <v>un</v>
      </c>
      <c r="E1697" s="27"/>
      <c r="F1697" s="42" t="s">
        <v>558</v>
      </c>
      <c r="G1697" s="28" t="str">
        <f>IF(ISNUMBER(F1697),E1697*F1697,"")</f>
        <v/>
      </c>
      <c r="H1697" s="29"/>
      <c r="I1697" s="30"/>
      <c r="J1697" s="155">
        <v>0</v>
      </c>
    </row>
    <row r="1698" spans="1:10" ht="15.75" hidden="1" thickBot="1" x14ac:dyDescent="0.3">
      <c r="A1698" s="200"/>
      <c r="B1698" s="202"/>
      <c r="C1698" s="32"/>
      <c r="D1698" s="32"/>
      <c r="E1698" s="33"/>
      <c r="F1698" s="43" t="s">
        <v>558</v>
      </c>
      <c r="G1698" s="31" t="str">
        <f>IF(ISNUMBER(F1698),E1698*F1698,"")</f>
        <v/>
      </c>
      <c r="H1698" s="35"/>
      <c r="I1698" s="31"/>
      <c r="J1698" s="155">
        <v>0</v>
      </c>
    </row>
    <row r="1699" spans="1:10" ht="39" hidden="1" thickBot="1" x14ac:dyDescent="0.3">
      <c r="A1699" s="200"/>
      <c r="B1699" s="202"/>
      <c r="C1699" s="36" t="s">
        <v>573</v>
      </c>
      <c r="D1699" s="36" t="s">
        <v>147</v>
      </c>
      <c r="E1699" s="37">
        <v>1</v>
      </c>
      <c r="F1699" s="34" t="s">
        <v>558</v>
      </c>
      <c r="G1699" s="31" t="str">
        <f>IF(ISNUMBER(F1699),E1699*F1699,"")</f>
        <v/>
      </c>
      <c r="H1699" s="39">
        <f>SUM(G1699:G1701)</f>
        <v>5.4413169000000003</v>
      </c>
      <c r="I1699" s="40"/>
      <c r="J1699" s="155">
        <v>0</v>
      </c>
    </row>
    <row r="1700" spans="1:10" ht="15.75" hidden="1" thickBot="1" x14ac:dyDescent="0.3">
      <c r="A1700" s="200"/>
      <c r="B1700" s="202"/>
      <c r="C1700" s="36" t="s">
        <v>74</v>
      </c>
      <c r="D1700" s="47" t="s">
        <v>12</v>
      </c>
      <c r="E1700" s="37">
        <v>7.4800000000000005E-2</v>
      </c>
      <c r="F1700" s="31">
        <v>17.802999999999997</v>
      </c>
      <c r="G1700" s="31">
        <f>IF(ISNUMBER(F1700),E1700*F1700,"")</f>
        <v>1.3316644</v>
      </c>
      <c r="H1700" s="35"/>
      <c r="I1700" s="31"/>
      <c r="J1700" s="155">
        <v>0</v>
      </c>
    </row>
    <row r="1701" spans="1:10" ht="15.75" hidden="1" thickBot="1" x14ac:dyDescent="0.3">
      <c r="A1701" s="200"/>
      <c r="B1701" s="202"/>
      <c r="C1701" s="36" t="s">
        <v>30</v>
      </c>
      <c r="D1701" s="36" t="s">
        <v>12</v>
      </c>
      <c r="E1701" s="37">
        <v>0.17949999999999999</v>
      </c>
      <c r="F1701" s="31">
        <v>22.895</v>
      </c>
      <c r="G1701" s="31">
        <f>IF(ISNUMBER(F1701),E1701*F1701,"")</f>
        <v>4.1096525000000002</v>
      </c>
      <c r="H1701" s="35"/>
      <c r="I1701" s="31"/>
      <c r="J1701" s="155">
        <v>0</v>
      </c>
    </row>
    <row r="1702" spans="1:10" ht="15.75" hidden="1" thickBot="1" x14ac:dyDescent="0.3">
      <c r="A1702" s="201"/>
      <c r="B1702" s="188"/>
      <c r="C1702" s="36"/>
      <c r="D1702" s="36"/>
      <c r="E1702" s="37"/>
      <c r="F1702" s="31" t="s">
        <v>558</v>
      </c>
      <c r="G1702" s="31" t="str">
        <f>IF(ISNUMBER(F1702),E1702*F1702,"")</f>
        <v/>
      </c>
      <c r="H1702" s="35"/>
      <c r="I1702" s="31"/>
      <c r="J1702" s="155">
        <v>0</v>
      </c>
    </row>
    <row r="1703" spans="1:10" ht="15.75" hidden="1" thickBot="1" x14ac:dyDescent="0.3">
      <c r="A1703" s="180" t="s">
        <v>574</v>
      </c>
      <c r="B1703" s="186" t="str">
        <f>INDEX(Orçamentária!A:B,MATCH(Composições!A1703,Orçamentária!A:A,0),2)</f>
        <v>Instalação de luminária reaproveitada</v>
      </c>
      <c r="C1703" s="41"/>
      <c r="D1703" s="26" t="str">
        <f>TRIM(INDEX(Orçamentária!C:C,MATCH(Composições!A1703,Orçamentária!A:A,0),1))</f>
        <v>un</v>
      </c>
      <c r="E1703" s="27"/>
      <c r="F1703" s="42" t="s">
        <v>558</v>
      </c>
      <c r="G1703" s="28" t="str">
        <f>IF(ISNUMBER(F1703),E1703*F1703,"")</f>
        <v/>
      </c>
      <c r="H1703" s="29"/>
      <c r="I1703" s="30"/>
      <c r="J1703" s="155">
        <v>0</v>
      </c>
    </row>
    <row r="1704" spans="1:10" ht="15.75" hidden="1" thickBot="1" x14ac:dyDescent="0.3">
      <c r="A1704" s="200"/>
      <c r="B1704" s="202"/>
      <c r="C1704" s="32"/>
      <c r="D1704" s="32"/>
      <c r="E1704" s="33"/>
      <c r="F1704" s="43" t="s">
        <v>558</v>
      </c>
      <c r="G1704" s="31" t="str">
        <f>IF(ISNUMBER(F1704),E1704*F1704,"")</f>
        <v/>
      </c>
      <c r="H1704" s="35"/>
      <c r="I1704" s="31"/>
      <c r="J1704" s="155">
        <v>0</v>
      </c>
    </row>
    <row r="1705" spans="1:10" ht="15.75" hidden="1" thickBot="1" x14ac:dyDescent="0.3">
      <c r="A1705" s="200"/>
      <c r="B1705" s="202"/>
      <c r="C1705" s="36" t="s">
        <v>74</v>
      </c>
      <c r="D1705" s="47" t="s">
        <v>12</v>
      </c>
      <c r="E1705" s="37">
        <v>0.14799999999999999</v>
      </c>
      <c r="F1705" s="31">
        <v>17.802999999999997</v>
      </c>
      <c r="G1705" s="31">
        <f>IF(ISNUMBER(F1705),E1705*F1705,"")</f>
        <v>2.6348439999999993</v>
      </c>
      <c r="H1705" s="39">
        <f>SUM(G1705:G1709)</f>
        <v>10.764858499999999</v>
      </c>
      <c r="I1705" s="40"/>
      <c r="J1705" s="155">
        <v>0</v>
      </c>
    </row>
    <row r="1706" spans="1:10" ht="15.75" hidden="1" thickBot="1" x14ac:dyDescent="0.3">
      <c r="A1706" s="200"/>
      <c r="B1706" s="202"/>
      <c r="C1706" s="36" t="s">
        <v>30</v>
      </c>
      <c r="D1706" s="36" t="s">
        <v>12</v>
      </c>
      <c r="E1706" s="37">
        <v>0.35510000000000003</v>
      </c>
      <c r="F1706" s="31">
        <v>22.895</v>
      </c>
      <c r="G1706" s="31">
        <f>IF(ISNUMBER(F1706),E1706*F1706,"")</f>
        <v>8.1300144999999997</v>
      </c>
      <c r="H1706" s="45"/>
      <c r="I1706" s="46"/>
      <c r="J1706" s="155">
        <v>0</v>
      </c>
    </row>
    <row r="1707" spans="1:10" ht="26.25" hidden="1" thickBot="1" x14ac:dyDescent="0.3">
      <c r="A1707" s="200"/>
      <c r="B1707" s="202"/>
      <c r="C1707" s="36" t="s">
        <v>575</v>
      </c>
      <c r="D1707" s="36" t="s">
        <v>93</v>
      </c>
      <c r="E1707" s="37">
        <v>1.5</v>
      </c>
      <c r="F1707" s="34" t="s">
        <v>558</v>
      </c>
      <c r="G1707" s="31" t="str">
        <f>IF(ISNUMBER(F1707),E1707*F1707,"")</f>
        <v/>
      </c>
      <c r="H1707" s="35"/>
      <c r="I1707" s="31"/>
      <c r="J1707" s="155">
        <v>0</v>
      </c>
    </row>
    <row r="1708" spans="1:10" ht="15.75" hidden="1" thickBot="1" x14ac:dyDescent="0.3">
      <c r="A1708" s="200"/>
      <c r="B1708" s="202"/>
      <c r="C1708" s="36" t="s">
        <v>576</v>
      </c>
      <c r="D1708" s="36" t="s">
        <v>147</v>
      </c>
      <c r="E1708" s="37">
        <v>1</v>
      </c>
      <c r="F1708" s="34" t="s">
        <v>558</v>
      </c>
      <c r="G1708" s="31" t="str">
        <f>IF(ISNUMBER(F1708),E1708*F1708,"")</f>
        <v/>
      </c>
      <c r="H1708" s="35"/>
      <c r="I1708" s="31"/>
      <c r="J1708" s="155">
        <v>0</v>
      </c>
    </row>
    <row r="1709" spans="1:10" ht="15.75" hidden="1" thickBot="1" x14ac:dyDescent="0.3">
      <c r="A1709" s="200"/>
      <c r="B1709" s="202"/>
      <c r="C1709" s="36" t="s">
        <v>577</v>
      </c>
      <c r="D1709" s="36" t="s">
        <v>147</v>
      </c>
      <c r="E1709" s="37">
        <v>1</v>
      </c>
      <c r="F1709" s="34" t="s">
        <v>558</v>
      </c>
      <c r="G1709" s="31" t="str">
        <f>IF(ISNUMBER(F1709),E1709*F1709,"")</f>
        <v/>
      </c>
      <c r="H1709" s="35"/>
      <c r="I1709" s="31"/>
      <c r="J1709" s="155">
        <v>0</v>
      </c>
    </row>
    <row r="1710" spans="1:10" ht="15.75" hidden="1" thickBot="1" x14ac:dyDescent="0.3">
      <c r="A1710" s="201"/>
      <c r="B1710" s="188"/>
      <c r="C1710" s="36"/>
      <c r="D1710" s="36"/>
      <c r="E1710" s="37"/>
      <c r="F1710" s="31" t="s">
        <v>558</v>
      </c>
      <c r="G1710" s="31" t="str">
        <f>IF(ISNUMBER(F1710),E1710*F1710,"")</f>
        <v/>
      </c>
      <c r="H1710" s="35"/>
      <c r="I1710" s="31"/>
      <c r="J1710" s="155">
        <v>0</v>
      </c>
    </row>
    <row r="1711" spans="1:10" ht="15.75" hidden="1" thickBot="1" x14ac:dyDescent="0.3">
      <c r="A1711" s="180" t="s">
        <v>578</v>
      </c>
      <c r="B1711" s="186" t="str">
        <f>INDEX(Orçamentária!A:B,MATCH(Composições!A1711,Orçamentária!A:A,0),2)</f>
        <v>Luminária 2x14 W de embutir</v>
      </c>
      <c r="C1711" s="41"/>
      <c r="D1711" s="26" t="str">
        <f>TRIM(INDEX(Orçamentária!C:C,MATCH(Composições!A1711,Orçamentária!A:A,0),1))</f>
        <v>un</v>
      </c>
      <c r="E1711" s="27"/>
      <c r="F1711" s="42" t="s">
        <v>558</v>
      </c>
      <c r="G1711" s="28" t="str">
        <f>IF(ISNUMBER(F1711),E1711*F1711,"")</f>
        <v/>
      </c>
      <c r="H1711" s="29"/>
      <c r="I1711" s="30"/>
      <c r="J1711" s="155">
        <v>0</v>
      </c>
    </row>
    <row r="1712" spans="1:10" ht="15.75" hidden="1" thickBot="1" x14ac:dyDescent="0.3">
      <c r="A1712" s="200"/>
      <c r="B1712" s="202"/>
      <c r="C1712" s="32"/>
      <c r="D1712" s="32"/>
      <c r="E1712" s="33"/>
      <c r="F1712" s="43" t="s">
        <v>558</v>
      </c>
      <c r="G1712" s="31" t="str">
        <f>IF(ISNUMBER(F1712),E1712*F1712,"")</f>
        <v/>
      </c>
      <c r="H1712" s="35"/>
      <c r="I1712" s="31"/>
      <c r="J1712" s="155">
        <v>0</v>
      </c>
    </row>
    <row r="1713" spans="1:10" ht="26.25" hidden="1" thickBot="1" x14ac:dyDescent="0.3">
      <c r="A1713" s="200"/>
      <c r="B1713" s="202"/>
      <c r="C1713" s="36" t="s">
        <v>579</v>
      </c>
      <c r="D1713" s="36" t="s">
        <v>147</v>
      </c>
      <c r="E1713" s="37">
        <v>1</v>
      </c>
      <c r="F1713" s="34" t="s">
        <v>558</v>
      </c>
      <c r="G1713" s="34" t="str">
        <f>IF(ISNUMBER(F1713),E1713*F1713,"")</f>
        <v/>
      </c>
      <c r="H1713" s="39">
        <f>SUM(G1713:G1720)</f>
        <v>10.764858499999999</v>
      </c>
      <c r="I1713" s="40"/>
      <c r="J1713" s="155">
        <v>0</v>
      </c>
    </row>
    <row r="1714" spans="1:10" ht="26.25" hidden="1" thickBot="1" x14ac:dyDescent="0.3">
      <c r="A1714" s="200"/>
      <c r="B1714" s="202"/>
      <c r="C1714" s="36" t="s">
        <v>6498</v>
      </c>
      <c r="D1714" s="36" t="s">
        <v>147</v>
      </c>
      <c r="E1714" s="37">
        <v>1</v>
      </c>
      <c r="F1714" s="34" t="s">
        <v>558</v>
      </c>
      <c r="G1714" s="34" t="str">
        <f>IF(ISNUMBER(F1714),E1714*F1714,"")</f>
        <v/>
      </c>
      <c r="H1714" s="45"/>
      <c r="I1714" s="46"/>
      <c r="J1714" s="155">
        <v>0</v>
      </c>
    </row>
    <row r="1715" spans="1:10" ht="26.25" hidden="1" thickBot="1" x14ac:dyDescent="0.3">
      <c r="A1715" s="200"/>
      <c r="B1715" s="202"/>
      <c r="C1715" s="36" t="s">
        <v>580</v>
      </c>
      <c r="D1715" s="36" t="s">
        <v>147</v>
      </c>
      <c r="E1715" s="37">
        <v>2</v>
      </c>
      <c r="F1715" s="34" t="s">
        <v>558</v>
      </c>
      <c r="G1715" s="34" t="str">
        <f>IF(ISNUMBER(F1715),E1715*F1715,"")</f>
        <v/>
      </c>
      <c r="H1715" s="45"/>
      <c r="I1715" s="46"/>
      <c r="J1715" s="155">
        <v>0</v>
      </c>
    </row>
    <row r="1716" spans="1:10" ht="26.25" hidden="1" thickBot="1" x14ac:dyDescent="0.3">
      <c r="A1716" s="200"/>
      <c r="B1716" s="202"/>
      <c r="C1716" s="36" t="s">
        <v>575</v>
      </c>
      <c r="D1716" s="36" t="s">
        <v>93</v>
      </c>
      <c r="E1716" s="37">
        <v>1.5</v>
      </c>
      <c r="F1716" s="34" t="s">
        <v>558</v>
      </c>
      <c r="G1716" s="31" t="str">
        <f>IF(ISNUMBER(F1716),E1716*F1716,"")</f>
        <v/>
      </c>
      <c r="H1716" s="35"/>
      <c r="I1716" s="31"/>
      <c r="J1716" s="155">
        <v>0</v>
      </c>
    </row>
    <row r="1717" spans="1:10" ht="15.75" hidden="1" thickBot="1" x14ac:dyDescent="0.3">
      <c r="A1717" s="200"/>
      <c r="B1717" s="202"/>
      <c r="C1717" s="36" t="s">
        <v>576</v>
      </c>
      <c r="D1717" s="36" t="s">
        <v>147</v>
      </c>
      <c r="E1717" s="37">
        <v>1</v>
      </c>
      <c r="F1717" s="34" t="s">
        <v>558</v>
      </c>
      <c r="G1717" s="31" t="str">
        <f>IF(ISNUMBER(F1717),E1717*F1717,"")</f>
        <v/>
      </c>
      <c r="H1717" s="35"/>
      <c r="I1717" s="31"/>
      <c r="J1717" s="155">
        <v>0</v>
      </c>
    </row>
    <row r="1718" spans="1:10" ht="15.75" hidden="1" thickBot="1" x14ac:dyDescent="0.3">
      <c r="A1718" s="200"/>
      <c r="B1718" s="202"/>
      <c r="C1718" s="36" t="s">
        <v>577</v>
      </c>
      <c r="D1718" s="36" t="s">
        <v>147</v>
      </c>
      <c r="E1718" s="37">
        <v>1</v>
      </c>
      <c r="F1718" s="34" t="s">
        <v>558</v>
      </c>
      <c r="G1718" s="31" t="str">
        <f>IF(ISNUMBER(F1718),E1718*F1718,"")</f>
        <v/>
      </c>
      <c r="H1718" s="35"/>
      <c r="I1718" s="31"/>
      <c r="J1718" s="155">
        <v>0</v>
      </c>
    </row>
    <row r="1719" spans="1:10" ht="15.75" hidden="1" thickBot="1" x14ac:dyDescent="0.3">
      <c r="A1719" s="200"/>
      <c r="B1719" s="202"/>
      <c r="C1719" s="36" t="s">
        <v>74</v>
      </c>
      <c r="D1719" s="36" t="s">
        <v>12</v>
      </c>
      <c r="E1719" s="37">
        <v>0.14799999999999999</v>
      </c>
      <c r="F1719" s="31">
        <v>17.802999999999997</v>
      </c>
      <c r="G1719" s="34">
        <f>IF(ISNUMBER(F1719),E1719*F1719,"")</f>
        <v>2.6348439999999993</v>
      </c>
      <c r="H1719" s="35"/>
      <c r="I1719" s="31"/>
      <c r="J1719" s="155">
        <v>0</v>
      </c>
    </row>
    <row r="1720" spans="1:10" ht="15.75" hidden="1" thickBot="1" x14ac:dyDescent="0.3">
      <c r="A1720" s="200"/>
      <c r="B1720" s="202"/>
      <c r="C1720" s="36" t="s">
        <v>30</v>
      </c>
      <c r="D1720" s="36" t="s">
        <v>12</v>
      </c>
      <c r="E1720" s="37">
        <v>0.35510000000000003</v>
      </c>
      <c r="F1720" s="31">
        <v>22.895</v>
      </c>
      <c r="G1720" s="31">
        <f>IF(ISNUMBER(F1720),E1720*F1720,"")</f>
        <v>8.1300144999999997</v>
      </c>
      <c r="H1720" s="35"/>
      <c r="I1720" s="31"/>
      <c r="J1720" s="155">
        <v>0</v>
      </c>
    </row>
    <row r="1721" spans="1:10" ht="15.75" hidden="1" thickBot="1" x14ac:dyDescent="0.3">
      <c r="A1721" s="201"/>
      <c r="B1721" s="188"/>
      <c r="C1721" s="36"/>
      <c r="D1721" s="36"/>
      <c r="E1721" s="37"/>
      <c r="F1721" s="31" t="s">
        <v>558</v>
      </c>
      <c r="G1721" s="31" t="str">
        <f>IF(ISNUMBER(F1721),E1721*F1721,"")</f>
        <v/>
      </c>
      <c r="H1721" s="35"/>
      <c r="I1721" s="31"/>
      <c r="J1721" s="155">
        <v>0</v>
      </c>
    </row>
    <row r="1722" spans="1:10" ht="15.75" hidden="1" thickBot="1" x14ac:dyDescent="0.3">
      <c r="A1722" s="180" t="s">
        <v>581</v>
      </c>
      <c r="B1722" s="186" t="str">
        <f>INDEX(Orçamentária!A:B,MATCH(Composições!A1722,Orçamentária!A:A,0),2)</f>
        <v>Luminária 2x14 W de sobrepor</v>
      </c>
      <c r="C1722" s="41"/>
      <c r="D1722" s="26" t="str">
        <f>TRIM(INDEX(Orçamentária!C:C,MATCH(Composições!A1722,Orçamentária!A:A,0),1))</f>
        <v>un</v>
      </c>
      <c r="E1722" s="27"/>
      <c r="F1722" s="42" t="s">
        <v>558</v>
      </c>
      <c r="G1722" s="28" t="str">
        <f>IF(ISNUMBER(F1722),E1722*F1722,"")</f>
        <v/>
      </c>
      <c r="H1722" s="29"/>
      <c r="I1722" s="30"/>
      <c r="J1722" s="155">
        <v>0</v>
      </c>
    </row>
    <row r="1723" spans="1:10" ht="15.75" hidden="1" thickBot="1" x14ac:dyDescent="0.3">
      <c r="A1723" s="200"/>
      <c r="B1723" s="202"/>
      <c r="C1723" s="32"/>
      <c r="D1723" s="32"/>
      <c r="E1723" s="33"/>
      <c r="F1723" s="43" t="s">
        <v>558</v>
      </c>
      <c r="G1723" s="31" t="str">
        <f>IF(ISNUMBER(F1723),E1723*F1723,"")</f>
        <v/>
      </c>
      <c r="H1723" s="35"/>
      <c r="I1723" s="31"/>
      <c r="J1723" s="155">
        <v>0</v>
      </c>
    </row>
    <row r="1724" spans="1:10" ht="26.25" hidden="1" thickBot="1" x14ac:dyDescent="0.3">
      <c r="A1724" s="200"/>
      <c r="B1724" s="202"/>
      <c r="C1724" s="36" t="s">
        <v>582</v>
      </c>
      <c r="D1724" s="36" t="s">
        <v>147</v>
      </c>
      <c r="E1724" s="37">
        <v>1</v>
      </c>
      <c r="F1724" s="34" t="s">
        <v>558</v>
      </c>
      <c r="G1724" s="34" t="str">
        <f>IF(ISNUMBER(F1724),E1724*F1724,"")</f>
        <v/>
      </c>
      <c r="H1724" s="39">
        <f>SUM(G1724:G1731)</f>
        <v>12.562266099999999</v>
      </c>
      <c r="I1724" s="40"/>
      <c r="J1724" s="155">
        <v>0</v>
      </c>
    </row>
    <row r="1725" spans="1:10" ht="26.25" hidden="1" thickBot="1" x14ac:dyDescent="0.3">
      <c r="A1725" s="200"/>
      <c r="B1725" s="202"/>
      <c r="C1725" s="36" t="s">
        <v>6498</v>
      </c>
      <c r="D1725" s="36" t="s">
        <v>147</v>
      </c>
      <c r="E1725" s="37">
        <v>1</v>
      </c>
      <c r="F1725" s="34" t="s">
        <v>558</v>
      </c>
      <c r="G1725" s="34" t="str">
        <f>IF(ISNUMBER(F1725),E1725*F1725,"")</f>
        <v/>
      </c>
      <c r="H1725" s="45"/>
      <c r="I1725" s="46"/>
      <c r="J1725" s="155">
        <v>0</v>
      </c>
    </row>
    <row r="1726" spans="1:10" ht="26.25" hidden="1" thickBot="1" x14ac:dyDescent="0.3">
      <c r="A1726" s="200"/>
      <c r="B1726" s="202"/>
      <c r="C1726" s="36" t="s">
        <v>580</v>
      </c>
      <c r="D1726" s="36" t="s">
        <v>147</v>
      </c>
      <c r="E1726" s="37">
        <v>2</v>
      </c>
      <c r="F1726" s="34" t="s">
        <v>558</v>
      </c>
      <c r="G1726" s="34" t="str">
        <f>IF(ISNUMBER(F1726),E1726*F1726,"")</f>
        <v/>
      </c>
      <c r="H1726" s="45"/>
      <c r="I1726" s="46"/>
      <c r="J1726" s="155">
        <v>0</v>
      </c>
    </row>
    <row r="1727" spans="1:10" ht="26.25" hidden="1" thickBot="1" x14ac:dyDescent="0.3">
      <c r="A1727" s="200"/>
      <c r="B1727" s="202"/>
      <c r="C1727" s="36" t="s">
        <v>575</v>
      </c>
      <c r="D1727" s="36" t="s">
        <v>93</v>
      </c>
      <c r="E1727" s="37">
        <v>1.5</v>
      </c>
      <c r="F1727" s="34" t="s">
        <v>558</v>
      </c>
      <c r="G1727" s="31" t="str">
        <f>IF(ISNUMBER(F1727),E1727*F1727,"")</f>
        <v/>
      </c>
      <c r="H1727" s="35"/>
      <c r="I1727" s="31"/>
      <c r="J1727" s="155">
        <v>0</v>
      </c>
    </row>
    <row r="1728" spans="1:10" ht="15.75" hidden="1" thickBot="1" x14ac:dyDescent="0.3">
      <c r="A1728" s="200"/>
      <c r="B1728" s="202"/>
      <c r="C1728" s="36" t="s">
        <v>576</v>
      </c>
      <c r="D1728" s="36" t="s">
        <v>147</v>
      </c>
      <c r="E1728" s="37">
        <v>1</v>
      </c>
      <c r="F1728" s="34" t="s">
        <v>558</v>
      </c>
      <c r="G1728" s="31" t="str">
        <f>IF(ISNUMBER(F1728),E1728*F1728,"")</f>
        <v/>
      </c>
      <c r="H1728" s="35"/>
      <c r="I1728" s="31"/>
      <c r="J1728" s="155">
        <v>0</v>
      </c>
    </row>
    <row r="1729" spans="1:10" ht="15.75" hidden="1" thickBot="1" x14ac:dyDescent="0.3">
      <c r="A1729" s="200"/>
      <c r="B1729" s="202"/>
      <c r="C1729" s="36" t="s">
        <v>577</v>
      </c>
      <c r="D1729" s="36" t="s">
        <v>147</v>
      </c>
      <c r="E1729" s="37">
        <v>1</v>
      </c>
      <c r="F1729" s="34" t="s">
        <v>558</v>
      </c>
      <c r="G1729" s="31" t="str">
        <f>IF(ISNUMBER(F1729),E1729*F1729,"")</f>
        <v/>
      </c>
      <c r="H1729" s="35"/>
      <c r="I1729" s="31"/>
      <c r="J1729" s="155">
        <v>0</v>
      </c>
    </row>
    <row r="1730" spans="1:10" ht="15.75" hidden="1" thickBot="1" x14ac:dyDescent="0.3">
      <c r="A1730" s="200"/>
      <c r="B1730" s="202"/>
      <c r="C1730" s="36" t="s">
        <v>74</v>
      </c>
      <c r="D1730" s="47" t="s">
        <v>12</v>
      </c>
      <c r="E1730" s="37">
        <v>0.17269999999999999</v>
      </c>
      <c r="F1730" s="31">
        <v>17.802999999999997</v>
      </c>
      <c r="G1730" s="31">
        <f>IF(ISNUMBER(F1730),E1730*F1730,"")</f>
        <v>3.0745780999999992</v>
      </c>
      <c r="H1730" s="35"/>
      <c r="I1730" s="31"/>
      <c r="J1730" s="155">
        <v>0</v>
      </c>
    </row>
    <row r="1731" spans="1:10" ht="15.75" hidden="1" thickBot="1" x14ac:dyDescent="0.3">
      <c r="A1731" s="200"/>
      <c r="B1731" s="202"/>
      <c r="C1731" s="36" t="s">
        <v>30</v>
      </c>
      <c r="D1731" s="36" t="s">
        <v>12</v>
      </c>
      <c r="E1731" s="37">
        <v>0.41439999999999999</v>
      </c>
      <c r="F1731" s="31">
        <v>22.895</v>
      </c>
      <c r="G1731" s="31">
        <f>IF(ISNUMBER(F1731),E1731*F1731,"")</f>
        <v>9.4876880000000003</v>
      </c>
      <c r="H1731" s="35"/>
      <c r="I1731" s="31"/>
      <c r="J1731" s="155">
        <v>0</v>
      </c>
    </row>
    <row r="1732" spans="1:10" ht="15.75" hidden="1" thickBot="1" x14ac:dyDescent="0.3">
      <c r="A1732" s="201"/>
      <c r="B1732" s="188"/>
      <c r="C1732" s="36"/>
      <c r="D1732" s="36"/>
      <c r="E1732" s="37"/>
      <c r="F1732" s="31" t="s">
        <v>558</v>
      </c>
      <c r="G1732" s="31" t="str">
        <f>IF(ISNUMBER(F1732),E1732*F1732,"")</f>
        <v/>
      </c>
      <c r="H1732" s="35"/>
      <c r="I1732" s="31"/>
      <c r="J1732" s="155">
        <v>0</v>
      </c>
    </row>
    <row r="1733" spans="1:10" ht="15.75" hidden="1" thickBot="1" x14ac:dyDescent="0.3">
      <c r="A1733" s="180" t="s">
        <v>583</v>
      </c>
      <c r="B1733" s="186" t="str">
        <f>INDEX(Orçamentária!A:B,MATCH(Composições!A1733,Orçamentária!A:A,0),2)</f>
        <v>Luminária 2x28 W de embutir</v>
      </c>
      <c r="C1733" s="41"/>
      <c r="D1733" s="26" t="str">
        <f>TRIM(INDEX(Orçamentária!C:C,MATCH(Composições!A1733,Orçamentária!A:A,0),1))</f>
        <v>un</v>
      </c>
      <c r="E1733" s="27"/>
      <c r="F1733" s="42" t="s">
        <v>558</v>
      </c>
      <c r="G1733" s="28" t="str">
        <f>IF(ISNUMBER(F1733),E1733*F1733,"")</f>
        <v/>
      </c>
      <c r="H1733" s="29"/>
      <c r="I1733" s="30"/>
      <c r="J1733" s="155">
        <v>0</v>
      </c>
    </row>
    <row r="1734" spans="1:10" ht="15.75" hidden="1" thickBot="1" x14ac:dyDescent="0.3">
      <c r="A1734" s="200"/>
      <c r="B1734" s="202"/>
      <c r="C1734" s="32"/>
      <c r="D1734" s="32"/>
      <c r="E1734" s="33"/>
      <c r="F1734" s="43" t="s">
        <v>558</v>
      </c>
      <c r="G1734" s="31" t="str">
        <f>IF(ISNUMBER(F1734),E1734*F1734,"")</f>
        <v/>
      </c>
      <c r="H1734" s="35"/>
      <c r="I1734" s="31"/>
      <c r="J1734" s="155">
        <v>0</v>
      </c>
    </row>
    <row r="1735" spans="1:10" ht="26.25" hidden="1" thickBot="1" x14ac:dyDescent="0.3">
      <c r="A1735" s="200"/>
      <c r="B1735" s="202"/>
      <c r="C1735" s="36" t="s">
        <v>584</v>
      </c>
      <c r="D1735" s="36" t="s">
        <v>147</v>
      </c>
      <c r="E1735" s="37">
        <v>1</v>
      </c>
      <c r="F1735" s="34" t="s">
        <v>558</v>
      </c>
      <c r="G1735" s="31" t="str">
        <f>IF(ISNUMBER(F1735),E1735*F1735,"")</f>
        <v/>
      </c>
      <c r="H1735" s="39">
        <f>SUM(G1735:G1742)</f>
        <v>10.764858499999999</v>
      </c>
      <c r="I1735" s="40"/>
      <c r="J1735" s="155">
        <v>0</v>
      </c>
    </row>
    <row r="1736" spans="1:10" ht="26.25" hidden="1" thickBot="1" x14ac:dyDescent="0.3">
      <c r="A1736" s="200"/>
      <c r="B1736" s="202"/>
      <c r="C1736" s="36" t="s">
        <v>6497</v>
      </c>
      <c r="D1736" s="36" t="s">
        <v>147</v>
      </c>
      <c r="E1736" s="37">
        <v>1</v>
      </c>
      <c r="F1736" s="34" t="s">
        <v>558</v>
      </c>
      <c r="G1736" s="31" t="str">
        <f>IF(ISNUMBER(F1736),E1736*F1736,"")</f>
        <v/>
      </c>
      <c r="H1736" s="45"/>
      <c r="I1736" s="46"/>
      <c r="J1736" s="155">
        <v>0</v>
      </c>
    </row>
    <row r="1737" spans="1:10" ht="26.25" hidden="1" thickBot="1" x14ac:dyDescent="0.3">
      <c r="A1737" s="200"/>
      <c r="B1737" s="202"/>
      <c r="C1737" s="36" t="s">
        <v>585</v>
      </c>
      <c r="D1737" s="36" t="s">
        <v>147</v>
      </c>
      <c r="E1737" s="37">
        <v>2</v>
      </c>
      <c r="F1737" s="34" t="s">
        <v>558</v>
      </c>
      <c r="G1737" s="31" t="str">
        <f>IF(ISNUMBER(F1737),E1737*F1737,"")</f>
        <v/>
      </c>
      <c r="H1737" s="45"/>
      <c r="I1737" s="46"/>
      <c r="J1737" s="155">
        <v>0</v>
      </c>
    </row>
    <row r="1738" spans="1:10" ht="26.25" hidden="1" thickBot="1" x14ac:dyDescent="0.3">
      <c r="A1738" s="200"/>
      <c r="B1738" s="202"/>
      <c r="C1738" s="36" t="s">
        <v>575</v>
      </c>
      <c r="D1738" s="36" t="s">
        <v>93</v>
      </c>
      <c r="E1738" s="37">
        <v>1.5</v>
      </c>
      <c r="F1738" s="34" t="s">
        <v>558</v>
      </c>
      <c r="G1738" s="31" t="str">
        <f>IF(ISNUMBER(F1738),E1738*F1738,"")</f>
        <v/>
      </c>
      <c r="H1738" s="35"/>
      <c r="I1738" s="31"/>
      <c r="J1738" s="155">
        <v>0</v>
      </c>
    </row>
    <row r="1739" spans="1:10" ht="15.75" hidden="1" thickBot="1" x14ac:dyDescent="0.3">
      <c r="A1739" s="200"/>
      <c r="B1739" s="202"/>
      <c r="C1739" s="36" t="s">
        <v>576</v>
      </c>
      <c r="D1739" s="36" t="s">
        <v>147</v>
      </c>
      <c r="E1739" s="37">
        <v>1</v>
      </c>
      <c r="F1739" s="34" t="s">
        <v>558</v>
      </c>
      <c r="G1739" s="31" t="str">
        <f>IF(ISNUMBER(F1739),E1739*F1739,"")</f>
        <v/>
      </c>
      <c r="H1739" s="35"/>
      <c r="I1739" s="31"/>
      <c r="J1739" s="155">
        <v>0</v>
      </c>
    </row>
    <row r="1740" spans="1:10" ht="15.75" hidden="1" thickBot="1" x14ac:dyDescent="0.3">
      <c r="A1740" s="200"/>
      <c r="B1740" s="202"/>
      <c r="C1740" s="36" t="s">
        <v>577</v>
      </c>
      <c r="D1740" s="36" t="s">
        <v>147</v>
      </c>
      <c r="E1740" s="37">
        <v>1</v>
      </c>
      <c r="F1740" s="34" t="s">
        <v>558</v>
      </c>
      <c r="G1740" s="31" t="str">
        <f>IF(ISNUMBER(F1740),E1740*F1740,"")</f>
        <v/>
      </c>
      <c r="H1740" s="35"/>
      <c r="I1740" s="31"/>
      <c r="J1740" s="155">
        <v>0</v>
      </c>
    </row>
    <row r="1741" spans="1:10" ht="15.75" hidden="1" thickBot="1" x14ac:dyDescent="0.3">
      <c r="A1741" s="200"/>
      <c r="B1741" s="202"/>
      <c r="C1741" s="36" t="s">
        <v>74</v>
      </c>
      <c r="D1741" s="36" t="s">
        <v>12</v>
      </c>
      <c r="E1741" s="37">
        <v>0.14799999999999999</v>
      </c>
      <c r="F1741" s="31">
        <v>17.802999999999997</v>
      </c>
      <c r="G1741" s="34">
        <f>IF(ISNUMBER(F1741),E1741*F1741,"")</f>
        <v>2.6348439999999993</v>
      </c>
      <c r="H1741" s="35"/>
      <c r="I1741" s="31"/>
      <c r="J1741" s="155">
        <v>0</v>
      </c>
    </row>
    <row r="1742" spans="1:10" ht="15.75" hidden="1" thickBot="1" x14ac:dyDescent="0.3">
      <c r="A1742" s="200"/>
      <c r="B1742" s="202"/>
      <c r="C1742" s="36" t="s">
        <v>30</v>
      </c>
      <c r="D1742" s="36" t="s">
        <v>12</v>
      </c>
      <c r="E1742" s="37">
        <v>0.35510000000000003</v>
      </c>
      <c r="F1742" s="31">
        <v>22.895</v>
      </c>
      <c r="G1742" s="31">
        <f>IF(ISNUMBER(F1742),E1742*F1742,"")</f>
        <v>8.1300144999999997</v>
      </c>
      <c r="H1742" s="35"/>
      <c r="I1742" s="31"/>
      <c r="J1742" s="155">
        <v>0</v>
      </c>
    </row>
    <row r="1743" spans="1:10" ht="15.75" hidden="1" thickBot="1" x14ac:dyDescent="0.3">
      <c r="A1743" s="201"/>
      <c r="B1743" s="188"/>
      <c r="C1743" s="36"/>
      <c r="D1743" s="36"/>
      <c r="E1743" s="37"/>
      <c r="F1743" s="31" t="s">
        <v>558</v>
      </c>
      <c r="G1743" s="31" t="str">
        <f>IF(ISNUMBER(F1743),E1743*F1743,"")</f>
        <v/>
      </c>
      <c r="H1743" s="35"/>
      <c r="I1743" s="31"/>
      <c r="J1743" s="155">
        <v>0</v>
      </c>
    </row>
    <row r="1744" spans="1:10" ht="15.75" hidden="1" thickBot="1" x14ac:dyDescent="0.3">
      <c r="A1744" s="180" t="s">
        <v>586</v>
      </c>
      <c r="B1744" s="186" t="str">
        <f>INDEX(Orçamentária!A:B,MATCH(Composições!A1744,Orçamentária!A:A,0),2)</f>
        <v>Luminária 2x28 W de sobrepor</v>
      </c>
      <c r="C1744" s="41"/>
      <c r="D1744" s="26" t="str">
        <f>TRIM(INDEX(Orçamentária!C:C,MATCH(Composições!A1744,Orçamentária!A:A,0),1))</f>
        <v>un</v>
      </c>
      <c r="E1744" s="27"/>
      <c r="F1744" s="42" t="s">
        <v>558</v>
      </c>
      <c r="G1744" s="28" t="str">
        <f>IF(ISNUMBER(F1744),E1744*F1744,"")</f>
        <v/>
      </c>
      <c r="H1744" s="29"/>
      <c r="I1744" s="30"/>
      <c r="J1744" s="155">
        <v>0</v>
      </c>
    </row>
    <row r="1745" spans="1:10" ht="15.75" hidden="1" thickBot="1" x14ac:dyDescent="0.3">
      <c r="A1745" s="200"/>
      <c r="B1745" s="202"/>
      <c r="C1745" s="32"/>
      <c r="D1745" s="32"/>
      <c r="E1745" s="33"/>
      <c r="F1745" s="43" t="s">
        <v>558</v>
      </c>
      <c r="G1745" s="31" t="str">
        <f>IF(ISNUMBER(F1745),E1745*F1745,"")</f>
        <v/>
      </c>
      <c r="H1745" s="35"/>
      <c r="I1745" s="31"/>
      <c r="J1745" s="155">
        <v>0</v>
      </c>
    </row>
    <row r="1746" spans="1:10" ht="26.25" hidden="1" thickBot="1" x14ac:dyDescent="0.3">
      <c r="A1746" s="200"/>
      <c r="B1746" s="202"/>
      <c r="C1746" s="36" t="s">
        <v>587</v>
      </c>
      <c r="D1746" s="36" t="s">
        <v>147</v>
      </c>
      <c r="E1746" s="37">
        <v>1</v>
      </c>
      <c r="F1746" s="34" t="s">
        <v>558</v>
      </c>
      <c r="G1746" s="31" t="str">
        <f>IF(ISNUMBER(F1746),E1746*F1746,"")</f>
        <v/>
      </c>
      <c r="H1746" s="39">
        <f>SUM(G1746:G1753)</f>
        <v>12.562266099999999</v>
      </c>
      <c r="I1746" s="40"/>
      <c r="J1746" s="155">
        <v>0</v>
      </c>
    </row>
    <row r="1747" spans="1:10" ht="26.25" hidden="1" thickBot="1" x14ac:dyDescent="0.3">
      <c r="A1747" s="200"/>
      <c r="B1747" s="202"/>
      <c r="C1747" s="36" t="s">
        <v>6497</v>
      </c>
      <c r="D1747" s="36" t="s">
        <v>147</v>
      </c>
      <c r="E1747" s="37">
        <v>1</v>
      </c>
      <c r="F1747" s="34" t="s">
        <v>558</v>
      </c>
      <c r="G1747" s="31" t="str">
        <f>IF(ISNUMBER(F1747),E1747*F1747,"")</f>
        <v/>
      </c>
      <c r="H1747" s="45"/>
      <c r="I1747" s="46"/>
      <c r="J1747" s="155">
        <v>0</v>
      </c>
    </row>
    <row r="1748" spans="1:10" ht="26.25" hidden="1" thickBot="1" x14ac:dyDescent="0.3">
      <c r="A1748" s="200"/>
      <c r="B1748" s="202"/>
      <c r="C1748" s="36" t="s">
        <v>585</v>
      </c>
      <c r="D1748" s="36" t="s">
        <v>147</v>
      </c>
      <c r="E1748" s="37">
        <v>2</v>
      </c>
      <c r="F1748" s="34" t="s">
        <v>558</v>
      </c>
      <c r="G1748" s="31" t="str">
        <f>IF(ISNUMBER(F1748),E1748*F1748,"")</f>
        <v/>
      </c>
      <c r="H1748" s="45"/>
      <c r="I1748" s="46"/>
      <c r="J1748" s="155">
        <v>0</v>
      </c>
    </row>
    <row r="1749" spans="1:10" ht="26.25" hidden="1" thickBot="1" x14ac:dyDescent="0.3">
      <c r="A1749" s="200"/>
      <c r="B1749" s="202"/>
      <c r="C1749" s="36" t="s">
        <v>575</v>
      </c>
      <c r="D1749" s="36" t="s">
        <v>93</v>
      </c>
      <c r="E1749" s="37">
        <v>1.5</v>
      </c>
      <c r="F1749" s="34" t="s">
        <v>558</v>
      </c>
      <c r="G1749" s="31" t="str">
        <f>IF(ISNUMBER(F1749),E1749*F1749,"")</f>
        <v/>
      </c>
      <c r="H1749" s="35"/>
      <c r="I1749" s="31"/>
      <c r="J1749" s="155">
        <v>0</v>
      </c>
    </row>
    <row r="1750" spans="1:10" ht="15.75" hidden="1" thickBot="1" x14ac:dyDescent="0.3">
      <c r="A1750" s="200"/>
      <c r="B1750" s="202"/>
      <c r="C1750" s="36" t="s">
        <v>576</v>
      </c>
      <c r="D1750" s="36" t="s">
        <v>147</v>
      </c>
      <c r="E1750" s="37">
        <v>1</v>
      </c>
      <c r="F1750" s="34" t="s">
        <v>558</v>
      </c>
      <c r="G1750" s="31" t="str">
        <f>IF(ISNUMBER(F1750),E1750*F1750,"")</f>
        <v/>
      </c>
      <c r="H1750" s="35"/>
      <c r="I1750" s="31"/>
      <c r="J1750" s="155">
        <v>0</v>
      </c>
    </row>
    <row r="1751" spans="1:10" ht="15.75" hidden="1" thickBot="1" x14ac:dyDescent="0.3">
      <c r="A1751" s="200"/>
      <c r="B1751" s="202"/>
      <c r="C1751" s="36" t="s">
        <v>577</v>
      </c>
      <c r="D1751" s="36" t="s">
        <v>147</v>
      </c>
      <c r="E1751" s="37">
        <v>1</v>
      </c>
      <c r="F1751" s="34" t="s">
        <v>558</v>
      </c>
      <c r="G1751" s="31" t="str">
        <f>IF(ISNUMBER(F1751),E1751*F1751,"")</f>
        <v/>
      </c>
      <c r="H1751" s="35"/>
      <c r="I1751" s="31"/>
      <c r="J1751" s="155">
        <v>0</v>
      </c>
    </row>
    <row r="1752" spans="1:10" ht="15.75" hidden="1" thickBot="1" x14ac:dyDescent="0.3">
      <c r="A1752" s="200"/>
      <c r="B1752" s="202"/>
      <c r="C1752" s="36" t="s">
        <v>74</v>
      </c>
      <c r="D1752" s="36" t="s">
        <v>12</v>
      </c>
      <c r="E1752" s="37">
        <v>0.17269999999999999</v>
      </c>
      <c r="F1752" s="31">
        <v>17.802999999999997</v>
      </c>
      <c r="G1752" s="31">
        <f>IF(ISNUMBER(F1752),E1752*F1752,"")</f>
        <v>3.0745780999999992</v>
      </c>
      <c r="H1752" s="35"/>
      <c r="I1752" s="31"/>
      <c r="J1752" s="155">
        <v>0</v>
      </c>
    </row>
    <row r="1753" spans="1:10" ht="15.75" hidden="1" thickBot="1" x14ac:dyDescent="0.3">
      <c r="A1753" s="200"/>
      <c r="B1753" s="202"/>
      <c r="C1753" s="36" t="s">
        <v>30</v>
      </c>
      <c r="D1753" s="36" t="s">
        <v>12</v>
      </c>
      <c r="E1753" s="37">
        <v>0.41439999999999999</v>
      </c>
      <c r="F1753" s="31">
        <v>22.895</v>
      </c>
      <c r="G1753" s="31">
        <f>IF(ISNUMBER(F1753),E1753*F1753,"")</f>
        <v>9.4876880000000003</v>
      </c>
      <c r="H1753" s="35"/>
      <c r="I1753" s="31"/>
      <c r="J1753" s="155">
        <v>0</v>
      </c>
    </row>
    <row r="1754" spans="1:10" ht="15.75" hidden="1" thickBot="1" x14ac:dyDescent="0.3">
      <c r="A1754" s="201"/>
      <c r="B1754" s="188"/>
      <c r="C1754" s="36"/>
      <c r="D1754" s="36"/>
      <c r="E1754" s="37"/>
      <c r="F1754" s="31" t="s">
        <v>558</v>
      </c>
      <c r="G1754" s="31" t="str">
        <f>IF(ISNUMBER(F1754),E1754*F1754,"")</f>
        <v/>
      </c>
      <c r="H1754" s="35"/>
      <c r="I1754" s="31"/>
      <c r="J1754" s="155">
        <v>0</v>
      </c>
    </row>
    <row r="1755" spans="1:10" ht="15.75" hidden="1" thickBot="1" x14ac:dyDescent="0.3">
      <c r="A1755" s="180" t="s">
        <v>588</v>
      </c>
      <c r="B1755" s="186" t="str">
        <f>INDEX(Orçamentária!A:B,MATCH(Composições!A1755,Orçamentária!A:A,0),2)</f>
        <v>Condutor 10 mm²</v>
      </c>
      <c r="C1755" s="41"/>
      <c r="D1755" s="26" t="str">
        <f>TRIM(INDEX(Orçamentária!C:C,MATCH(Composições!A1755,Orçamentária!A:A,0),1))</f>
        <v>m</v>
      </c>
      <c r="E1755" s="27"/>
      <c r="F1755" s="42" t="s">
        <v>558</v>
      </c>
      <c r="G1755" s="28" t="str">
        <f>IF(ISNUMBER(F1755),E1755*F1755,"")</f>
        <v/>
      </c>
      <c r="H1755" s="29"/>
      <c r="I1755" s="30"/>
      <c r="J1755" s="155">
        <v>0</v>
      </c>
    </row>
    <row r="1756" spans="1:10" ht="15.75" hidden="1" thickBot="1" x14ac:dyDescent="0.3">
      <c r="A1756" s="200"/>
      <c r="B1756" s="202"/>
      <c r="C1756" s="32"/>
      <c r="D1756" s="32"/>
      <c r="E1756" s="33"/>
      <c r="F1756" s="43" t="s">
        <v>558</v>
      </c>
      <c r="G1756" s="31" t="str">
        <f>IF(ISNUMBER(F1756),E1756*F1756,"")</f>
        <v/>
      </c>
      <c r="H1756" s="35"/>
      <c r="I1756" s="31"/>
      <c r="J1756" s="155">
        <v>0</v>
      </c>
    </row>
    <row r="1757" spans="1:10" ht="15.75" hidden="1" thickBot="1" x14ac:dyDescent="0.3">
      <c r="A1757" s="200"/>
      <c r="B1757" s="202"/>
      <c r="C1757" s="36" t="s">
        <v>74</v>
      </c>
      <c r="D1757" s="36" t="s">
        <v>12</v>
      </c>
      <c r="E1757" s="37">
        <v>8.9999999999999993E-3</v>
      </c>
      <c r="F1757" s="31">
        <v>17.802999999999997</v>
      </c>
      <c r="G1757" s="34">
        <f>IF(ISNUMBER(F1757),E1757*F1757,"")</f>
        <v>0.16022699999999995</v>
      </c>
      <c r="H1757" s="39">
        <f>SUM(G1757:G1760)</f>
        <v>0.40200199999999991</v>
      </c>
      <c r="I1757" s="40"/>
      <c r="J1757" s="155">
        <v>0</v>
      </c>
    </row>
    <row r="1758" spans="1:10" ht="15.75" hidden="1" thickBot="1" x14ac:dyDescent="0.3">
      <c r="A1758" s="200"/>
      <c r="B1758" s="202"/>
      <c r="C1758" s="36" t="s">
        <v>30</v>
      </c>
      <c r="D1758" s="36" t="s">
        <v>12</v>
      </c>
      <c r="E1758" s="37">
        <v>8.9999999999999993E-3</v>
      </c>
      <c r="F1758" s="31">
        <v>22.895</v>
      </c>
      <c r="G1758" s="34">
        <f>IF(ISNUMBER(F1758),E1758*F1758,"")</f>
        <v>0.20605499999999999</v>
      </c>
      <c r="H1758" s="35"/>
      <c r="I1758" s="31"/>
      <c r="J1758" s="155">
        <v>0</v>
      </c>
    </row>
    <row r="1759" spans="1:10" ht="15.75" hidden="1" thickBot="1" x14ac:dyDescent="0.3">
      <c r="A1759" s="200"/>
      <c r="B1759" s="202"/>
      <c r="C1759" s="36" t="s">
        <v>589</v>
      </c>
      <c r="D1759" s="36" t="s">
        <v>93</v>
      </c>
      <c r="E1759" s="37">
        <v>1.0269999999999999</v>
      </c>
      <c r="F1759" s="34">
        <v>0</v>
      </c>
      <c r="G1759" s="34">
        <f>IF(ISNUMBER(F1759),E1759*F1759,"")</f>
        <v>0</v>
      </c>
      <c r="H1759" s="35"/>
      <c r="I1759" s="31"/>
      <c r="J1759" s="155">
        <v>0</v>
      </c>
    </row>
    <row r="1760" spans="1:10" ht="15.75" hidden="1" thickBot="1" x14ac:dyDescent="0.3">
      <c r="A1760" s="200"/>
      <c r="B1760" s="202"/>
      <c r="C1760" s="36" t="s">
        <v>590</v>
      </c>
      <c r="D1760" s="36" t="s">
        <v>20</v>
      </c>
      <c r="E1760" s="37">
        <v>0.01</v>
      </c>
      <c r="F1760" s="34">
        <v>3.5719999999999996</v>
      </c>
      <c r="G1760" s="34">
        <f>IF(ISNUMBER(F1760),E1760*F1760,"")</f>
        <v>3.5719999999999995E-2</v>
      </c>
      <c r="H1760" s="35"/>
      <c r="I1760" s="31"/>
      <c r="J1760" s="155">
        <v>0</v>
      </c>
    </row>
    <row r="1761" spans="1:10" ht="15.75" hidden="1" thickBot="1" x14ac:dyDescent="0.3">
      <c r="A1761" s="201"/>
      <c r="B1761" s="188"/>
      <c r="C1761" s="36"/>
      <c r="D1761" s="36"/>
      <c r="E1761" s="37"/>
      <c r="F1761" s="31" t="s">
        <v>558</v>
      </c>
      <c r="G1761" s="31" t="str">
        <f>IF(ISNUMBER(F1761),E1761*F1761,"")</f>
        <v/>
      </c>
      <c r="H1761" s="35"/>
      <c r="I1761" s="31"/>
      <c r="J1761" s="155">
        <v>0</v>
      </c>
    </row>
    <row r="1762" spans="1:10" ht="15.75" hidden="1" thickBot="1" x14ac:dyDescent="0.3">
      <c r="A1762" s="180" t="s">
        <v>591</v>
      </c>
      <c r="B1762" s="186" t="str">
        <f>INDEX(Orçamentária!A:B,MATCH(Composições!A1762,Orçamentária!A:A,0),2)</f>
        <v>Condutor 16 mm²</v>
      </c>
      <c r="C1762" s="41"/>
      <c r="D1762" s="26" t="str">
        <f>TRIM(INDEX(Orçamentária!C:C,MATCH(Composições!A1762,Orçamentária!A:A,0),1))</f>
        <v>m</v>
      </c>
      <c r="E1762" s="27"/>
      <c r="F1762" s="42" t="s">
        <v>558</v>
      </c>
      <c r="G1762" s="28" t="str">
        <f>IF(ISNUMBER(F1762),E1762*F1762,"")</f>
        <v/>
      </c>
      <c r="H1762" s="29"/>
      <c r="I1762" s="30"/>
      <c r="J1762" s="155">
        <v>0</v>
      </c>
    </row>
    <row r="1763" spans="1:10" ht="15.75" hidden="1" thickBot="1" x14ac:dyDescent="0.3">
      <c r="A1763" s="200"/>
      <c r="B1763" s="202"/>
      <c r="C1763" s="32"/>
      <c r="D1763" s="32"/>
      <c r="E1763" s="33"/>
      <c r="F1763" s="43" t="s">
        <v>558</v>
      </c>
      <c r="G1763" s="31" t="str">
        <f>IF(ISNUMBER(F1763),E1763*F1763,"")</f>
        <v/>
      </c>
      <c r="H1763" s="35"/>
      <c r="I1763" s="31"/>
      <c r="J1763" s="155">
        <v>0</v>
      </c>
    </row>
    <row r="1764" spans="1:10" ht="15.75" hidden="1" thickBot="1" x14ac:dyDescent="0.3">
      <c r="A1764" s="200"/>
      <c r="B1764" s="202"/>
      <c r="C1764" s="36" t="s">
        <v>74</v>
      </c>
      <c r="D1764" s="36" t="s">
        <v>12</v>
      </c>
      <c r="E1764" s="37">
        <v>1.2999999999999999E-2</v>
      </c>
      <c r="F1764" s="31">
        <v>17.802999999999997</v>
      </c>
      <c r="G1764" s="34">
        <f>IF(ISNUMBER(F1764),E1764*F1764,"")</f>
        <v>0.23143899999999995</v>
      </c>
      <c r="H1764" s="39">
        <f>SUM(G1764:G1767)</f>
        <v>0.56479399999999991</v>
      </c>
      <c r="I1764" s="40"/>
      <c r="J1764" s="155">
        <v>0</v>
      </c>
    </row>
    <row r="1765" spans="1:10" ht="15.75" hidden="1" thickBot="1" x14ac:dyDescent="0.3">
      <c r="A1765" s="200"/>
      <c r="B1765" s="202"/>
      <c r="C1765" s="36" t="s">
        <v>30</v>
      </c>
      <c r="D1765" s="36" t="s">
        <v>12</v>
      </c>
      <c r="E1765" s="37">
        <v>1.2999999999999999E-2</v>
      </c>
      <c r="F1765" s="31">
        <v>22.895</v>
      </c>
      <c r="G1765" s="34">
        <f>IF(ISNUMBER(F1765),E1765*F1765,"")</f>
        <v>0.29763499999999998</v>
      </c>
      <c r="H1765" s="35"/>
      <c r="I1765" s="31"/>
      <c r="J1765" s="155">
        <v>0</v>
      </c>
    </row>
    <row r="1766" spans="1:10" ht="15.75" hidden="1" thickBot="1" x14ac:dyDescent="0.3">
      <c r="A1766" s="200"/>
      <c r="B1766" s="202"/>
      <c r="C1766" s="36" t="s">
        <v>592</v>
      </c>
      <c r="D1766" s="36" t="s">
        <v>93</v>
      </c>
      <c r="E1766" s="37">
        <v>1.0269999999999999</v>
      </c>
      <c r="F1766" s="34">
        <v>0</v>
      </c>
      <c r="G1766" s="34">
        <f>IF(ISNUMBER(F1766),E1766*F1766,"")</f>
        <v>0</v>
      </c>
      <c r="H1766" s="35"/>
      <c r="I1766" s="31"/>
      <c r="J1766" s="155">
        <v>0</v>
      </c>
    </row>
    <row r="1767" spans="1:10" ht="15.75" hidden="1" thickBot="1" x14ac:dyDescent="0.3">
      <c r="A1767" s="200"/>
      <c r="B1767" s="202"/>
      <c r="C1767" s="36" t="s">
        <v>590</v>
      </c>
      <c r="D1767" s="36" t="s">
        <v>20</v>
      </c>
      <c r="E1767" s="37">
        <v>0.01</v>
      </c>
      <c r="F1767" s="34">
        <v>3.5719999999999996</v>
      </c>
      <c r="G1767" s="34">
        <f>IF(ISNUMBER(F1767),E1767*F1767,"")</f>
        <v>3.5719999999999995E-2</v>
      </c>
      <c r="H1767" s="35"/>
      <c r="I1767" s="31"/>
      <c r="J1767" s="155">
        <v>0</v>
      </c>
    </row>
    <row r="1768" spans="1:10" ht="15.75" hidden="1" thickBot="1" x14ac:dyDescent="0.3">
      <c r="A1768" s="201"/>
      <c r="B1768" s="188"/>
      <c r="C1768" s="36"/>
      <c r="D1768" s="36"/>
      <c r="E1768" s="37"/>
      <c r="F1768" s="31" t="s">
        <v>558</v>
      </c>
      <c r="G1768" s="31" t="str">
        <f>IF(ISNUMBER(F1768),E1768*F1768,"")</f>
        <v/>
      </c>
      <c r="H1768" s="35"/>
      <c r="I1768" s="31"/>
      <c r="J1768" s="155">
        <v>0</v>
      </c>
    </row>
    <row r="1769" spans="1:10" ht="15.75" hidden="1" thickBot="1" x14ac:dyDescent="0.3">
      <c r="A1769" s="180" t="s">
        <v>593</v>
      </c>
      <c r="B1769" s="186" t="str">
        <f>INDEX(Orçamentária!A:B,MATCH(Composições!A1769,Orçamentária!A:A,0),2)</f>
        <v>Condutor 2,5 mm²</v>
      </c>
      <c r="C1769" s="41"/>
      <c r="D1769" s="26" t="str">
        <f>TRIM(INDEX(Orçamentária!C:C,MATCH(Composições!A1769,Orçamentária!A:A,0),1))</f>
        <v>m</v>
      </c>
      <c r="E1769" s="27"/>
      <c r="F1769" s="42" t="s">
        <v>558</v>
      </c>
      <c r="G1769" s="28" t="str">
        <f>IF(ISNUMBER(F1769),E1769*F1769,"")</f>
        <v/>
      </c>
      <c r="H1769" s="29"/>
      <c r="I1769" s="30"/>
      <c r="J1769" s="155">
        <v>0</v>
      </c>
    </row>
    <row r="1770" spans="1:10" ht="15.75" hidden="1" thickBot="1" x14ac:dyDescent="0.3">
      <c r="A1770" s="200"/>
      <c r="B1770" s="202"/>
      <c r="C1770" s="32"/>
      <c r="D1770" s="32"/>
      <c r="E1770" s="33"/>
      <c r="F1770" s="43" t="s">
        <v>558</v>
      </c>
      <c r="G1770" s="31" t="str">
        <f>IF(ISNUMBER(F1770),E1770*F1770,"")</f>
        <v/>
      </c>
      <c r="H1770" s="35"/>
      <c r="I1770" s="31"/>
      <c r="J1770" s="155">
        <v>0</v>
      </c>
    </row>
    <row r="1771" spans="1:10" ht="15.75" hidden="1" thickBot="1" x14ac:dyDescent="0.3">
      <c r="A1771" s="200"/>
      <c r="B1771" s="202"/>
      <c r="C1771" s="36" t="s">
        <v>74</v>
      </c>
      <c r="D1771" s="36" t="s">
        <v>12</v>
      </c>
      <c r="E1771" s="37">
        <v>0.03</v>
      </c>
      <c r="F1771" s="31">
        <v>17.802999999999997</v>
      </c>
      <c r="G1771" s="34">
        <f>IF(ISNUMBER(F1771),E1771*F1771,"")</f>
        <v>0.53408999999999995</v>
      </c>
      <c r="H1771" s="39">
        <f>SUM(G1771:G1774)</f>
        <v>1.253088</v>
      </c>
      <c r="I1771" s="40"/>
      <c r="J1771" s="155">
        <v>0</v>
      </c>
    </row>
    <row r="1772" spans="1:10" ht="15.75" hidden="1" thickBot="1" x14ac:dyDescent="0.3">
      <c r="A1772" s="200"/>
      <c r="B1772" s="202"/>
      <c r="C1772" s="36" t="s">
        <v>30</v>
      </c>
      <c r="D1772" s="36" t="s">
        <v>12</v>
      </c>
      <c r="E1772" s="37">
        <v>0.03</v>
      </c>
      <c r="F1772" s="31">
        <v>22.895</v>
      </c>
      <c r="G1772" s="34">
        <f>IF(ISNUMBER(F1772),E1772*F1772,"")</f>
        <v>0.68684999999999996</v>
      </c>
      <c r="H1772" s="35"/>
      <c r="I1772" s="31"/>
      <c r="J1772" s="155">
        <v>0</v>
      </c>
    </row>
    <row r="1773" spans="1:10" ht="26.25" hidden="1" thickBot="1" x14ac:dyDescent="0.3">
      <c r="A1773" s="200"/>
      <c r="B1773" s="202"/>
      <c r="C1773" s="36" t="s">
        <v>594</v>
      </c>
      <c r="D1773" s="36" t="s">
        <v>93</v>
      </c>
      <c r="E1773" s="37">
        <v>1.19</v>
      </c>
      <c r="F1773" s="34" t="s">
        <v>558</v>
      </c>
      <c r="G1773" s="34" t="str">
        <f>IF(ISNUMBER(F1773),E1773*F1773,"")</f>
        <v/>
      </c>
      <c r="H1773" s="35"/>
      <c r="I1773" s="31"/>
      <c r="J1773" s="155">
        <v>0</v>
      </c>
    </row>
    <row r="1774" spans="1:10" ht="15.75" hidden="1" thickBot="1" x14ac:dyDescent="0.3">
      <c r="A1774" s="200"/>
      <c r="B1774" s="202"/>
      <c r="C1774" s="36" t="s">
        <v>590</v>
      </c>
      <c r="D1774" s="36" t="s">
        <v>20</v>
      </c>
      <c r="E1774" s="37">
        <v>8.9999999999999993E-3</v>
      </c>
      <c r="F1774" s="34">
        <v>3.5719999999999996</v>
      </c>
      <c r="G1774" s="34">
        <f>IF(ISNUMBER(F1774),E1774*F1774,"")</f>
        <v>3.2147999999999996E-2</v>
      </c>
      <c r="H1774" s="35"/>
      <c r="I1774" s="31"/>
      <c r="J1774" s="155">
        <v>0</v>
      </c>
    </row>
    <row r="1775" spans="1:10" ht="15.75" hidden="1" thickBot="1" x14ac:dyDescent="0.3">
      <c r="A1775" s="201"/>
      <c r="B1775" s="188"/>
      <c r="C1775" s="36"/>
      <c r="D1775" s="36"/>
      <c r="E1775" s="37"/>
      <c r="F1775" s="31" t="s">
        <v>558</v>
      </c>
      <c r="G1775" s="31" t="str">
        <f>IF(ISNUMBER(F1775),E1775*F1775,"")</f>
        <v/>
      </c>
      <c r="H1775" s="35"/>
      <c r="I1775" s="31"/>
      <c r="J1775" s="155">
        <v>0</v>
      </c>
    </row>
    <row r="1776" spans="1:10" ht="15.75" hidden="1" thickBot="1" x14ac:dyDescent="0.3">
      <c r="A1776" s="180" t="s">
        <v>595</v>
      </c>
      <c r="B1776" s="186" t="str">
        <f>INDEX(Orçamentária!A:B,MATCH(Composições!A1776,Orçamentária!A:A,0),2)</f>
        <v>Condutor 3x2,5 mm²</v>
      </c>
      <c r="C1776" s="41"/>
      <c r="D1776" s="26" t="str">
        <f>TRIM(INDEX(Orçamentária!C:C,MATCH(Composições!A1776,Orçamentária!A:A,0),1))</f>
        <v>m</v>
      </c>
      <c r="E1776" s="27"/>
      <c r="F1776" s="42" t="s">
        <v>558</v>
      </c>
      <c r="G1776" s="28" t="str">
        <f>IF(ISNUMBER(F1776),E1776*F1776,"")</f>
        <v/>
      </c>
      <c r="H1776" s="29"/>
      <c r="I1776" s="30"/>
      <c r="J1776" s="155">
        <v>0</v>
      </c>
    </row>
    <row r="1777" spans="1:10" ht="15.75" hidden="1" thickBot="1" x14ac:dyDescent="0.3">
      <c r="A1777" s="200"/>
      <c r="B1777" s="202"/>
      <c r="C1777" s="32"/>
      <c r="D1777" s="32"/>
      <c r="E1777" s="33"/>
      <c r="F1777" s="43" t="s">
        <v>558</v>
      </c>
      <c r="G1777" s="31" t="str">
        <f>IF(ISNUMBER(F1777),E1777*F1777,"")</f>
        <v/>
      </c>
      <c r="H1777" s="35"/>
      <c r="I1777" s="31"/>
      <c r="J1777" s="155">
        <v>0</v>
      </c>
    </row>
    <row r="1778" spans="1:10" ht="15.75" hidden="1" thickBot="1" x14ac:dyDescent="0.3">
      <c r="A1778" s="200"/>
      <c r="B1778" s="202"/>
      <c r="C1778" s="36" t="s">
        <v>74</v>
      </c>
      <c r="D1778" s="36" t="s">
        <v>12</v>
      </c>
      <c r="E1778" s="37">
        <v>5.1999999999999998E-2</v>
      </c>
      <c r="F1778" s="31">
        <v>17.802999999999997</v>
      </c>
      <c r="G1778" s="34">
        <f>IF(ISNUMBER(F1778),E1778*F1778,"")</f>
        <v>0.9257559999999998</v>
      </c>
      <c r="H1778" s="39">
        <f>SUM(G1778:G1781)</f>
        <v>2.1484439999999996</v>
      </c>
      <c r="I1778" s="40"/>
      <c r="J1778" s="155">
        <v>0</v>
      </c>
    </row>
    <row r="1779" spans="1:10" ht="15.75" hidden="1" thickBot="1" x14ac:dyDescent="0.3">
      <c r="A1779" s="200"/>
      <c r="B1779" s="202"/>
      <c r="C1779" s="36" t="s">
        <v>30</v>
      </c>
      <c r="D1779" s="36" t="s">
        <v>12</v>
      </c>
      <c r="E1779" s="37">
        <v>5.1999999999999998E-2</v>
      </c>
      <c r="F1779" s="31">
        <v>22.895</v>
      </c>
      <c r="G1779" s="34">
        <f>IF(ISNUMBER(F1779),E1779*F1779,"")</f>
        <v>1.1905399999999999</v>
      </c>
      <c r="H1779" s="35"/>
      <c r="I1779" s="31"/>
      <c r="J1779" s="155">
        <v>0</v>
      </c>
    </row>
    <row r="1780" spans="1:10" ht="26.25" hidden="1" thickBot="1" x14ac:dyDescent="0.3">
      <c r="A1780" s="200"/>
      <c r="B1780" s="202"/>
      <c r="C1780" s="36" t="s">
        <v>596</v>
      </c>
      <c r="D1780" s="36" t="s">
        <v>93</v>
      </c>
      <c r="E1780" s="37">
        <v>1.19</v>
      </c>
      <c r="F1780" s="34" t="s">
        <v>558</v>
      </c>
      <c r="G1780" s="34" t="str">
        <f>IF(ISNUMBER(F1780),E1780*F1780,"")</f>
        <v/>
      </c>
      <c r="H1780" s="35"/>
      <c r="I1780" s="31"/>
      <c r="J1780" s="155">
        <v>0</v>
      </c>
    </row>
    <row r="1781" spans="1:10" ht="15.75" hidden="1" thickBot="1" x14ac:dyDescent="0.3">
      <c r="A1781" s="200"/>
      <c r="B1781" s="202"/>
      <c r="C1781" s="36" t="s">
        <v>590</v>
      </c>
      <c r="D1781" s="36" t="s">
        <v>20</v>
      </c>
      <c r="E1781" s="37">
        <v>8.9999999999999993E-3</v>
      </c>
      <c r="F1781" s="34">
        <v>3.5719999999999996</v>
      </c>
      <c r="G1781" s="34">
        <f>IF(ISNUMBER(F1781),E1781*F1781,"")</f>
        <v>3.2147999999999996E-2</v>
      </c>
      <c r="H1781" s="35"/>
      <c r="I1781" s="31"/>
      <c r="J1781" s="155">
        <v>0</v>
      </c>
    </row>
    <row r="1782" spans="1:10" ht="15.75" hidden="1" thickBot="1" x14ac:dyDescent="0.3">
      <c r="A1782" s="201"/>
      <c r="B1782" s="188"/>
      <c r="C1782" s="36"/>
      <c r="D1782" s="36"/>
      <c r="E1782" s="37"/>
      <c r="F1782" s="31" t="s">
        <v>558</v>
      </c>
      <c r="G1782" s="31" t="str">
        <f>IF(ISNUMBER(F1782),E1782*F1782,"")</f>
        <v/>
      </c>
      <c r="H1782" s="35"/>
      <c r="I1782" s="31"/>
      <c r="J1782" s="155">
        <v>0</v>
      </c>
    </row>
    <row r="1783" spans="1:10" ht="15.75" hidden="1" thickBot="1" x14ac:dyDescent="0.3">
      <c r="A1783" s="180" t="s">
        <v>597</v>
      </c>
      <c r="B1783" s="186" t="str">
        <f>INDEX(Orçamentária!A:B,MATCH(Composições!A1783,Orçamentária!A:A,0),2)</f>
        <v>Condutor 4 mm²</v>
      </c>
      <c r="C1783" s="41"/>
      <c r="D1783" s="26" t="str">
        <f>TRIM(INDEX(Orçamentária!C:C,MATCH(Composições!A1783,Orçamentária!A:A,0),1))</f>
        <v>m</v>
      </c>
      <c r="E1783" s="27"/>
      <c r="F1783" s="42" t="s">
        <v>558</v>
      </c>
      <c r="G1783" s="28" t="str">
        <f>IF(ISNUMBER(F1783),E1783*F1783,"")</f>
        <v/>
      </c>
      <c r="H1783" s="29"/>
      <c r="I1783" s="30"/>
      <c r="J1783" s="155">
        <v>0</v>
      </c>
    </row>
    <row r="1784" spans="1:10" ht="15.75" hidden="1" thickBot="1" x14ac:dyDescent="0.3">
      <c r="A1784" s="200"/>
      <c r="B1784" s="202"/>
      <c r="C1784" s="32"/>
      <c r="D1784" s="32"/>
      <c r="E1784" s="33"/>
      <c r="F1784" s="43" t="s">
        <v>558</v>
      </c>
      <c r="G1784" s="31" t="str">
        <f>IF(ISNUMBER(F1784),E1784*F1784,"")</f>
        <v/>
      </c>
      <c r="H1784" s="35"/>
      <c r="I1784" s="31"/>
      <c r="J1784" s="155">
        <v>0</v>
      </c>
    </row>
    <row r="1785" spans="1:10" ht="15.75" hidden="1" thickBot="1" x14ac:dyDescent="0.3">
      <c r="A1785" s="200"/>
      <c r="B1785" s="202"/>
      <c r="C1785" s="36" t="s">
        <v>74</v>
      </c>
      <c r="D1785" s="36" t="s">
        <v>12</v>
      </c>
      <c r="E1785" s="37">
        <v>0.04</v>
      </c>
      <c r="F1785" s="31">
        <v>17.802999999999997</v>
      </c>
      <c r="G1785" s="34">
        <f>IF(ISNUMBER(F1785),E1785*F1785,"")</f>
        <v>0.71211999999999986</v>
      </c>
      <c r="H1785" s="39">
        <f>SUM(G1785:G1788)</f>
        <v>1.6600679999999999</v>
      </c>
      <c r="I1785" s="40"/>
      <c r="J1785" s="155">
        <v>0</v>
      </c>
    </row>
    <row r="1786" spans="1:10" ht="15.75" hidden="1" thickBot="1" x14ac:dyDescent="0.3">
      <c r="A1786" s="200"/>
      <c r="B1786" s="202"/>
      <c r="C1786" s="36" t="s">
        <v>30</v>
      </c>
      <c r="D1786" s="36" t="s">
        <v>12</v>
      </c>
      <c r="E1786" s="37">
        <v>0.04</v>
      </c>
      <c r="F1786" s="31">
        <v>22.895</v>
      </c>
      <c r="G1786" s="34">
        <f>IF(ISNUMBER(F1786),E1786*F1786,"")</f>
        <v>0.91579999999999995</v>
      </c>
      <c r="H1786" s="35"/>
      <c r="I1786" s="31"/>
      <c r="J1786" s="155">
        <v>0</v>
      </c>
    </row>
    <row r="1787" spans="1:10" ht="26.25" hidden="1" thickBot="1" x14ac:dyDescent="0.3">
      <c r="A1787" s="200"/>
      <c r="B1787" s="202"/>
      <c r="C1787" s="36" t="s">
        <v>598</v>
      </c>
      <c r="D1787" s="36" t="s">
        <v>93</v>
      </c>
      <c r="E1787" s="37">
        <v>1.19</v>
      </c>
      <c r="F1787" s="34" t="s">
        <v>558</v>
      </c>
      <c r="G1787" s="34" t="str">
        <f>IF(ISNUMBER(F1787),E1787*F1787,"")</f>
        <v/>
      </c>
      <c r="H1787" s="35"/>
      <c r="I1787" s="31"/>
      <c r="J1787" s="155">
        <v>0</v>
      </c>
    </row>
    <row r="1788" spans="1:10" ht="15.75" hidden="1" thickBot="1" x14ac:dyDescent="0.3">
      <c r="A1788" s="200"/>
      <c r="B1788" s="202"/>
      <c r="C1788" s="36" t="s">
        <v>590</v>
      </c>
      <c r="D1788" s="36" t="s">
        <v>20</v>
      </c>
      <c r="E1788" s="37">
        <v>8.9999999999999993E-3</v>
      </c>
      <c r="F1788" s="34">
        <v>3.5719999999999996</v>
      </c>
      <c r="G1788" s="34">
        <f>IF(ISNUMBER(F1788),E1788*F1788,"")</f>
        <v>3.2147999999999996E-2</v>
      </c>
      <c r="H1788" s="35"/>
      <c r="I1788" s="31"/>
      <c r="J1788" s="155">
        <v>0</v>
      </c>
    </row>
    <row r="1789" spans="1:10" ht="15.75" hidden="1" thickBot="1" x14ac:dyDescent="0.3">
      <c r="A1789" s="201"/>
      <c r="B1789" s="188"/>
      <c r="C1789" s="36"/>
      <c r="D1789" s="36"/>
      <c r="E1789" s="37"/>
      <c r="F1789" s="31" t="s">
        <v>558</v>
      </c>
      <c r="G1789" s="31" t="str">
        <f>IF(ISNUMBER(F1789),E1789*F1789,"")</f>
        <v/>
      </c>
      <c r="H1789" s="35"/>
      <c r="I1789" s="31"/>
      <c r="J1789" s="155">
        <v>0</v>
      </c>
    </row>
    <row r="1790" spans="1:10" ht="15.75" hidden="1" thickBot="1" x14ac:dyDescent="0.3">
      <c r="A1790" s="180" t="s">
        <v>599</v>
      </c>
      <c r="B1790" s="186" t="str">
        <f>INDEX(Orçamentária!A:B,MATCH(Composições!A1790,Orçamentária!A:A,0),2)</f>
        <v>Condutor 4x2,5 mm²</v>
      </c>
      <c r="C1790" s="41"/>
      <c r="D1790" s="26" t="str">
        <f>TRIM(INDEX(Orçamentária!C:C,MATCH(Composições!A1790,Orçamentária!A:A,0),1))</f>
        <v>m</v>
      </c>
      <c r="E1790" s="27"/>
      <c r="F1790" s="42" t="s">
        <v>558</v>
      </c>
      <c r="G1790" s="28" t="str">
        <f>IF(ISNUMBER(F1790),E1790*F1790,"")</f>
        <v/>
      </c>
      <c r="H1790" s="29"/>
      <c r="I1790" s="30"/>
      <c r="J1790" s="155">
        <v>0</v>
      </c>
    </row>
    <row r="1791" spans="1:10" ht="15.75" hidden="1" thickBot="1" x14ac:dyDescent="0.3">
      <c r="A1791" s="200"/>
      <c r="B1791" s="202"/>
      <c r="C1791" s="32"/>
      <c r="D1791" s="32"/>
      <c r="E1791" s="33"/>
      <c r="F1791" s="43" t="s">
        <v>558</v>
      </c>
      <c r="G1791" s="31" t="str">
        <f>IF(ISNUMBER(F1791),E1791*F1791,"")</f>
        <v/>
      </c>
      <c r="H1791" s="35"/>
      <c r="I1791" s="31"/>
      <c r="J1791" s="155">
        <v>0</v>
      </c>
    </row>
    <row r="1792" spans="1:10" ht="15.75" hidden="1" thickBot="1" x14ac:dyDescent="0.3">
      <c r="A1792" s="200"/>
      <c r="B1792" s="202"/>
      <c r="C1792" s="36" t="s">
        <v>74</v>
      </c>
      <c r="D1792" s="36" t="s">
        <v>12</v>
      </c>
      <c r="E1792" s="37">
        <v>8.9999999999999993E-3</v>
      </c>
      <c r="F1792" s="31">
        <v>17.802999999999997</v>
      </c>
      <c r="G1792" s="34">
        <f>IF(ISNUMBER(F1792),E1792*F1792,"")</f>
        <v>0.16022699999999995</v>
      </c>
      <c r="H1792" s="39">
        <f>SUM(G1792:G1795)</f>
        <v>0.40200199999999991</v>
      </c>
      <c r="I1792" s="40"/>
      <c r="J1792" s="155">
        <v>0</v>
      </c>
    </row>
    <row r="1793" spans="1:10" ht="15.75" hidden="1" thickBot="1" x14ac:dyDescent="0.3">
      <c r="A1793" s="200"/>
      <c r="B1793" s="202"/>
      <c r="C1793" s="36" t="s">
        <v>30</v>
      </c>
      <c r="D1793" s="36" t="s">
        <v>12</v>
      </c>
      <c r="E1793" s="37">
        <v>8.9999999999999993E-3</v>
      </c>
      <c r="F1793" s="31">
        <v>22.895</v>
      </c>
      <c r="G1793" s="34">
        <f>IF(ISNUMBER(F1793),E1793*F1793,"")</f>
        <v>0.20605499999999999</v>
      </c>
      <c r="H1793" s="35"/>
      <c r="I1793" s="31"/>
      <c r="J1793" s="155">
        <v>0</v>
      </c>
    </row>
    <row r="1794" spans="1:10" ht="26.25" hidden="1" thickBot="1" x14ac:dyDescent="0.3">
      <c r="A1794" s="200"/>
      <c r="B1794" s="202"/>
      <c r="C1794" s="36" t="s">
        <v>600</v>
      </c>
      <c r="D1794" s="36" t="s">
        <v>93</v>
      </c>
      <c r="E1794" s="37">
        <v>1.0269999999999999</v>
      </c>
      <c r="F1794" s="34" t="s">
        <v>558</v>
      </c>
      <c r="G1794" s="34" t="str">
        <f>IF(ISNUMBER(F1794),E1794*F1794,"")</f>
        <v/>
      </c>
      <c r="H1794" s="35"/>
      <c r="I1794" s="31"/>
      <c r="J1794" s="155">
        <v>0</v>
      </c>
    </row>
    <row r="1795" spans="1:10" ht="15.75" hidden="1" thickBot="1" x14ac:dyDescent="0.3">
      <c r="A1795" s="200"/>
      <c r="B1795" s="202"/>
      <c r="C1795" s="36" t="s">
        <v>590</v>
      </c>
      <c r="D1795" s="36" t="s">
        <v>20</v>
      </c>
      <c r="E1795" s="37">
        <v>0.01</v>
      </c>
      <c r="F1795" s="34">
        <v>3.5719999999999996</v>
      </c>
      <c r="G1795" s="34">
        <f>IF(ISNUMBER(F1795),E1795*F1795,"")</f>
        <v>3.5719999999999995E-2</v>
      </c>
      <c r="H1795" s="35"/>
      <c r="I1795" s="31"/>
      <c r="J1795" s="155">
        <v>0</v>
      </c>
    </row>
    <row r="1796" spans="1:10" ht="15.75" hidden="1" thickBot="1" x14ac:dyDescent="0.3">
      <c r="A1796" s="201"/>
      <c r="B1796" s="188"/>
      <c r="C1796" s="36"/>
      <c r="D1796" s="36"/>
      <c r="E1796" s="37"/>
      <c r="F1796" s="31" t="s">
        <v>558</v>
      </c>
      <c r="G1796" s="31" t="str">
        <f>IF(ISNUMBER(F1796),E1796*F1796,"")</f>
        <v/>
      </c>
      <c r="H1796" s="35"/>
      <c r="I1796" s="31"/>
      <c r="J1796" s="155">
        <v>0</v>
      </c>
    </row>
    <row r="1797" spans="1:10" ht="15.75" hidden="1" thickBot="1" x14ac:dyDescent="0.3">
      <c r="A1797" s="180" t="s">
        <v>601</v>
      </c>
      <c r="B1797" s="186" t="str">
        <f>INDEX(Orçamentária!A:B,MATCH(Composições!A1797,Orçamentária!A:A,0),2)</f>
        <v>Condutor 6 mm²</v>
      </c>
      <c r="C1797" s="41"/>
      <c r="D1797" s="26" t="str">
        <f>TRIM(INDEX(Orçamentária!C:C,MATCH(Composições!A1797,Orçamentária!A:A,0),1))</f>
        <v>m</v>
      </c>
      <c r="E1797" s="27"/>
      <c r="F1797" s="42" t="s">
        <v>558</v>
      </c>
      <c r="G1797" s="28" t="str">
        <f>IF(ISNUMBER(F1797),E1797*F1797,"")</f>
        <v/>
      </c>
      <c r="H1797" s="29"/>
      <c r="I1797" s="30"/>
      <c r="J1797" s="155">
        <v>0</v>
      </c>
    </row>
    <row r="1798" spans="1:10" ht="15.75" hidden="1" thickBot="1" x14ac:dyDescent="0.3">
      <c r="A1798" s="200"/>
      <c r="B1798" s="202"/>
      <c r="C1798" s="32"/>
      <c r="D1798" s="32"/>
      <c r="E1798" s="33"/>
      <c r="F1798" s="43" t="s">
        <v>558</v>
      </c>
      <c r="G1798" s="31" t="str">
        <f>IF(ISNUMBER(F1798),E1798*F1798,"")</f>
        <v/>
      </c>
      <c r="H1798" s="35"/>
      <c r="I1798" s="31"/>
      <c r="J1798" s="155">
        <v>0</v>
      </c>
    </row>
    <row r="1799" spans="1:10" ht="15.75" hidden="1" thickBot="1" x14ac:dyDescent="0.3">
      <c r="A1799" s="200"/>
      <c r="B1799" s="202"/>
      <c r="C1799" s="36" t="s">
        <v>74</v>
      </c>
      <c r="D1799" s="36" t="s">
        <v>12</v>
      </c>
      <c r="E1799" s="37">
        <v>5.1999999999999998E-2</v>
      </c>
      <c r="F1799" s="31">
        <v>17.802999999999997</v>
      </c>
      <c r="G1799" s="31">
        <f>IF(ISNUMBER(F1799),E1799*F1799,"")</f>
        <v>0.9257559999999998</v>
      </c>
      <c r="H1799" s="39">
        <f>SUM(G1799:G1802)</f>
        <v>2.1484439999999996</v>
      </c>
      <c r="I1799" s="40"/>
      <c r="J1799" s="155">
        <v>0</v>
      </c>
    </row>
    <row r="1800" spans="1:10" ht="15.75" hidden="1" thickBot="1" x14ac:dyDescent="0.3">
      <c r="A1800" s="200"/>
      <c r="B1800" s="202"/>
      <c r="C1800" s="36" t="s">
        <v>30</v>
      </c>
      <c r="D1800" s="36" t="s">
        <v>12</v>
      </c>
      <c r="E1800" s="37">
        <v>5.1999999999999998E-2</v>
      </c>
      <c r="F1800" s="31">
        <v>22.895</v>
      </c>
      <c r="G1800" s="31">
        <f>IF(ISNUMBER(F1800),E1800*F1800,"")</f>
        <v>1.1905399999999999</v>
      </c>
      <c r="H1800" s="35"/>
      <c r="I1800" s="31"/>
      <c r="J1800" s="155">
        <v>0</v>
      </c>
    </row>
    <row r="1801" spans="1:10" ht="26.25" hidden="1" thickBot="1" x14ac:dyDescent="0.3">
      <c r="A1801" s="200"/>
      <c r="B1801" s="202"/>
      <c r="C1801" s="36" t="s">
        <v>602</v>
      </c>
      <c r="D1801" s="36" t="s">
        <v>93</v>
      </c>
      <c r="E1801" s="37">
        <v>1.19</v>
      </c>
      <c r="F1801" s="34" t="s">
        <v>558</v>
      </c>
      <c r="G1801" s="31" t="str">
        <f>IF(ISNUMBER(F1801),E1801*F1801,"")</f>
        <v/>
      </c>
      <c r="H1801" s="35"/>
      <c r="I1801" s="31"/>
      <c r="J1801" s="155">
        <v>0</v>
      </c>
    </row>
    <row r="1802" spans="1:10" ht="15.75" hidden="1" thickBot="1" x14ac:dyDescent="0.3">
      <c r="A1802" s="200"/>
      <c r="B1802" s="202"/>
      <c r="C1802" s="36" t="s">
        <v>590</v>
      </c>
      <c r="D1802" s="36" t="s">
        <v>20</v>
      </c>
      <c r="E1802" s="37">
        <v>8.9999999999999993E-3</v>
      </c>
      <c r="F1802" s="34">
        <v>3.5719999999999996</v>
      </c>
      <c r="G1802" s="31">
        <f>IF(ISNUMBER(F1802),E1802*F1802,"")</f>
        <v>3.2147999999999996E-2</v>
      </c>
      <c r="H1802" s="35"/>
      <c r="I1802" s="31"/>
      <c r="J1802" s="155">
        <v>0</v>
      </c>
    </row>
    <row r="1803" spans="1:10" ht="15.75" hidden="1" thickBot="1" x14ac:dyDescent="0.3">
      <c r="A1803" s="201"/>
      <c r="B1803" s="188"/>
      <c r="C1803" s="36"/>
      <c r="D1803" s="36"/>
      <c r="E1803" s="37"/>
      <c r="F1803" s="31" t="s">
        <v>558</v>
      </c>
      <c r="G1803" s="31" t="str">
        <f>IF(ISNUMBER(F1803),E1803*F1803,"")</f>
        <v/>
      </c>
      <c r="H1803" s="35"/>
      <c r="I1803" s="31"/>
      <c r="J1803" s="155">
        <v>0</v>
      </c>
    </row>
    <row r="1804" spans="1:10" ht="15.75" hidden="1" thickBot="1" x14ac:dyDescent="0.3">
      <c r="A1804" s="180" t="s">
        <v>603</v>
      </c>
      <c r="B1804" s="186" t="str">
        <f>INDEX(Orçamentária!A:B,MATCH(Composições!A1804,Orçamentária!A:A,0),2)</f>
        <v>Quadro elétrico TTA</v>
      </c>
      <c r="C1804" s="41"/>
      <c r="D1804" s="26" t="str">
        <f>TRIM(INDEX(Orçamentária!C:C,MATCH(Composições!A1804,Orçamentária!A:A,0),1))</f>
        <v>un</v>
      </c>
      <c r="E1804" s="27"/>
      <c r="F1804" s="42" t="s">
        <v>558</v>
      </c>
      <c r="G1804" s="28" t="str">
        <f>IF(ISNUMBER(F1804),E1804*F1804,"")</f>
        <v/>
      </c>
      <c r="H1804" s="29"/>
      <c r="I1804" s="30"/>
      <c r="J1804" s="155">
        <v>0</v>
      </c>
    </row>
    <row r="1805" spans="1:10" ht="15.75" hidden="1" thickBot="1" x14ac:dyDescent="0.3">
      <c r="A1805" s="200"/>
      <c r="B1805" s="202"/>
      <c r="C1805" s="32"/>
      <c r="D1805" s="32"/>
      <c r="E1805" s="33"/>
      <c r="F1805" s="43" t="s">
        <v>558</v>
      </c>
      <c r="G1805" s="31" t="str">
        <f>IF(ISNUMBER(F1805),E1805*F1805,"")</f>
        <v/>
      </c>
      <c r="H1805" s="35"/>
      <c r="I1805" s="31"/>
      <c r="J1805" s="155">
        <v>0</v>
      </c>
    </row>
    <row r="1806" spans="1:10" ht="51.75" hidden="1" thickBot="1" x14ac:dyDescent="0.3">
      <c r="A1806" s="200"/>
      <c r="B1806" s="202"/>
      <c r="C1806" s="36" t="s">
        <v>604</v>
      </c>
      <c r="D1806" s="47" t="s">
        <v>20</v>
      </c>
      <c r="E1806" s="37">
        <v>1</v>
      </c>
      <c r="F1806" s="34" t="s">
        <v>558</v>
      </c>
      <c r="G1806" s="31" t="str">
        <f>IF(ISNUMBER(F1806),E1806*F1806,"")</f>
        <v/>
      </c>
      <c r="H1806" s="39">
        <f>SUM(G1806:G1809)</f>
        <v>36.951260894361596</v>
      </c>
      <c r="I1806" s="40"/>
      <c r="J1806" s="155">
        <v>0</v>
      </c>
    </row>
    <row r="1807" spans="1:10" ht="39" hidden="1" thickBot="1" x14ac:dyDescent="0.3">
      <c r="A1807" s="200"/>
      <c r="B1807" s="202"/>
      <c r="C1807" s="36" t="s">
        <v>3304</v>
      </c>
      <c r="D1807" s="47" t="s">
        <v>122</v>
      </c>
      <c r="E1807" s="37">
        <v>1.9199999999999998E-2</v>
      </c>
      <c r="F1807" s="31">
        <v>581.29886949799993</v>
      </c>
      <c r="G1807" s="31">
        <f>IF(ISNUMBER(F1807),E1807*F1807,"")</f>
        <v>11.160938294361598</v>
      </c>
      <c r="H1807" s="35"/>
      <c r="I1807" s="31"/>
      <c r="J1807" s="155">
        <v>0</v>
      </c>
    </row>
    <row r="1808" spans="1:10" ht="15.75" hidden="1" thickBot="1" x14ac:dyDescent="0.3">
      <c r="A1808" s="200"/>
      <c r="B1808" s="202"/>
      <c r="C1808" s="36" t="s">
        <v>74</v>
      </c>
      <c r="D1808" s="47" t="s">
        <v>12</v>
      </c>
      <c r="E1808" s="37">
        <v>0.63370000000000004</v>
      </c>
      <c r="F1808" s="31">
        <v>17.802999999999997</v>
      </c>
      <c r="G1808" s="31">
        <f>IF(ISNUMBER(F1808),E1808*F1808,"")</f>
        <v>11.281761099999999</v>
      </c>
      <c r="H1808" s="35"/>
      <c r="I1808" s="31"/>
      <c r="J1808" s="155">
        <v>0</v>
      </c>
    </row>
    <row r="1809" spans="1:10" ht="15.75" hidden="1" thickBot="1" x14ac:dyDescent="0.3">
      <c r="A1809" s="200"/>
      <c r="B1809" s="202"/>
      <c r="C1809" s="36" t="s">
        <v>30</v>
      </c>
      <c r="D1809" s="47" t="s">
        <v>12</v>
      </c>
      <c r="E1809" s="37">
        <v>0.63370000000000004</v>
      </c>
      <c r="F1809" s="31">
        <v>22.895</v>
      </c>
      <c r="G1809" s="34">
        <f>IF(ISNUMBER(F1809),E1809*F1809,"")</f>
        <v>14.508561500000001</v>
      </c>
      <c r="H1809" s="35"/>
      <c r="I1809" s="31"/>
      <c r="J1809" s="155">
        <v>0</v>
      </c>
    </row>
    <row r="1810" spans="1:10" ht="15.75" hidden="1" thickBot="1" x14ac:dyDescent="0.3">
      <c r="A1810" s="200"/>
      <c r="B1810" s="188"/>
      <c r="C1810" s="36"/>
      <c r="D1810" s="36"/>
      <c r="E1810" s="37"/>
      <c r="F1810" s="31" t="s">
        <v>558</v>
      </c>
      <c r="G1810" s="31" t="str">
        <f>IF(ISNUMBER(F1810),E1810*F1810,"")</f>
        <v/>
      </c>
      <c r="H1810" s="35"/>
      <c r="I1810" s="31"/>
      <c r="J1810" s="155">
        <v>0</v>
      </c>
    </row>
    <row r="1811" spans="1:10" ht="15.75" hidden="1" thickBot="1" x14ac:dyDescent="0.3">
      <c r="A1811" s="180" t="s">
        <v>605</v>
      </c>
      <c r="B1811" s="186" t="str">
        <f>INDEX(Orçamentária!A:B,MATCH(Composições!A1811,Orçamentária!A:A,0),2)</f>
        <v>Instalação de fancolete reaproveitado</v>
      </c>
      <c r="C1811" s="41"/>
      <c r="D1811" s="26" t="str">
        <f>TRIM(INDEX(Orçamentária!C:C,MATCH(Composições!A1811,Orçamentária!A:A,0),1))</f>
        <v>un</v>
      </c>
      <c r="E1811" s="27"/>
      <c r="F1811" s="42" t="s">
        <v>558</v>
      </c>
      <c r="G1811" s="28" t="str">
        <f>IF(ISNUMBER(F1811),E1811*F1811,"")</f>
        <v/>
      </c>
      <c r="H1811" s="29"/>
      <c r="I1811" s="30"/>
      <c r="J1811" s="155">
        <v>0</v>
      </c>
    </row>
    <row r="1812" spans="1:10" ht="15.75" hidden="1" thickBot="1" x14ac:dyDescent="0.3">
      <c r="A1812" s="200"/>
      <c r="B1812" s="202"/>
      <c r="C1812" s="32"/>
      <c r="D1812" s="32"/>
      <c r="E1812" s="33"/>
      <c r="F1812" s="43" t="s">
        <v>558</v>
      </c>
      <c r="G1812" s="31" t="str">
        <f>IF(ISNUMBER(F1812),E1812*F1812,"")</f>
        <v/>
      </c>
      <c r="H1812" s="35"/>
      <c r="I1812" s="31"/>
      <c r="J1812" s="155">
        <v>0</v>
      </c>
    </row>
    <row r="1813" spans="1:10" ht="15.75" hidden="1" thickBot="1" x14ac:dyDescent="0.3">
      <c r="A1813" s="200"/>
      <c r="B1813" s="202"/>
      <c r="C1813" s="36" t="s">
        <v>52</v>
      </c>
      <c r="D1813" s="47" t="s">
        <v>12</v>
      </c>
      <c r="E1813" s="37">
        <v>2</v>
      </c>
      <c r="F1813" s="31">
        <v>17.898</v>
      </c>
      <c r="G1813" s="34">
        <f>IF(ISNUMBER(F1813),E1813*F1813,"")</f>
        <v>35.795999999999999</v>
      </c>
      <c r="H1813" s="39">
        <f>SUM(G1813:G1814)</f>
        <v>83.257999999999996</v>
      </c>
      <c r="I1813" s="40"/>
      <c r="J1813" s="155">
        <v>0</v>
      </c>
    </row>
    <row r="1814" spans="1:10" ht="26.25" hidden="1" thickBot="1" x14ac:dyDescent="0.3">
      <c r="A1814" s="200"/>
      <c r="B1814" s="202"/>
      <c r="C1814" s="36" t="s">
        <v>606</v>
      </c>
      <c r="D1814" s="47" t="s">
        <v>12</v>
      </c>
      <c r="E1814" s="37">
        <v>2</v>
      </c>
      <c r="F1814" s="31">
        <v>23.730999999999998</v>
      </c>
      <c r="G1814" s="31">
        <f>IF(ISNUMBER(F1814),E1814*F1814,"")</f>
        <v>47.461999999999996</v>
      </c>
      <c r="H1814" s="35"/>
      <c r="I1814" s="31"/>
      <c r="J1814" s="155">
        <v>0</v>
      </c>
    </row>
    <row r="1815" spans="1:10" ht="15.75" hidden="1" thickBot="1" x14ac:dyDescent="0.3">
      <c r="A1815" s="201"/>
      <c r="B1815" s="188"/>
      <c r="C1815" s="36"/>
      <c r="D1815" s="36"/>
      <c r="E1815" s="37"/>
      <c r="F1815" s="31" t="s">
        <v>558</v>
      </c>
      <c r="G1815" s="31" t="str">
        <f>IF(ISNUMBER(F1815),E1815*F1815,"")</f>
        <v/>
      </c>
      <c r="H1815" s="35"/>
      <c r="I1815" s="31"/>
      <c r="J1815" s="155">
        <v>0</v>
      </c>
    </row>
    <row r="1816" spans="1:10" ht="15.75" hidden="1" thickBot="1" x14ac:dyDescent="0.3">
      <c r="A1816" s="180" t="s">
        <v>607</v>
      </c>
      <c r="B1816" s="186" t="str">
        <f>INDEX(Orçamentária!A:B,MATCH(Composições!A1816,Orçamentária!A:A,0),2)</f>
        <v>Instalação de split reaproveitado</v>
      </c>
      <c r="C1816" s="41"/>
      <c r="D1816" s="26" t="str">
        <f>TRIM(INDEX(Orçamentária!C:C,MATCH(Composições!A1816,Orçamentária!A:A,0),1))</f>
        <v>un</v>
      </c>
      <c r="E1816" s="27"/>
      <c r="F1816" s="42" t="s">
        <v>558</v>
      </c>
      <c r="G1816" s="28" t="str">
        <f>IF(ISNUMBER(F1816),E1816*F1816,"")</f>
        <v/>
      </c>
      <c r="H1816" s="29"/>
      <c r="I1816" s="30"/>
      <c r="J1816" s="155">
        <v>0</v>
      </c>
    </row>
    <row r="1817" spans="1:10" ht="15.75" hidden="1" thickBot="1" x14ac:dyDescent="0.3">
      <c r="A1817" s="200"/>
      <c r="B1817" s="202"/>
      <c r="C1817" s="32"/>
      <c r="D1817" s="32"/>
      <c r="E1817" s="33"/>
      <c r="F1817" s="43" t="s">
        <v>558</v>
      </c>
      <c r="G1817" s="31" t="str">
        <f>IF(ISNUMBER(F1817),E1817*F1817,"")</f>
        <v/>
      </c>
      <c r="H1817" s="35"/>
      <c r="I1817" s="31"/>
      <c r="J1817" s="155">
        <v>0</v>
      </c>
    </row>
    <row r="1818" spans="1:10" ht="15.75" hidden="1" thickBot="1" x14ac:dyDescent="0.3">
      <c r="A1818" s="200"/>
      <c r="B1818" s="202"/>
      <c r="C1818" s="36" t="s">
        <v>52</v>
      </c>
      <c r="D1818" s="47" t="s">
        <v>12</v>
      </c>
      <c r="E1818" s="37">
        <v>3</v>
      </c>
      <c r="F1818" s="31">
        <v>17.898</v>
      </c>
      <c r="G1818" s="34">
        <f>IF(ISNUMBER(F1818),E1818*F1818,"")</f>
        <v>53.694000000000003</v>
      </c>
      <c r="H1818" s="39">
        <f>SUM(G1818:G1819)</f>
        <v>124.887</v>
      </c>
      <c r="I1818" s="40"/>
      <c r="J1818" s="155">
        <v>0</v>
      </c>
    </row>
    <row r="1819" spans="1:10" ht="26.25" hidden="1" thickBot="1" x14ac:dyDescent="0.3">
      <c r="A1819" s="200"/>
      <c r="B1819" s="202"/>
      <c r="C1819" s="36" t="s">
        <v>606</v>
      </c>
      <c r="D1819" s="47" t="s">
        <v>12</v>
      </c>
      <c r="E1819" s="37">
        <v>3</v>
      </c>
      <c r="F1819" s="31">
        <v>23.730999999999998</v>
      </c>
      <c r="G1819" s="31">
        <f>IF(ISNUMBER(F1819),E1819*F1819,"")</f>
        <v>71.192999999999998</v>
      </c>
      <c r="H1819" s="35"/>
      <c r="I1819" s="31"/>
      <c r="J1819" s="155">
        <v>0</v>
      </c>
    </row>
    <row r="1820" spans="1:10" ht="15.75" hidden="1" thickBot="1" x14ac:dyDescent="0.3">
      <c r="A1820" s="201"/>
      <c r="B1820" s="188"/>
      <c r="C1820" s="36"/>
      <c r="D1820" s="36"/>
      <c r="E1820" s="37"/>
      <c r="F1820" s="31" t="s">
        <v>558</v>
      </c>
      <c r="G1820" s="31" t="str">
        <f>IF(ISNUMBER(F1820),E1820*F1820,"")</f>
        <v/>
      </c>
      <c r="H1820" s="35"/>
      <c r="I1820" s="31"/>
      <c r="J1820" s="155">
        <v>0</v>
      </c>
    </row>
    <row r="1821" spans="1:10" ht="15.75" hidden="1" thickBot="1" x14ac:dyDescent="0.3">
      <c r="A1821" s="180" t="s">
        <v>608</v>
      </c>
      <c r="B1821" s="186" t="str">
        <f>INDEX(Orçamentária!A:B,MATCH(Composições!A1821,Orçamentária!A:A,0),2)</f>
        <v>Exaustor axial 340 m3/h</v>
      </c>
      <c r="C1821" s="41"/>
      <c r="D1821" s="26" t="str">
        <f>TRIM(INDEX(Orçamentária!C:C,MATCH(Composições!A1821,Orçamentária!A:A,0),1))</f>
        <v>un</v>
      </c>
      <c r="E1821" s="27"/>
      <c r="F1821" s="42" t="s">
        <v>558</v>
      </c>
      <c r="G1821" s="28" t="str">
        <f>IF(ISNUMBER(F1821),E1821*F1821,"")</f>
        <v/>
      </c>
      <c r="H1821" s="29"/>
      <c r="I1821" s="30"/>
      <c r="J1821" s="155">
        <v>0</v>
      </c>
    </row>
    <row r="1822" spans="1:10" ht="15.75" hidden="1" thickBot="1" x14ac:dyDescent="0.3">
      <c r="A1822" s="200"/>
      <c r="B1822" s="202"/>
      <c r="C1822" s="32"/>
      <c r="D1822" s="32"/>
      <c r="E1822" s="33"/>
      <c r="F1822" s="43" t="s">
        <v>558</v>
      </c>
      <c r="G1822" s="31" t="str">
        <f>IF(ISNUMBER(F1822),E1822*F1822,"")</f>
        <v/>
      </c>
      <c r="H1822" s="35"/>
      <c r="I1822" s="31"/>
      <c r="J1822" s="155">
        <v>0</v>
      </c>
    </row>
    <row r="1823" spans="1:10" ht="15.75" hidden="1" thickBot="1" x14ac:dyDescent="0.3">
      <c r="A1823" s="200"/>
      <c r="B1823" s="202"/>
      <c r="C1823" s="36" t="s">
        <v>30</v>
      </c>
      <c r="D1823" s="36" t="s">
        <v>12</v>
      </c>
      <c r="E1823" s="37">
        <v>1</v>
      </c>
      <c r="F1823" s="31">
        <v>22.895</v>
      </c>
      <c r="G1823" s="34">
        <f>IF(ISNUMBER(F1823),E1823*F1823,"")</f>
        <v>22.895</v>
      </c>
      <c r="H1823" s="39">
        <f>SUM(G1823:G1825)</f>
        <v>40.697999999999993</v>
      </c>
      <c r="I1823" s="40"/>
      <c r="J1823" s="155">
        <v>0</v>
      </c>
    </row>
    <row r="1824" spans="1:10" ht="15.75" hidden="1" thickBot="1" x14ac:dyDescent="0.3">
      <c r="A1824" s="200"/>
      <c r="B1824" s="202"/>
      <c r="C1824" s="36" t="s">
        <v>74</v>
      </c>
      <c r="D1824" s="47" t="s">
        <v>12</v>
      </c>
      <c r="E1824" s="37">
        <v>1</v>
      </c>
      <c r="F1824" s="31">
        <v>17.802999999999997</v>
      </c>
      <c r="G1824" s="34">
        <f>IF(ISNUMBER(F1824),E1824*F1824,"")</f>
        <v>17.802999999999997</v>
      </c>
      <c r="H1824" s="35"/>
      <c r="I1824" s="31"/>
      <c r="J1824" s="155">
        <v>0</v>
      </c>
    </row>
    <row r="1825" spans="1:10" ht="26.25" hidden="1" thickBot="1" x14ac:dyDescent="0.3">
      <c r="A1825" s="200"/>
      <c r="B1825" s="202"/>
      <c r="C1825" s="36" t="s">
        <v>609</v>
      </c>
      <c r="D1825" s="36" t="s">
        <v>147</v>
      </c>
      <c r="E1825" s="37">
        <v>1</v>
      </c>
      <c r="F1825" s="34" t="s">
        <v>558</v>
      </c>
      <c r="G1825" s="34" t="str">
        <f>IF(ISNUMBER(F1825),E1825*F1825,"")</f>
        <v/>
      </c>
      <c r="H1825" s="35"/>
      <c r="I1825" s="31"/>
      <c r="J1825" s="155">
        <v>0</v>
      </c>
    </row>
    <row r="1826" spans="1:10" ht="15.75" hidden="1" thickBot="1" x14ac:dyDescent="0.3">
      <c r="A1826" s="201"/>
      <c r="B1826" s="188"/>
      <c r="C1826" s="36"/>
      <c r="D1826" s="36"/>
      <c r="E1826" s="37"/>
      <c r="F1826" s="31" t="s">
        <v>558</v>
      </c>
      <c r="G1826" s="31" t="str">
        <f>IF(ISNUMBER(F1826),E1826*F1826,"")</f>
        <v/>
      </c>
      <c r="H1826" s="35"/>
      <c r="I1826" s="31"/>
      <c r="J1826" s="155">
        <v>0</v>
      </c>
    </row>
    <row r="1827" spans="1:10" ht="15.75" hidden="1" thickBot="1" x14ac:dyDescent="0.3">
      <c r="A1827" s="180" t="s">
        <v>610</v>
      </c>
      <c r="B1827" s="186" t="str">
        <f>INDEX(Orçamentária!A:B,MATCH(Composições!A1827,Orçamentária!A:A,0),2)</f>
        <v>Exaustor axial 865 m3/h</v>
      </c>
      <c r="C1827" s="41"/>
      <c r="D1827" s="26" t="str">
        <f>TRIM(INDEX(Orçamentária!C:C,MATCH(Composições!A1827,Orçamentária!A:A,0),1))</f>
        <v>un</v>
      </c>
      <c r="E1827" s="27"/>
      <c r="F1827" s="42" t="s">
        <v>558</v>
      </c>
      <c r="G1827" s="28" t="str">
        <f>IF(ISNUMBER(F1827),E1827*F1827,"")</f>
        <v/>
      </c>
      <c r="H1827" s="29"/>
      <c r="I1827" s="30"/>
      <c r="J1827" s="155">
        <v>0</v>
      </c>
    </row>
    <row r="1828" spans="1:10" ht="15.75" hidden="1" thickBot="1" x14ac:dyDescent="0.3">
      <c r="A1828" s="200"/>
      <c r="B1828" s="202"/>
      <c r="C1828" s="32"/>
      <c r="D1828" s="32"/>
      <c r="E1828" s="33"/>
      <c r="F1828" s="43" t="s">
        <v>558</v>
      </c>
      <c r="G1828" s="31" t="str">
        <f>IF(ISNUMBER(F1828),E1828*F1828,"")</f>
        <v/>
      </c>
      <c r="H1828" s="35"/>
      <c r="I1828" s="31"/>
      <c r="J1828" s="155">
        <v>0</v>
      </c>
    </row>
    <row r="1829" spans="1:10" ht="15.75" hidden="1" thickBot="1" x14ac:dyDescent="0.3">
      <c r="A1829" s="200"/>
      <c r="B1829" s="202"/>
      <c r="C1829" s="36" t="s">
        <v>30</v>
      </c>
      <c r="D1829" s="36" t="s">
        <v>12</v>
      </c>
      <c r="E1829" s="37">
        <v>1</v>
      </c>
      <c r="F1829" s="31">
        <v>22.895</v>
      </c>
      <c r="G1829" s="34">
        <f>IF(ISNUMBER(F1829),E1829*F1829,"")</f>
        <v>22.895</v>
      </c>
      <c r="H1829" s="39">
        <f>SUM(G1829:G1831)</f>
        <v>40.697999999999993</v>
      </c>
      <c r="I1829" s="40"/>
      <c r="J1829" s="155">
        <v>0</v>
      </c>
    </row>
    <row r="1830" spans="1:10" ht="15.75" hidden="1" thickBot="1" x14ac:dyDescent="0.3">
      <c r="A1830" s="200"/>
      <c r="B1830" s="202"/>
      <c r="C1830" s="36" t="s">
        <v>74</v>
      </c>
      <c r="D1830" s="47" t="s">
        <v>12</v>
      </c>
      <c r="E1830" s="37">
        <v>1</v>
      </c>
      <c r="F1830" s="31">
        <v>17.802999999999997</v>
      </c>
      <c r="G1830" s="34">
        <f>IF(ISNUMBER(F1830),E1830*F1830,"")</f>
        <v>17.802999999999997</v>
      </c>
      <c r="H1830" s="35"/>
      <c r="I1830" s="31"/>
      <c r="J1830" s="155">
        <v>0</v>
      </c>
    </row>
    <row r="1831" spans="1:10" ht="26.25" hidden="1" thickBot="1" x14ac:dyDescent="0.3">
      <c r="A1831" s="200"/>
      <c r="B1831" s="202"/>
      <c r="C1831" s="36" t="s">
        <v>611</v>
      </c>
      <c r="D1831" s="36" t="s">
        <v>147</v>
      </c>
      <c r="E1831" s="37">
        <v>1</v>
      </c>
      <c r="F1831" s="34" t="s">
        <v>558</v>
      </c>
      <c r="G1831" s="34" t="str">
        <f>IF(ISNUMBER(F1831),E1831*F1831,"")</f>
        <v/>
      </c>
      <c r="H1831" s="35"/>
      <c r="I1831" s="31"/>
      <c r="J1831" s="155">
        <v>0</v>
      </c>
    </row>
    <row r="1832" spans="1:10" ht="15.75" hidden="1" thickBot="1" x14ac:dyDescent="0.3">
      <c r="A1832" s="201"/>
      <c r="B1832" s="188"/>
      <c r="C1832" s="36"/>
      <c r="D1832" s="36"/>
      <c r="E1832" s="37"/>
      <c r="F1832" s="31" t="s">
        <v>558</v>
      </c>
      <c r="G1832" s="31" t="str">
        <f>IF(ISNUMBER(F1832),E1832*F1832,"")</f>
        <v/>
      </c>
      <c r="H1832" s="35"/>
      <c r="I1832" s="31"/>
      <c r="J1832" s="155">
        <v>0</v>
      </c>
    </row>
    <row r="1833" spans="1:10" ht="15.75" hidden="1" thickBot="1" x14ac:dyDescent="0.3">
      <c r="A1833" s="180" t="s">
        <v>612</v>
      </c>
      <c r="B1833" s="186" t="str">
        <f>INDEX(Orçamentária!A:B,MATCH(Composições!A1833,Orçamentária!A:A,0),2)</f>
        <v>Duto chapa galvanizada # 22</v>
      </c>
      <c r="C1833" s="41"/>
      <c r="D1833" s="26" t="str">
        <f>TRIM(INDEX(Orçamentária!C:C,MATCH(Composições!A1833,Orçamentária!A:A,0),1))</f>
        <v>m2</v>
      </c>
      <c r="E1833" s="27"/>
      <c r="F1833" s="42" t="s">
        <v>558</v>
      </c>
      <c r="G1833" s="28" t="str">
        <f>IF(ISNUMBER(F1833),E1833*F1833,"")</f>
        <v/>
      </c>
      <c r="H1833" s="29"/>
      <c r="I1833" s="30"/>
      <c r="J1833" s="155">
        <v>0</v>
      </c>
    </row>
    <row r="1834" spans="1:10" ht="15.75" hidden="1" thickBot="1" x14ac:dyDescent="0.3">
      <c r="A1834" s="200"/>
      <c r="B1834" s="202"/>
      <c r="C1834" s="32"/>
      <c r="D1834" s="32"/>
      <c r="E1834" s="33"/>
      <c r="F1834" s="43" t="s">
        <v>558</v>
      </c>
      <c r="G1834" s="31" t="str">
        <f>IF(ISNUMBER(F1834),E1834*F1834,"")</f>
        <v/>
      </c>
      <c r="H1834" s="35"/>
      <c r="I1834" s="31"/>
      <c r="J1834" s="155">
        <v>0</v>
      </c>
    </row>
    <row r="1835" spans="1:10" ht="15.75" hidden="1" thickBot="1" x14ac:dyDescent="0.3">
      <c r="A1835" s="200"/>
      <c r="B1835" s="202"/>
      <c r="C1835" s="36" t="s">
        <v>613</v>
      </c>
      <c r="D1835" s="47" t="s">
        <v>42</v>
      </c>
      <c r="E1835" s="37">
        <v>6.6559999999999997</v>
      </c>
      <c r="F1835" s="34">
        <v>14.221500000000001</v>
      </c>
      <c r="G1835" s="34">
        <f>IF(ISNUMBER(F1835),E1835*F1835,"")</f>
        <v>94.658304000000001</v>
      </c>
      <c r="H1835" s="39">
        <f>SUM(G1835:G1838)</f>
        <v>250.026624</v>
      </c>
      <c r="I1835" s="40"/>
      <c r="J1835" s="155">
        <v>0</v>
      </c>
    </row>
    <row r="1836" spans="1:10" ht="15.75" hidden="1" thickBot="1" x14ac:dyDescent="0.3">
      <c r="A1836" s="200"/>
      <c r="B1836" s="202"/>
      <c r="C1836" s="36" t="s">
        <v>614</v>
      </c>
      <c r="D1836" s="47" t="s">
        <v>615</v>
      </c>
      <c r="E1836" s="37">
        <v>1</v>
      </c>
      <c r="F1836" s="31">
        <v>0</v>
      </c>
      <c r="G1836" s="34">
        <f>IF(ISNUMBER(F1836),E1836*F1836,"")</f>
        <v>0</v>
      </c>
      <c r="H1836" s="45"/>
      <c r="I1836" s="46"/>
      <c r="J1836" s="155">
        <v>0</v>
      </c>
    </row>
    <row r="1837" spans="1:10" ht="15.75" hidden="1" thickBot="1" x14ac:dyDescent="0.3">
      <c r="A1837" s="200"/>
      <c r="B1837" s="202"/>
      <c r="C1837" s="36" t="s">
        <v>23</v>
      </c>
      <c r="D1837" s="47" t="s">
        <v>12</v>
      </c>
      <c r="E1837" s="37">
        <v>3.84</v>
      </c>
      <c r="F1837" s="31">
        <v>16.729499999999998</v>
      </c>
      <c r="G1837" s="34">
        <f>IF(ISNUMBER(F1837),E1837*F1837,"")</f>
        <v>64.241279999999989</v>
      </c>
      <c r="H1837" s="35"/>
      <c r="I1837" s="31"/>
      <c r="J1837" s="155">
        <v>0</v>
      </c>
    </row>
    <row r="1838" spans="1:10" ht="26.25" hidden="1" thickBot="1" x14ac:dyDescent="0.3">
      <c r="A1838" s="200"/>
      <c r="B1838" s="202"/>
      <c r="C1838" s="36" t="s">
        <v>606</v>
      </c>
      <c r="D1838" s="47" t="s">
        <v>12</v>
      </c>
      <c r="E1838" s="37">
        <v>3.84</v>
      </c>
      <c r="F1838" s="31">
        <v>23.730999999999998</v>
      </c>
      <c r="G1838" s="34">
        <f>IF(ISNUMBER(F1838),E1838*F1838,"")</f>
        <v>91.127039999999994</v>
      </c>
      <c r="H1838" s="35"/>
      <c r="I1838" s="31"/>
      <c r="J1838" s="155">
        <v>0</v>
      </c>
    </row>
    <row r="1839" spans="1:10" ht="15.75" hidden="1" thickBot="1" x14ac:dyDescent="0.3">
      <c r="A1839" s="201"/>
      <c r="B1839" s="188"/>
      <c r="C1839" s="36"/>
      <c r="D1839" s="36"/>
      <c r="E1839" s="37"/>
      <c r="F1839" s="31" t="s">
        <v>558</v>
      </c>
      <c r="G1839" s="31" t="str">
        <f>IF(ISNUMBER(F1839),E1839*F1839,"")</f>
        <v/>
      </c>
      <c r="H1839" s="35"/>
      <c r="I1839" s="31"/>
      <c r="J1839" s="155">
        <v>0</v>
      </c>
    </row>
    <row r="1840" spans="1:10" ht="15.75" hidden="1" thickBot="1" x14ac:dyDescent="0.3">
      <c r="A1840" s="180" t="s">
        <v>616</v>
      </c>
      <c r="B1840" s="186" t="str">
        <f>INDEX(Orçamentária!A:B,MATCH(Composições!A1840,Orçamentária!A:A,0),2)</f>
        <v>Duto flexível 6”</v>
      </c>
      <c r="C1840" s="41"/>
      <c r="D1840" s="26" t="str">
        <f>TRIM(INDEX(Orçamentária!C:C,MATCH(Composições!A1840,Orçamentária!A:A,0),1))</f>
        <v>m</v>
      </c>
      <c r="E1840" s="27"/>
      <c r="F1840" s="42" t="s">
        <v>558</v>
      </c>
      <c r="G1840" s="28" t="str">
        <f>IF(ISNUMBER(F1840),E1840*F1840,"")</f>
        <v/>
      </c>
      <c r="H1840" s="29"/>
      <c r="I1840" s="30"/>
      <c r="J1840" s="155">
        <v>0</v>
      </c>
    </row>
    <row r="1841" spans="1:10" ht="15.75" hidden="1" thickBot="1" x14ac:dyDescent="0.3">
      <c r="A1841" s="200"/>
      <c r="B1841" s="202"/>
      <c r="C1841" s="32"/>
      <c r="D1841" s="32"/>
      <c r="E1841" s="33"/>
      <c r="F1841" s="43" t="s">
        <v>558</v>
      </c>
      <c r="G1841" s="31" t="str">
        <f>IF(ISNUMBER(F1841),E1841*F1841,"")</f>
        <v/>
      </c>
      <c r="H1841" s="35"/>
      <c r="I1841" s="31"/>
      <c r="J1841" s="155">
        <v>0</v>
      </c>
    </row>
    <row r="1842" spans="1:10" ht="15.75" hidden="1" thickBot="1" x14ac:dyDescent="0.3">
      <c r="A1842" s="200"/>
      <c r="B1842" s="202"/>
      <c r="C1842" s="36" t="s">
        <v>23</v>
      </c>
      <c r="D1842" s="47" t="s">
        <v>12</v>
      </c>
      <c r="E1842" s="37">
        <v>0.4</v>
      </c>
      <c r="F1842" s="31">
        <v>16.729499999999998</v>
      </c>
      <c r="G1842" s="31">
        <f>IF(ISNUMBER(F1842),E1842*F1842,"")</f>
        <v>6.6917999999999997</v>
      </c>
      <c r="H1842" s="39">
        <f>SUM(G1842:G1844)</f>
        <v>16.184200000000001</v>
      </c>
      <c r="I1842" s="40"/>
      <c r="J1842" s="155">
        <v>0</v>
      </c>
    </row>
    <row r="1843" spans="1:10" ht="26.25" hidden="1" thickBot="1" x14ac:dyDescent="0.3">
      <c r="A1843" s="200"/>
      <c r="B1843" s="202"/>
      <c r="C1843" s="36" t="s">
        <v>606</v>
      </c>
      <c r="D1843" s="47" t="s">
        <v>12</v>
      </c>
      <c r="E1843" s="37">
        <v>0.4</v>
      </c>
      <c r="F1843" s="31">
        <v>23.730999999999998</v>
      </c>
      <c r="G1843" s="31">
        <f>IF(ISNUMBER(F1843),E1843*F1843,"")</f>
        <v>9.4923999999999999</v>
      </c>
      <c r="H1843" s="35"/>
      <c r="I1843" s="31"/>
      <c r="J1843" s="155">
        <v>0</v>
      </c>
    </row>
    <row r="1844" spans="1:10" ht="26.25" hidden="1" thickBot="1" x14ac:dyDescent="0.3">
      <c r="A1844" s="200"/>
      <c r="B1844" s="202"/>
      <c r="C1844" s="36" t="s">
        <v>617</v>
      </c>
      <c r="D1844" s="36" t="s">
        <v>93</v>
      </c>
      <c r="E1844" s="37">
        <v>1.05</v>
      </c>
      <c r="F1844" s="34" t="s">
        <v>558</v>
      </c>
      <c r="G1844" s="31" t="str">
        <f>IF(ISNUMBER(F1844),E1844*F1844,"")</f>
        <v/>
      </c>
      <c r="H1844" s="35"/>
      <c r="I1844" s="31"/>
      <c r="J1844" s="155">
        <v>0</v>
      </c>
    </row>
    <row r="1845" spans="1:10" ht="15.75" hidden="1" thickBot="1" x14ac:dyDescent="0.3">
      <c r="A1845" s="201"/>
      <c r="B1845" s="188"/>
      <c r="C1845" s="36"/>
      <c r="D1845" s="36"/>
      <c r="E1845" s="37"/>
      <c r="F1845" s="31" t="s">
        <v>558</v>
      </c>
      <c r="G1845" s="31" t="str">
        <f>IF(ISNUMBER(F1845),E1845*F1845,"")</f>
        <v/>
      </c>
      <c r="H1845" s="35"/>
      <c r="I1845" s="31"/>
      <c r="J1845" s="155">
        <v>0</v>
      </c>
    </row>
    <row r="1846" spans="1:10" ht="15.75" hidden="1" thickBot="1" x14ac:dyDescent="0.3">
      <c r="A1846" s="180" t="s">
        <v>618</v>
      </c>
      <c r="B1846" s="186" t="str">
        <f>INDEX(Orçamentária!A:B,MATCH(Composições!A1846,Orçamentária!A:A,0),2)</f>
        <v>Duto flexível 8”</v>
      </c>
      <c r="C1846" s="41"/>
      <c r="D1846" s="26" t="str">
        <f>TRIM(INDEX(Orçamentária!C:C,MATCH(Composições!A1846,Orçamentária!A:A,0),1))</f>
        <v>m</v>
      </c>
      <c r="E1846" s="27"/>
      <c r="F1846" s="42" t="s">
        <v>558</v>
      </c>
      <c r="G1846" s="28" t="str">
        <f>IF(ISNUMBER(F1846),E1846*F1846,"")</f>
        <v/>
      </c>
      <c r="H1846" s="29"/>
      <c r="I1846" s="30"/>
      <c r="J1846" s="155">
        <v>0</v>
      </c>
    </row>
    <row r="1847" spans="1:10" ht="15.75" hidden="1" thickBot="1" x14ac:dyDescent="0.3">
      <c r="A1847" s="200"/>
      <c r="B1847" s="202"/>
      <c r="C1847" s="32"/>
      <c r="D1847" s="32"/>
      <c r="E1847" s="33"/>
      <c r="F1847" s="43" t="s">
        <v>558</v>
      </c>
      <c r="G1847" s="31" t="str">
        <f>IF(ISNUMBER(F1847),E1847*F1847,"")</f>
        <v/>
      </c>
      <c r="H1847" s="35"/>
      <c r="I1847" s="31"/>
      <c r="J1847" s="155">
        <v>0</v>
      </c>
    </row>
    <row r="1848" spans="1:10" ht="15.75" hidden="1" thickBot="1" x14ac:dyDescent="0.3">
      <c r="A1848" s="200"/>
      <c r="B1848" s="202"/>
      <c r="C1848" s="36" t="s">
        <v>23</v>
      </c>
      <c r="D1848" s="47" t="s">
        <v>12</v>
      </c>
      <c r="E1848" s="37">
        <v>0.4</v>
      </c>
      <c r="F1848" s="31">
        <v>16.729499999999998</v>
      </c>
      <c r="G1848" s="31">
        <f>IF(ISNUMBER(F1848),E1848*F1848,"")</f>
        <v>6.6917999999999997</v>
      </c>
      <c r="H1848" s="39">
        <f>SUM(G1848:G1850)</f>
        <v>16.184200000000001</v>
      </c>
      <c r="I1848" s="40"/>
      <c r="J1848" s="155">
        <v>0</v>
      </c>
    </row>
    <row r="1849" spans="1:10" ht="26.25" hidden="1" thickBot="1" x14ac:dyDescent="0.3">
      <c r="A1849" s="200"/>
      <c r="B1849" s="202"/>
      <c r="C1849" s="36" t="s">
        <v>606</v>
      </c>
      <c r="D1849" s="47" t="s">
        <v>12</v>
      </c>
      <c r="E1849" s="37">
        <v>0.4</v>
      </c>
      <c r="F1849" s="31">
        <v>23.730999999999998</v>
      </c>
      <c r="G1849" s="31">
        <f>IF(ISNUMBER(F1849),E1849*F1849,"")</f>
        <v>9.4923999999999999</v>
      </c>
      <c r="H1849" s="35"/>
      <c r="I1849" s="31"/>
      <c r="J1849" s="155">
        <v>0</v>
      </c>
    </row>
    <row r="1850" spans="1:10" ht="26.25" hidden="1" thickBot="1" x14ac:dyDescent="0.3">
      <c r="A1850" s="200"/>
      <c r="B1850" s="202"/>
      <c r="C1850" s="36" t="s">
        <v>619</v>
      </c>
      <c r="D1850" s="36" t="s">
        <v>93</v>
      </c>
      <c r="E1850" s="37">
        <v>1.05</v>
      </c>
      <c r="F1850" s="34" t="s">
        <v>558</v>
      </c>
      <c r="G1850" s="31" t="str">
        <f>IF(ISNUMBER(F1850),E1850*F1850,"")</f>
        <v/>
      </c>
      <c r="H1850" s="35"/>
      <c r="I1850" s="31"/>
      <c r="J1850" s="155">
        <v>0</v>
      </c>
    </row>
    <row r="1851" spans="1:10" ht="15.75" hidden="1" thickBot="1" x14ac:dyDescent="0.3">
      <c r="A1851" s="201"/>
      <c r="B1851" s="188"/>
      <c r="C1851" s="36"/>
      <c r="D1851" s="36"/>
      <c r="E1851" s="37"/>
      <c r="F1851" s="31" t="s">
        <v>558</v>
      </c>
      <c r="G1851" s="31" t="str">
        <f>IF(ISNUMBER(F1851),E1851*F1851,"")</f>
        <v/>
      </c>
      <c r="H1851" s="35"/>
      <c r="I1851" s="31"/>
      <c r="J1851" s="155">
        <v>0</v>
      </c>
    </row>
    <row r="1852" spans="1:10" ht="15.75" hidden="1" thickBot="1" x14ac:dyDescent="0.3">
      <c r="A1852" s="180" t="s">
        <v>620</v>
      </c>
      <c r="B1852" s="186" t="str">
        <f>INDEX(Orçamentária!A:B,MATCH(Composições!A1852,Orçamentária!A:A,0),2)</f>
        <v>Difusor de ar quadrado 360x360 mm</v>
      </c>
      <c r="C1852" s="41"/>
      <c r="D1852" s="26" t="str">
        <f>TRIM(INDEX(Orçamentária!C:C,MATCH(Composições!A1852,Orçamentária!A:A,0),1))</f>
        <v>un</v>
      </c>
      <c r="E1852" s="27"/>
      <c r="F1852" s="42" t="s">
        <v>558</v>
      </c>
      <c r="G1852" s="28" t="str">
        <f>IF(ISNUMBER(F1852),E1852*F1852,"")</f>
        <v/>
      </c>
      <c r="H1852" s="29"/>
      <c r="I1852" s="30"/>
      <c r="J1852" s="155">
        <v>0</v>
      </c>
    </row>
    <row r="1853" spans="1:10" ht="15.75" hidden="1" thickBot="1" x14ac:dyDescent="0.3">
      <c r="A1853" s="200"/>
      <c r="B1853" s="202"/>
      <c r="C1853" s="32"/>
      <c r="D1853" s="32"/>
      <c r="E1853" s="33"/>
      <c r="F1853" s="43" t="s">
        <v>558</v>
      </c>
      <c r="G1853" s="31" t="str">
        <f>IF(ISNUMBER(F1853),E1853*F1853,"")</f>
        <v/>
      </c>
      <c r="H1853" s="35"/>
      <c r="I1853" s="31"/>
      <c r="J1853" s="155">
        <v>0</v>
      </c>
    </row>
    <row r="1854" spans="1:10" ht="15.75" hidden="1" thickBot="1" x14ac:dyDescent="0.3">
      <c r="A1854" s="200"/>
      <c r="B1854" s="202"/>
      <c r="C1854" s="36" t="s">
        <v>52</v>
      </c>
      <c r="D1854" s="47" t="s">
        <v>12</v>
      </c>
      <c r="E1854" s="37">
        <v>2.5</v>
      </c>
      <c r="F1854" s="31">
        <v>17.898</v>
      </c>
      <c r="G1854" s="34">
        <f>IF(ISNUMBER(F1854),E1854*F1854,"")</f>
        <v>44.744999999999997</v>
      </c>
      <c r="H1854" s="39">
        <f>SUM(G1854:G1856)</f>
        <v>104.07249999999999</v>
      </c>
      <c r="I1854" s="40"/>
      <c r="J1854" s="155">
        <v>0</v>
      </c>
    </row>
    <row r="1855" spans="1:10" ht="26.25" hidden="1" thickBot="1" x14ac:dyDescent="0.3">
      <c r="A1855" s="200"/>
      <c r="B1855" s="202"/>
      <c r="C1855" s="36" t="s">
        <v>606</v>
      </c>
      <c r="D1855" s="47" t="s">
        <v>12</v>
      </c>
      <c r="E1855" s="37">
        <v>2.5</v>
      </c>
      <c r="F1855" s="31">
        <v>23.730999999999998</v>
      </c>
      <c r="G1855" s="34">
        <f>IF(ISNUMBER(F1855),E1855*F1855,"")</f>
        <v>59.327499999999993</v>
      </c>
      <c r="H1855" s="35"/>
      <c r="I1855" s="31"/>
      <c r="J1855" s="155">
        <v>0</v>
      </c>
    </row>
    <row r="1856" spans="1:10" ht="26.25" hidden="1" thickBot="1" x14ac:dyDescent="0.3">
      <c r="A1856" s="200"/>
      <c r="B1856" s="202"/>
      <c r="C1856" s="36" t="s">
        <v>621</v>
      </c>
      <c r="D1856" s="36" t="s">
        <v>147</v>
      </c>
      <c r="E1856" s="37">
        <v>1</v>
      </c>
      <c r="F1856" s="34" t="s">
        <v>558</v>
      </c>
      <c r="G1856" s="34" t="str">
        <f>IF(ISNUMBER(F1856),E1856*F1856,"")</f>
        <v/>
      </c>
      <c r="H1856" s="35"/>
      <c r="I1856" s="31"/>
      <c r="J1856" s="155">
        <v>0</v>
      </c>
    </row>
    <row r="1857" spans="1:10" ht="15.75" hidden="1" thickBot="1" x14ac:dyDescent="0.3">
      <c r="A1857" s="201"/>
      <c r="B1857" s="188"/>
      <c r="C1857" s="36"/>
      <c r="D1857" s="36"/>
      <c r="E1857" s="37"/>
      <c r="F1857" s="31" t="s">
        <v>558</v>
      </c>
      <c r="G1857" s="31" t="str">
        <f>IF(ISNUMBER(F1857),E1857*F1857,"")</f>
        <v/>
      </c>
      <c r="H1857" s="35"/>
      <c r="I1857" s="31"/>
      <c r="J1857" s="155">
        <v>0</v>
      </c>
    </row>
    <row r="1858" spans="1:10" ht="15.75" hidden="1" thickBot="1" x14ac:dyDescent="0.3">
      <c r="A1858" s="180" t="s">
        <v>622</v>
      </c>
      <c r="B1858" s="186" t="str">
        <f>INDEX(Orçamentária!A:B,MATCH(Composições!A1858,Orçamentária!A:A,0),2)</f>
        <v>Difusor de ar quadrado com caixa plenum AK6 360x360 mm</v>
      </c>
      <c r="C1858" s="41"/>
      <c r="D1858" s="26" t="str">
        <f>TRIM(INDEX(Orçamentária!C:C,MATCH(Composições!A1858,Orçamentária!A:A,0),1))</f>
        <v>un</v>
      </c>
      <c r="E1858" s="27"/>
      <c r="F1858" s="42" t="s">
        <v>558</v>
      </c>
      <c r="G1858" s="28" t="str">
        <f>IF(ISNUMBER(F1858),E1858*F1858,"")</f>
        <v/>
      </c>
      <c r="H1858" s="29"/>
      <c r="I1858" s="30"/>
      <c r="J1858" s="155">
        <v>0</v>
      </c>
    </row>
    <row r="1859" spans="1:10" ht="15.75" hidden="1" thickBot="1" x14ac:dyDescent="0.3">
      <c r="A1859" s="200"/>
      <c r="B1859" s="202"/>
      <c r="C1859" s="32"/>
      <c r="D1859" s="32"/>
      <c r="E1859" s="33"/>
      <c r="F1859" s="43" t="s">
        <v>558</v>
      </c>
      <c r="G1859" s="31" t="str">
        <f>IF(ISNUMBER(F1859),E1859*F1859,"")</f>
        <v/>
      </c>
      <c r="H1859" s="35"/>
      <c r="I1859" s="31"/>
      <c r="J1859" s="155">
        <v>0</v>
      </c>
    </row>
    <row r="1860" spans="1:10" ht="15.75" hidden="1" thickBot="1" x14ac:dyDescent="0.3">
      <c r="A1860" s="200"/>
      <c r="B1860" s="202"/>
      <c r="C1860" s="36" t="s">
        <v>52</v>
      </c>
      <c r="D1860" s="47" t="s">
        <v>12</v>
      </c>
      <c r="E1860" s="37">
        <v>2.5</v>
      </c>
      <c r="F1860" s="31">
        <v>17.898</v>
      </c>
      <c r="G1860" s="34">
        <f>IF(ISNUMBER(F1860),E1860*F1860,"")</f>
        <v>44.744999999999997</v>
      </c>
      <c r="H1860" s="39">
        <f>SUM(G1860:G1862)</f>
        <v>104.07249999999999</v>
      </c>
      <c r="I1860" s="40"/>
      <c r="J1860" s="155">
        <v>0</v>
      </c>
    </row>
    <row r="1861" spans="1:10" ht="26.25" hidden="1" thickBot="1" x14ac:dyDescent="0.3">
      <c r="A1861" s="200"/>
      <c r="B1861" s="202"/>
      <c r="C1861" s="36" t="s">
        <v>606</v>
      </c>
      <c r="D1861" s="47" t="s">
        <v>12</v>
      </c>
      <c r="E1861" s="37">
        <v>2.5</v>
      </c>
      <c r="F1861" s="31">
        <v>23.730999999999998</v>
      </c>
      <c r="G1861" s="34">
        <f>IF(ISNUMBER(F1861),E1861*F1861,"")</f>
        <v>59.327499999999993</v>
      </c>
      <c r="H1861" s="35"/>
      <c r="I1861" s="31"/>
      <c r="J1861" s="155">
        <v>0</v>
      </c>
    </row>
    <row r="1862" spans="1:10" ht="26.25" hidden="1" thickBot="1" x14ac:dyDescent="0.3">
      <c r="A1862" s="200"/>
      <c r="B1862" s="202"/>
      <c r="C1862" s="36" t="s">
        <v>623</v>
      </c>
      <c r="D1862" s="36" t="s">
        <v>147</v>
      </c>
      <c r="E1862" s="37">
        <v>1</v>
      </c>
      <c r="F1862" s="34" t="s">
        <v>558</v>
      </c>
      <c r="G1862" s="34" t="str">
        <f>IF(ISNUMBER(F1862),E1862*F1862,"")</f>
        <v/>
      </c>
      <c r="H1862" s="35"/>
      <c r="I1862" s="31"/>
      <c r="J1862" s="155">
        <v>0</v>
      </c>
    </row>
    <row r="1863" spans="1:10" ht="15.75" hidden="1" thickBot="1" x14ac:dyDescent="0.3">
      <c r="A1863" s="201"/>
      <c r="B1863" s="188"/>
      <c r="C1863" s="36"/>
      <c r="D1863" s="36"/>
      <c r="E1863" s="37"/>
      <c r="F1863" s="31" t="s">
        <v>558</v>
      </c>
      <c r="G1863" s="31" t="str">
        <f>IF(ISNUMBER(F1863),E1863*F1863,"")</f>
        <v/>
      </c>
      <c r="H1863" s="35"/>
      <c r="I1863" s="31"/>
      <c r="J1863" s="155">
        <v>0</v>
      </c>
    </row>
    <row r="1864" spans="1:10" ht="15.75" hidden="1" thickBot="1" x14ac:dyDescent="0.3">
      <c r="A1864" s="180" t="s">
        <v>624</v>
      </c>
      <c r="B1864" s="186" t="str">
        <f>INDEX(Orçamentária!A:B,MATCH(Composições!A1864,Orçamentária!A:A,0),2)</f>
        <v>Difusor de ar quadrado para insuflamento em duas direções perpendiculares 376x376 mm</v>
      </c>
      <c r="C1864" s="41"/>
      <c r="D1864" s="26" t="str">
        <f>TRIM(INDEX(Orçamentária!C:C,MATCH(Composições!A1864,Orçamentária!A:A,0),1))</f>
        <v>un</v>
      </c>
      <c r="E1864" s="27"/>
      <c r="F1864" s="42" t="s">
        <v>558</v>
      </c>
      <c r="G1864" s="28" t="str">
        <f>IF(ISNUMBER(F1864),E1864*F1864,"")</f>
        <v/>
      </c>
      <c r="H1864" s="29"/>
      <c r="I1864" s="30"/>
      <c r="J1864" s="155">
        <v>0</v>
      </c>
    </row>
    <row r="1865" spans="1:10" ht="15.75" hidden="1" thickBot="1" x14ac:dyDescent="0.3">
      <c r="A1865" s="200"/>
      <c r="B1865" s="202"/>
      <c r="C1865" s="32"/>
      <c r="D1865" s="32"/>
      <c r="E1865" s="33"/>
      <c r="F1865" s="43" t="s">
        <v>558</v>
      </c>
      <c r="G1865" s="31" t="str">
        <f>IF(ISNUMBER(F1865),E1865*F1865,"")</f>
        <v/>
      </c>
      <c r="H1865" s="35"/>
      <c r="I1865" s="31"/>
      <c r="J1865" s="155">
        <v>0</v>
      </c>
    </row>
    <row r="1866" spans="1:10" ht="15.75" hidden="1" thickBot="1" x14ac:dyDescent="0.3">
      <c r="A1866" s="200"/>
      <c r="B1866" s="202"/>
      <c r="C1866" s="36" t="s">
        <v>52</v>
      </c>
      <c r="D1866" s="47" t="s">
        <v>12</v>
      </c>
      <c r="E1866" s="37">
        <v>2.5</v>
      </c>
      <c r="F1866" s="31">
        <v>17.898</v>
      </c>
      <c r="G1866" s="34">
        <f>IF(ISNUMBER(F1866),E1866*F1866,"")</f>
        <v>44.744999999999997</v>
      </c>
      <c r="H1866" s="39">
        <f>SUM(G1866:G1868)</f>
        <v>104.07249999999999</v>
      </c>
      <c r="I1866" s="40"/>
      <c r="J1866" s="155">
        <v>0</v>
      </c>
    </row>
    <row r="1867" spans="1:10" ht="26.25" hidden="1" thickBot="1" x14ac:dyDescent="0.3">
      <c r="A1867" s="200"/>
      <c r="B1867" s="202"/>
      <c r="C1867" s="36" t="s">
        <v>606</v>
      </c>
      <c r="D1867" s="47" t="s">
        <v>12</v>
      </c>
      <c r="E1867" s="37">
        <v>2.5</v>
      </c>
      <c r="F1867" s="31">
        <v>23.730999999999998</v>
      </c>
      <c r="G1867" s="34">
        <f>IF(ISNUMBER(F1867),E1867*F1867,"")</f>
        <v>59.327499999999993</v>
      </c>
      <c r="H1867" s="35"/>
      <c r="I1867" s="31"/>
      <c r="J1867" s="155">
        <v>0</v>
      </c>
    </row>
    <row r="1868" spans="1:10" ht="26.25" hidden="1" thickBot="1" x14ac:dyDescent="0.3">
      <c r="A1868" s="200"/>
      <c r="B1868" s="202"/>
      <c r="C1868" s="36" t="s">
        <v>625</v>
      </c>
      <c r="D1868" s="36" t="s">
        <v>147</v>
      </c>
      <c r="E1868" s="37">
        <v>1</v>
      </c>
      <c r="F1868" s="34" t="s">
        <v>558</v>
      </c>
      <c r="G1868" s="34" t="str">
        <f>IF(ISNUMBER(F1868),E1868*F1868,"")</f>
        <v/>
      </c>
      <c r="H1868" s="35"/>
      <c r="I1868" s="31"/>
      <c r="J1868" s="155">
        <v>0</v>
      </c>
    </row>
    <row r="1869" spans="1:10" ht="15.75" hidden="1" thickBot="1" x14ac:dyDescent="0.3">
      <c r="A1869" s="201"/>
      <c r="B1869" s="188"/>
      <c r="C1869" s="36"/>
      <c r="D1869" s="36"/>
      <c r="E1869" s="37"/>
      <c r="F1869" s="31" t="s">
        <v>558</v>
      </c>
      <c r="G1869" s="31" t="str">
        <f>IF(ISNUMBER(F1869),E1869*F1869,"")</f>
        <v/>
      </c>
      <c r="H1869" s="35"/>
      <c r="I1869" s="31"/>
      <c r="J1869" s="155">
        <v>0</v>
      </c>
    </row>
    <row r="1870" spans="1:10" ht="15.75" hidden="1" thickBot="1" x14ac:dyDescent="0.3">
      <c r="A1870" s="180" t="s">
        <v>626</v>
      </c>
      <c r="B1870" s="186" t="str">
        <f>INDEX(Orçamentária!A:B,MATCH(Composições!A1870,Orçamentária!A:A,0),2)</f>
        <v>Difusor de ar retangular para insuflamento em duas direções 371x208 mm</v>
      </c>
      <c r="C1870" s="41"/>
      <c r="D1870" s="26" t="str">
        <f>TRIM(INDEX(Orçamentária!C:C,MATCH(Composições!A1870,Orçamentária!A:A,0),1))</f>
        <v>un</v>
      </c>
      <c r="E1870" s="27"/>
      <c r="F1870" s="42" t="s">
        <v>558</v>
      </c>
      <c r="G1870" s="28" t="str">
        <f>IF(ISNUMBER(F1870),E1870*F1870,"")</f>
        <v/>
      </c>
      <c r="H1870" s="29"/>
      <c r="I1870" s="30"/>
      <c r="J1870" s="155">
        <v>0</v>
      </c>
    </row>
    <row r="1871" spans="1:10" ht="15.75" hidden="1" thickBot="1" x14ac:dyDescent="0.3">
      <c r="A1871" s="200"/>
      <c r="B1871" s="202"/>
      <c r="C1871" s="32"/>
      <c r="D1871" s="32"/>
      <c r="E1871" s="33"/>
      <c r="F1871" s="43" t="s">
        <v>558</v>
      </c>
      <c r="G1871" s="31" t="str">
        <f>IF(ISNUMBER(F1871),E1871*F1871,"")</f>
        <v/>
      </c>
      <c r="H1871" s="35"/>
      <c r="I1871" s="31"/>
      <c r="J1871" s="155">
        <v>0</v>
      </c>
    </row>
    <row r="1872" spans="1:10" ht="15.75" hidden="1" thickBot="1" x14ac:dyDescent="0.3">
      <c r="A1872" s="200"/>
      <c r="B1872" s="202"/>
      <c r="C1872" s="36" t="s">
        <v>52</v>
      </c>
      <c r="D1872" s="47" t="s">
        <v>12</v>
      </c>
      <c r="E1872" s="37">
        <v>2.5</v>
      </c>
      <c r="F1872" s="31">
        <v>17.898</v>
      </c>
      <c r="G1872" s="34">
        <f>IF(ISNUMBER(F1872),E1872*F1872,"")</f>
        <v>44.744999999999997</v>
      </c>
      <c r="H1872" s="39">
        <f>SUM(G1872:G1874)</f>
        <v>104.07249999999999</v>
      </c>
      <c r="I1872" s="40"/>
      <c r="J1872" s="155">
        <v>0</v>
      </c>
    </row>
    <row r="1873" spans="1:10" ht="26.25" hidden="1" thickBot="1" x14ac:dyDescent="0.3">
      <c r="A1873" s="200"/>
      <c r="B1873" s="202"/>
      <c r="C1873" s="36" t="s">
        <v>606</v>
      </c>
      <c r="D1873" s="47" t="s">
        <v>12</v>
      </c>
      <c r="E1873" s="37">
        <v>2.5</v>
      </c>
      <c r="F1873" s="31">
        <v>23.730999999999998</v>
      </c>
      <c r="G1873" s="34">
        <f>IF(ISNUMBER(F1873),E1873*F1873,"")</f>
        <v>59.327499999999993</v>
      </c>
      <c r="H1873" s="35"/>
      <c r="I1873" s="31"/>
      <c r="J1873" s="155">
        <v>0</v>
      </c>
    </row>
    <row r="1874" spans="1:10" ht="39" hidden="1" thickBot="1" x14ac:dyDescent="0.3">
      <c r="A1874" s="200"/>
      <c r="B1874" s="202"/>
      <c r="C1874" s="36" t="s">
        <v>627</v>
      </c>
      <c r="D1874" s="36" t="s">
        <v>147</v>
      </c>
      <c r="E1874" s="37">
        <v>1</v>
      </c>
      <c r="F1874" s="34" t="s">
        <v>558</v>
      </c>
      <c r="G1874" s="34" t="str">
        <f>IF(ISNUMBER(F1874),E1874*F1874,"")</f>
        <v/>
      </c>
      <c r="H1874" s="35"/>
      <c r="I1874" s="31"/>
      <c r="J1874" s="155">
        <v>0</v>
      </c>
    </row>
    <row r="1875" spans="1:10" ht="15.75" hidden="1" thickBot="1" x14ac:dyDescent="0.3">
      <c r="A1875" s="201"/>
      <c r="B1875" s="188"/>
      <c r="C1875" s="36"/>
      <c r="D1875" s="36"/>
      <c r="E1875" s="37"/>
      <c r="F1875" s="31" t="s">
        <v>558</v>
      </c>
      <c r="G1875" s="31" t="str">
        <f>IF(ISNUMBER(F1875),E1875*F1875,"")</f>
        <v/>
      </c>
      <c r="H1875" s="35"/>
      <c r="I1875" s="31"/>
      <c r="J1875" s="155">
        <v>0</v>
      </c>
    </row>
    <row r="1876" spans="1:10" ht="15.75" hidden="1" thickBot="1" x14ac:dyDescent="0.3">
      <c r="A1876" s="180" t="s">
        <v>628</v>
      </c>
      <c r="B1876" s="186" t="str">
        <f>INDEX(Orçamentária!A:B,MATCH(Composições!A1876,Orçamentária!A:A,0),2)</f>
        <v>Difusor de ar retangular para insuflamento em três direções 264x432 mm</v>
      </c>
      <c r="C1876" s="41"/>
      <c r="D1876" s="26" t="str">
        <f>TRIM(INDEX(Orçamentária!C:C,MATCH(Composições!A1876,Orçamentária!A:A,0),1))</f>
        <v>un</v>
      </c>
      <c r="E1876" s="27"/>
      <c r="F1876" s="42" t="s">
        <v>558</v>
      </c>
      <c r="G1876" s="28" t="str">
        <f>IF(ISNUMBER(F1876),E1876*F1876,"")</f>
        <v/>
      </c>
      <c r="H1876" s="29"/>
      <c r="I1876" s="30"/>
      <c r="J1876" s="155">
        <v>0</v>
      </c>
    </row>
    <row r="1877" spans="1:10" ht="15.75" hidden="1" thickBot="1" x14ac:dyDescent="0.3">
      <c r="A1877" s="200"/>
      <c r="B1877" s="202"/>
      <c r="C1877" s="32"/>
      <c r="D1877" s="32"/>
      <c r="E1877" s="33"/>
      <c r="F1877" s="43" t="s">
        <v>558</v>
      </c>
      <c r="G1877" s="31" t="str">
        <f>IF(ISNUMBER(F1877),E1877*F1877,"")</f>
        <v/>
      </c>
      <c r="H1877" s="35"/>
      <c r="I1877" s="31"/>
      <c r="J1877" s="155">
        <v>0</v>
      </c>
    </row>
    <row r="1878" spans="1:10" ht="15.75" hidden="1" thickBot="1" x14ac:dyDescent="0.3">
      <c r="A1878" s="200"/>
      <c r="B1878" s="202"/>
      <c r="C1878" s="36" t="s">
        <v>52</v>
      </c>
      <c r="D1878" s="47" t="s">
        <v>12</v>
      </c>
      <c r="E1878" s="37">
        <v>2.5</v>
      </c>
      <c r="F1878" s="31">
        <v>17.898</v>
      </c>
      <c r="G1878" s="34">
        <f>IF(ISNUMBER(F1878),E1878*F1878,"")</f>
        <v>44.744999999999997</v>
      </c>
      <c r="H1878" s="39">
        <f>SUM(G1878:G1880)</f>
        <v>104.07249999999999</v>
      </c>
      <c r="I1878" s="40"/>
      <c r="J1878" s="155">
        <v>0</v>
      </c>
    </row>
    <row r="1879" spans="1:10" ht="26.25" hidden="1" thickBot="1" x14ac:dyDescent="0.3">
      <c r="A1879" s="200"/>
      <c r="B1879" s="202"/>
      <c r="C1879" s="36" t="s">
        <v>606</v>
      </c>
      <c r="D1879" s="47" t="s">
        <v>12</v>
      </c>
      <c r="E1879" s="37">
        <v>2.5</v>
      </c>
      <c r="F1879" s="31">
        <v>23.730999999999998</v>
      </c>
      <c r="G1879" s="34">
        <f>IF(ISNUMBER(F1879),E1879*F1879,"")</f>
        <v>59.327499999999993</v>
      </c>
      <c r="H1879" s="35"/>
      <c r="I1879" s="31"/>
      <c r="J1879" s="155">
        <v>0</v>
      </c>
    </row>
    <row r="1880" spans="1:10" ht="51.75" hidden="1" thickBot="1" x14ac:dyDescent="0.3">
      <c r="A1880" s="200"/>
      <c r="B1880" s="202"/>
      <c r="C1880" s="36" t="s">
        <v>629</v>
      </c>
      <c r="D1880" s="36" t="s">
        <v>147</v>
      </c>
      <c r="E1880" s="37">
        <v>1</v>
      </c>
      <c r="F1880" s="34" t="s">
        <v>558</v>
      </c>
      <c r="G1880" s="34" t="str">
        <f>IF(ISNUMBER(F1880),E1880*F1880,"")</f>
        <v/>
      </c>
      <c r="H1880" s="35"/>
      <c r="I1880" s="31"/>
      <c r="J1880" s="155">
        <v>0</v>
      </c>
    </row>
    <row r="1881" spans="1:10" ht="15.75" hidden="1" thickBot="1" x14ac:dyDescent="0.3">
      <c r="A1881" s="201"/>
      <c r="B1881" s="188"/>
      <c r="C1881" s="36"/>
      <c r="D1881" s="36"/>
      <c r="E1881" s="37"/>
      <c r="F1881" s="31" t="s">
        <v>558</v>
      </c>
      <c r="G1881" s="31" t="str">
        <f>IF(ISNUMBER(F1881),E1881*F1881,"")</f>
        <v/>
      </c>
      <c r="H1881" s="35"/>
      <c r="I1881" s="31"/>
      <c r="J1881" s="155">
        <v>0</v>
      </c>
    </row>
    <row r="1882" spans="1:10" ht="15.75" hidden="1" thickBot="1" x14ac:dyDescent="0.3">
      <c r="A1882" s="180" t="s">
        <v>630</v>
      </c>
      <c r="B1882" s="186" t="str">
        <f>INDEX(Orçamentária!A:B,MATCH(Composições!A1882,Orçamentária!A:A,0),2)</f>
        <v>Difusor de ar retangular para insuflamento em três direções 320x562 mm</v>
      </c>
      <c r="C1882" s="41"/>
      <c r="D1882" s="26" t="str">
        <f>TRIM(INDEX(Orçamentária!C:C,MATCH(Composições!A1882,Orçamentária!A:A,0),1))</f>
        <v>un</v>
      </c>
      <c r="E1882" s="27"/>
      <c r="F1882" s="42" t="s">
        <v>558</v>
      </c>
      <c r="G1882" s="28" t="str">
        <f>IF(ISNUMBER(F1882),E1882*F1882,"")</f>
        <v/>
      </c>
      <c r="H1882" s="29"/>
      <c r="I1882" s="30"/>
      <c r="J1882" s="155">
        <v>0</v>
      </c>
    </row>
    <row r="1883" spans="1:10" ht="15.75" hidden="1" thickBot="1" x14ac:dyDescent="0.3">
      <c r="A1883" s="200"/>
      <c r="B1883" s="202"/>
      <c r="C1883" s="32"/>
      <c r="D1883" s="32"/>
      <c r="E1883" s="33"/>
      <c r="F1883" s="43" t="s">
        <v>558</v>
      </c>
      <c r="G1883" s="31" t="str">
        <f>IF(ISNUMBER(F1883),E1883*F1883,"")</f>
        <v/>
      </c>
      <c r="H1883" s="35"/>
      <c r="I1883" s="31"/>
      <c r="J1883" s="155">
        <v>0</v>
      </c>
    </row>
    <row r="1884" spans="1:10" ht="15.75" hidden="1" thickBot="1" x14ac:dyDescent="0.3">
      <c r="A1884" s="200"/>
      <c r="B1884" s="202"/>
      <c r="C1884" s="36" t="s">
        <v>52</v>
      </c>
      <c r="D1884" s="47" t="s">
        <v>12</v>
      </c>
      <c r="E1884" s="37">
        <v>2.5</v>
      </c>
      <c r="F1884" s="31">
        <v>17.898</v>
      </c>
      <c r="G1884" s="34">
        <f>IF(ISNUMBER(F1884),E1884*F1884,"")</f>
        <v>44.744999999999997</v>
      </c>
      <c r="H1884" s="39">
        <f>SUM(G1884:G1886)</f>
        <v>104.07249999999999</v>
      </c>
      <c r="I1884" s="40"/>
      <c r="J1884" s="155">
        <v>0</v>
      </c>
    </row>
    <row r="1885" spans="1:10" ht="26.25" hidden="1" thickBot="1" x14ac:dyDescent="0.3">
      <c r="A1885" s="200"/>
      <c r="B1885" s="202"/>
      <c r="C1885" s="36" t="s">
        <v>606</v>
      </c>
      <c r="D1885" s="47" t="s">
        <v>12</v>
      </c>
      <c r="E1885" s="37">
        <v>2.5</v>
      </c>
      <c r="F1885" s="31">
        <v>23.730999999999998</v>
      </c>
      <c r="G1885" s="34">
        <f>IF(ISNUMBER(F1885),E1885*F1885,"")</f>
        <v>59.327499999999993</v>
      </c>
      <c r="H1885" s="35"/>
      <c r="I1885" s="31"/>
      <c r="J1885" s="155">
        <v>0</v>
      </c>
    </row>
    <row r="1886" spans="1:10" ht="26.25" hidden="1" thickBot="1" x14ac:dyDescent="0.3">
      <c r="A1886" s="200"/>
      <c r="B1886" s="202"/>
      <c r="C1886" s="36" t="s">
        <v>631</v>
      </c>
      <c r="D1886" s="36" t="s">
        <v>147</v>
      </c>
      <c r="E1886" s="37">
        <v>1</v>
      </c>
      <c r="F1886" s="34" t="s">
        <v>558</v>
      </c>
      <c r="G1886" s="34" t="str">
        <f>IF(ISNUMBER(F1886),E1886*F1886,"")</f>
        <v/>
      </c>
      <c r="H1886" s="35"/>
      <c r="I1886" s="31"/>
      <c r="J1886" s="155">
        <v>0</v>
      </c>
    </row>
    <row r="1887" spans="1:10" ht="15.75" hidden="1" thickBot="1" x14ac:dyDescent="0.3">
      <c r="A1887" s="201"/>
      <c r="B1887" s="188"/>
      <c r="C1887" s="36"/>
      <c r="D1887" s="36"/>
      <c r="E1887" s="37"/>
      <c r="F1887" s="31" t="s">
        <v>558</v>
      </c>
      <c r="G1887" s="31" t="str">
        <f>IF(ISNUMBER(F1887),E1887*F1887,"")</f>
        <v/>
      </c>
      <c r="H1887" s="35"/>
      <c r="I1887" s="31"/>
      <c r="J1887" s="155">
        <v>0</v>
      </c>
    </row>
    <row r="1888" spans="1:10" ht="15.75" hidden="1" thickBot="1" x14ac:dyDescent="0.3">
      <c r="A1888" s="180" t="s">
        <v>632</v>
      </c>
      <c r="B1888" s="186" t="str">
        <f>INDEX(Orçamentária!A:B,MATCH(Composições!A1888,Orçamentária!A:A,0),2)</f>
        <v>Difusor de ar retangular para insuflamento em três direções 371x208 mm</v>
      </c>
      <c r="C1888" s="41"/>
      <c r="D1888" s="26" t="str">
        <f>TRIM(INDEX(Orçamentária!C:C,MATCH(Composições!A1888,Orçamentária!A:A,0),1))</f>
        <v>un</v>
      </c>
      <c r="E1888" s="27"/>
      <c r="F1888" s="42" t="s">
        <v>558</v>
      </c>
      <c r="G1888" s="28" t="str">
        <f>IF(ISNUMBER(F1888),E1888*F1888,"")</f>
        <v/>
      </c>
      <c r="H1888" s="29"/>
      <c r="I1888" s="30"/>
      <c r="J1888" s="155">
        <v>0</v>
      </c>
    </row>
    <row r="1889" spans="1:10" ht="15.75" hidden="1" thickBot="1" x14ac:dyDescent="0.3">
      <c r="A1889" s="200"/>
      <c r="B1889" s="202"/>
      <c r="C1889" s="32"/>
      <c r="D1889" s="32"/>
      <c r="E1889" s="33"/>
      <c r="F1889" s="43" t="s">
        <v>558</v>
      </c>
      <c r="G1889" s="31" t="str">
        <f>IF(ISNUMBER(F1889),E1889*F1889,"")</f>
        <v/>
      </c>
      <c r="H1889" s="35"/>
      <c r="I1889" s="31"/>
      <c r="J1889" s="155">
        <v>0</v>
      </c>
    </row>
    <row r="1890" spans="1:10" ht="15.75" hidden="1" thickBot="1" x14ac:dyDescent="0.3">
      <c r="A1890" s="200"/>
      <c r="B1890" s="202"/>
      <c r="C1890" s="36" t="s">
        <v>52</v>
      </c>
      <c r="D1890" s="47" t="s">
        <v>12</v>
      </c>
      <c r="E1890" s="37">
        <v>2.5</v>
      </c>
      <c r="F1890" s="31">
        <v>17.898</v>
      </c>
      <c r="G1890" s="34">
        <f>IF(ISNUMBER(F1890),E1890*F1890,"")</f>
        <v>44.744999999999997</v>
      </c>
      <c r="H1890" s="39">
        <f>SUM(G1890:G1892)</f>
        <v>104.07249999999999</v>
      </c>
      <c r="I1890" s="40"/>
      <c r="J1890" s="155">
        <v>0</v>
      </c>
    </row>
    <row r="1891" spans="1:10" ht="26.25" hidden="1" thickBot="1" x14ac:dyDescent="0.3">
      <c r="A1891" s="200"/>
      <c r="B1891" s="202"/>
      <c r="C1891" s="36" t="s">
        <v>606</v>
      </c>
      <c r="D1891" s="47" t="s">
        <v>12</v>
      </c>
      <c r="E1891" s="37">
        <v>2.5</v>
      </c>
      <c r="F1891" s="31">
        <v>23.730999999999998</v>
      </c>
      <c r="G1891" s="34">
        <f>IF(ISNUMBER(F1891),E1891*F1891,"")</f>
        <v>59.327499999999993</v>
      </c>
      <c r="H1891" s="35"/>
      <c r="I1891" s="31"/>
      <c r="J1891" s="155">
        <v>0</v>
      </c>
    </row>
    <row r="1892" spans="1:10" ht="39" hidden="1" thickBot="1" x14ac:dyDescent="0.3">
      <c r="A1892" s="200"/>
      <c r="B1892" s="202"/>
      <c r="C1892" s="36" t="s">
        <v>633</v>
      </c>
      <c r="D1892" s="36" t="s">
        <v>147</v>
      </c>
      <c r="E1892" s="37">
        <v>1</v>
      </c>
      <c r="F1892" s="34" t="s">
        <v>558</v>
      </c>
      <c r="G1892" s="34" t="str">
        <f>IF(ISNUMBER(F1892),E1892*F1892,"")</f>
        <v/>
      </c>
      <c r="H1892" s="35"/>
      <c r="I1892" s="31"/>
      <c r="J1892" s="155">
        <v>0</v>
      </c>
    </row>
    <row r="1893" spans="1:10" ht="15.75" hidden="1" thickBot="1" x14ac:dyDescent="0.3">
      <c r="A1893" s="201"/>
      <c r="B1893" s="188"/>
      <c r="C1893" s="36"/>
      <c r="D1893" s="36"/>
      <c r="E1893" s="37"/>
      <c r="F1893" s="31" t="s">
        <v>558</v>
      </c>
      <c r="G1893" s="31" t="str">
        <f>IF(ISNUMBER(F1893),E1893*F1893,"")</f>
        <v/>
      </c>
      <c r="H1893" s="35"/>
      <c r="I1893" s="31"/>
      <c r="J1893" s="155">
        <v>0</v>
      </c>
    </row>
    <row r="1894" spans="1:10" ht="15.75" hidden="1" thickBot="1" x14ac:dyDescent="0.3">
      <c r="A1894" s="180" t="s">
        <v>634</v>
      </c>
      <c r="B1894" s="186" t="str">
        <f>INDEX(Orçamentária!A:B,MATCH(Composições!A1894,Orçamentária!A:A,0),2)</f>
        <v>Difusor de ar retangular para insuflamento em uma direção 371x208 mm</v>
      </c>
      <c r="C1894" s="41"/>
      <c r="D1894" s="26" t="str">
        <f>TRIM(INDEX(Orçamentária!C:C,MATCH(Composições!A1894,Orçamentária!A:A,0),1))</f>
        <v>un</v>
      </c>
      <c r="E1894" s="27"/>
      <c r="F1894" s="42" t="s">
        <v>558</v>
      </c>
      <c r="G1894" s="28" t="str">
        <f>IF(ISNUMBER(F1894),E1894*F1894,"")</f>
        <v/>
      </c>
      <c r="H1894" s="29"/>
      <c r="I1894" s="30"/>
      <c r="J1894" s="155">
        <v>0</v>
      </c>
    </row>
    <row r="1895" spans="1:10" ht="15.75" hidden="1" thickBot="1" x14ac:dyDescent="0.3">
      <c r="A1895" s="200"/>
      <c r="B1895" s="202"/>
      <c r="C1895" s="32"/>
      <c r="D1895" s="32"/>
      <c r="E1895" s="33"/>
      <c r="F1895" s="43" t="s">
        <v>558</v>
      </c>
      <c r="G1895" s="31" t="str">
        <f>IF(ISNUMBER(F1895),E1895*F1895,"")</f>
        <v/>
      </c>
      <c r="H1895" s="35"/>
      <c r="I1895" s="31"/>
      <c r="J1895" s="155">
        <v>0</v>
      </c>
    </row>
    <row r="1896" spans="1:10" ht="15.75" hidden="1" thickBot="1" x14ac:dyDescent="0.3">
      <c r="A1896" s="200"/>
      <c r="B1896" s="202"/>
      <c r="C1896" s="36" t="s">
        <v>52</v>
      </c>
      <c r="D1896" s="47" t="s">
        <v>12</v>
      </c>
      <c r="E1896" s="37">
        <v>2.5</v>
      </c>
      <c r="F1896" s="31">
        <v>17.898</v>
      </c>
      <c r="G1896" s="31">
        <f>IF(ISNUMBER(F1896),E1896*F1896,"")</f>
        <v>44.744999999999997</v>
      </c>
      <c r="H1896" s="39">
        <f>SUM(G1896:G1898)</f>
        <v>104.07249999999999</v>
      </c>
      <c r="I1896" s="40"/>
      <c r="J1896" s="155">
        <v>0</v>
      </c>
    </row>
    <row r="1897" spans="1:10" ht="26.25" hidden="1" thickBot="1" x14ac:dyDescent="0.3">
      <c r="A1897" s="200"/>
      <c r="B1897" s="202"/>
      <c r="C1897" s="36" t="s">
        <v>606</v>
      </c>
      <c r="D1897" s="47" t="s">
        <v>12</v>
      </c>
      <c r="E1897" s="37">
        <v>2.5</v>
      </c>
      <c r="F1897" s="31">
        <v>23.730999999999998</v>
      </c>
      <c r="G1897" s="31">
        <f>IF(ISNUMBER(F1897),E1897*F1897,"")</f>
        <v>59.327499999999993</v>
      </c>
      <c r="H1897" s="35"/>
      <c r="I1897" s="31"/>
      <c r="J1897" s="155">
        <v>0</v>
      </c>
    </row>
    <row r="1898" spans="1:10" ht="39" hidden="1" thickBot="1" x14ac:dyDescent="0.3">
      <c r="A1898" s="200"/>
      <c r="B1898" s="202"/>
      <c r="C1898" s="36" t="s">
        <v>635</v>
      </c>
      <c r="D1898" s="36" t="s">
        <v>147</v>
      </c>
      <c r="E1898" s="37">
        <v>1</v>
      </c>
      <c r="F1898" s="34" t="s">
        <v>558</v>
      </c>
      <c r="G1898" s="31" t="str">
        <f>IF(ISNUMBER(F1898),E1898*F1898,"")</f>
        <v/>
      </c>
      <c r="H1898" s="35"/>
      <c r="I1898" s="31"/>
      <c r="J1898" s="155">
        <v>0</v>
      </c>
    </row>
    <row r="1899" spans="1:10" ht="15.75" hidden="1" thickBot="1" x14ac:dyDescent="0.3">
      <c r="A1899" s="201"/>
      <c r="B1899" s="188"/>
      <c r="C1899" s="36"/>
      <c r="D1899" s="36"/>
      <c r="E1899" s="37"/>
      <c r="F1899" s="31" t="s">
        <v>558</v>
      </c>
      <c r="G1899" s="31" t="str">
        <f>IF(ISNUMBER(F1899),E1899*F1899,"")</f>
        <v/>
      </c>
      <c r="H1899" s="35"/>
      <c r="I1899" s="31"/>
      <c r="J1899" s="155">
        <v>0</v>
      </c>
    </row>
    <row r="1900" spans="1:10" ht="15.75" hidden="1" thickBot="1" x14ac:dyDescent="0.3">
      <c r="A1900" s="180" t="s">
        <v>636</v>
      </c>
      <c r="B1900" s="186" t="str">
        <f>INDEX(Orçamentária!A:B,MATCH(Composições!A1900,Orçamentária!A:A,0),2)</f>
        <v>Grelha para retorno retangular 425x225 mm</v>
      </c>
      <c r="C1900" s="41"/>
      <c r="D1900" s="26" t="str">
        <f>TRIM(INDEX(Orçamentária!C:C,MATCH(Composições!A1900,Orçamentária!A:A,0),1))</f>
        <v>un</v>
      </c>
      <c r="E1900" s="27"/>
      <c r="F1900" s="42" t="s">
        <v>558</v>
      </c>
      <c r="G1900" s="28" t="str">
        <f>IF(ISNUMBER(F1900),E1900*F1900,"")</f>
        <v/>
      </c>
      <c r="H1900" s="29"/>
      <c r="I1900" s="30"/>
      <c r="J1900" s="155">
        <v>0</v>
      </c>
    </row>
    <row r="1901" spans="1:10" ht="15.75" hidden="1" thickBot="1" x14ac:dyDescent="0.3">
      <c r="A1901" s="200"/>
      <c r="B1901" s="202"/>
      <c r="C1901" s="32"/>
      <c r="D1901" s="32"/>
      <c r="E1901" s="33"/>
      <c r="F1901" s="43" t="s">
        <v>558</v>
      </c>
      <c r="G1901" s="31" t="str">
        <f>IF(ISNUMBER(F1901),E1901*F1901,"")</f>
        <v/>
      </c>
      <c r="H1901" s="35"/>
      <c r="I1901" s="31"/>
      <c r="J1901" s="155">
        <v>0</v>
      </c>
    </row>
    <row r="1902" spans="1:10" ht="15.75" hidden="1" thickBot="1" x14ac:dyDescent="0.3">
      <c r="A1902" s="200"/>
      <c r="B1902" s="202"/>
      <c r="C1902" s="36" t="s">
        <v>52</v>
      </c>
      <c r="D1902" s="47" t="s">
        <v>12</v>
      </c>
      <c r="E1902" s="37">
        <v>3.5</v>
      </c>
      <c r="F1902" s="31">
        <v>17.898</v>
      </c>
      <c r="G1902" s="34">
        <f>IF(ISNUMBER(F1902),E1902*F1902,"")</f>
        <v>62.643000000000001</v>
      </c>
      <c r="H1902" s="39">
        <f>SUM(G1902:G1904)</f>
        <v>145.70150000000001</v>
      </c>
      <c r="I1902" s="40"/>
      <c r="J1902" s="155">
        <v>0</v>
      </c>
    </row>
    <row r="1903" spans="1:10" ht="26.25" hidden="1" thickBot="1" x14ac:dyDescent="0.3">
      <c r="A1903" s="200"/>
      <c r="B1903" s="202"/>
      <c r="C1903" s="36" t="s">
        <v>606</v>
      </c>
      <c r="D1903" s="47" t="s">
        <v>12</v>
      </c>
      <c r="E1903" s="37">
        <v>3.5</v>
      </c>
      <c r="F1903" s="31">
        <v>23.730999999999998</v>
      </c>
      <c r="G1903" s="34">
        <f>IF(ISNUMBER(F1903),E1903*F1903,"")</f>
        <v>83.058499999999995</v>
      </c>
      <c r="H1903" s="35"/>
      <c r="I1903" s="31"/>
      <c r="J1903" s="155">
        <v>0</v>
      </c>
    </row>
    <row r="1904" spans="1:10" ht="15.75" hidden="1" thickBot="1" x14ac:dyDescent="0.3">
      <c r="A1904" s="200"/>
      <c r="B1904" s="202"/>
      <c r="C1904" s="36" t="s">
        <v>637</v>
      </c>
      <c r="D1904" s="36" t="s">
        <v>147</v>
      </c>
      <c r="E1904" s="37">
        <v>1</v>
      </c>
      <c r="F1904" s="34">
        <v>0</v>
      </c>
      <c r="G1904" s="34">
        <f>IF(ISNUMBER(F1904),E1904*F1904,"")</f>
        <v>0</v>
      </c>
      <c r="H1904" s="35"/>
      <c r="I1904" s="31"/>
      <c r="J1904" s="155">
        <v>0</v>
      </c>
    </row>
    <row r="1905" spans="1:10" ht="15.75" hidden="1" thickBot="1" x14ac:dyDescent="0.3">
      <c r="A1905" s="201"/>
      <c r="B1905" s="188"/>
      <c r="C1905" s="36"/>
      <c r="D1905" s="36"/>
      <c r="E1905" s="37"/>
      <c r="F1905" s="31" t="s">
        <v>558</v>
      </c>
      <c r="G1905" s="31" t="str">
        <f>IF(ISNUMBER(F1905),E1905*F1905,"")</f>
        <v/>
      </c>
      <c r="H1905" s="35"/>
      <c r="I1905" s="31"/>
      <c r="J1905" s="155">
        <v>0</v>
      </c>
    </row>
    <row r="1906" spans="1:10" ht="15.75" hidden="1" thickBot="1" x14ac:dyDescent="0.3">
      <c r="A1906" s="180" t="s">
        <v>638</v>
      </c>
      <c r="B1906" s="186" t="str">
        <f>INDEX(Orçamentária!A:B,MATCH(Composições!A1906,Orçamentária!A:A,0),2)</f>
        <v>Grelha para retorno retangular 525x325 mm</v>
      </c>
      <c r="C1906" s="41"/>
      <c r="D1906" s="26" t="str">
        <f>TRIM(INDEX(Orçamentária!C:C,MATCH(Composições!A1906,Orçamentária!A:A,0),1))</f>
        <v>un</v>
      </c>
      <c r="E1906" s="27"/>
      <c r="F1906" s="42" t="s">
        <v>558</v>
      </c>
      <c r="G1906" s="28" t="str">
        <f>IF(ISNUMBER(F1906),E1906*F1906,"")</f>
        <v/>
      </c>
      <c r="H1906" s="29"/>
      <c r="I1906" s="30"/>
      <c r="J1906" s="155">
        <v>0</v>
      </c>
    </row>
    <row r="1907" spans="1:10" ht="15.75" hidden="1" thickBot="1" x14ac:dyDescent="0.3">
      <c r="A1907" s="200"/>
      <c r="B1907" s="202"/>
      <c r="C1907" s="32"/>
      <c r="D1907" s="32"/>
      <c r="E1907" s="33"/>
      <c r="F1907" s="43" t="s">
        <v>558</v>
      </c>
      <c r="G1907" s="31" t="str">
        <f>IF(ISNUMBER(F1907),E1907*F1907,"")</f>
        <v/>
      </c>
      <c r="H1907" s="35"/>
      <c r="I1907" s="31"/>
      <c r="J1907" s="155">
        <v>0</v>
      </c>
    </row>
    <row r="1908" spans="1:10" ht="15.75" hidden="1" thickBot="1" x14ac:dyDescent="0.3">
      <c r="A1908" s="200"/>
      <c r="B1908" s="202"/>
      <c r="C1908" s="36" t="s">
        <v>52</v>
      </c>
      <c r="D1908" s="47" t="s">
        <v>12</v>
      </c>
      <c r="E1908" s="37">
        <v>3.5</v>
      </c>
      <c r="F1908" s="31">
        <v>17.898</v>
      </c>
      <c r="G1908" s="31">
        <f>IF(ISNUMBER(F1908),E1908*F1908,"")</f>
        <v>62.643000000000001</v>
      </c>
      <c r="H1908" s="39">
        <f>SUM(G1908:G1910)</f>
        <v>145.70150000000001</v>
      </c>
      <c r="I1908" s="40"/>
      <c r="J1908" s="155">
        <v>0</v>
      </c>
    </row>
    <row r="1909" spans="1:10" ht="26.25" hidden="1" thickBot="1" x14ac:dyDescent="0.3">
      <c r="A1909" s="200"/>
      <c r="B1909" s="202"/>
      <c r="C1909" s="36" t="s">
        <v>606</v>
      </c>
      <c r="D1909" s="47" t="s">
        <v>12</v>
      </c>
      <c r="E1909" s="37">
        <v>3.5</v>
      </c>
      <c r="F1909" s="31">
        <v>23.730999999999998</v>
      </c>
      <c r="G1909" s="31">
        <f>IF(ISNUMBER(F1909),E1909*F1909,"")</f>
        <v>83.058499999999995</v>
      </c>
      <c r="H1909" s="35"/>
      <c r="I1909" s="31"/>
      <c r="J1909" s="155">
        <v>0</v>
      </c>
    </row>
    <row r="1910" spans="1:10" ht="15.75" hidden="1" thickBot="1" x14ac:dyDescent="0.3">
      <c r="A1910" s="200"/>
      <c r="B1910" s="202"/>
      <c r="C1910" s="36" t="s">
        <v>639</v>
      </c>
      <c r="D1910" s="36" t="s">
        <v>147</v>
      </c>
      <c r="E1910" s="37">
        <v>1</v>
      </c>
      <c r="F1910" s="31">
        <v>0</v>
      </c>
      <c r="G1910" s="31">
        <f>IF(ISNUMBER(F1910),E1910*F1910,"")</f>
        <v>0</v>
      </c>
      <c r="H1910" s="35"/>
      <c r="I1910" s="31"/>
      <c r="J1910" s="155">
        <v>0</v>
      </c>
    </row>
    <row r="1911" spans="1:10" ht="15.75" hidden="1" thickBot="1" x14ac:dyDescent="0.3">
      <c r="A1911" s="201"/>
      <c r="B1911" s="188"/>
      <c r="C1911" s="36"/>
      <c r="D1911" s="36"/>
      <c r="E1911" s="37"/>
      <c r="F1911" s="31" t="s">
        <v>558</v>
      </c>
      <c r="G1911" s="31" t="str">
        <f>IF(ISNUMBER(F1911),E1911*F1911,"")</f>
        <v/>
      </c>
      <c r="H1911" s="35"/>
      <c r="I1911" s="31"/>
      <c r="J1911" s="155">
        <v>0</v>
      </c>
    </row>
    <row r="1912" spans="1:10" ht="15.75" hidden="1" thickBot="1" x14ac:dyDescent="0.3">
      <c r="A1912" s="180" t="s">
        <v>640</v>
      </c>
      <c r="B1912" s="186" t="str">
        <f>INDEX(Orçamentária!A:B,MATCH(Composições!A1912,Orçamentária!A:A,0),2)</f>
        <v>Instalação de difusores, grelhas e acessórios de climatização reaproveitados</v>
      </c>
      <c r="C1912" s="41"/>
      <c r="D1912" s="26" t="str">
        <f>TRIM(INDEX(Orçamentária!C:C,MATCH(Composições!A1912,Orçamentária!A:A,0),1))</f>
        <v>un</v>
      </c>
      <c r="E1912" s="27"/>
      <c r="F1912" s="42" t="s">
        <v>558</v>
      </c>
      <c r="G1912" s="28" t="str">
        <f>IF(ISNUMBER(F1912),E1912*F1912,"")</f>
        <v/>
      </c>
      <c r="H1912" s="29"/>
      <c r="I1912" s="30"/>
      <c r="J1912" s="155">
        <v>0</v>
      </c>
    </row>
    <row r="1913" spans="1:10" ht="15.75" hidden="1" thickBot="1" x14ac:dyDescent="0.3">
      <c r="A1913" s="200"/>
      <c r="B1913" s="202"/>
      <c r="C1913" s="32"/>
      <c r="D1913" s="32"/>
      <c r="E1913" s="33"/>
      <c r="F1913" s="43" t="s">
        <v>558</v>
      </c>
      <c r="G1913" s="31" t="str">
        <f>IF(ISNUMBER(F1913),E1913*F1913,"")</f>
        <v/>
      </c>
      <c r="H1913" s="35"/>
      <c r="I1913" s="31"/>
      <c r="J1913" s="155">
        <v>0</v>
      </c>
    </row>
    <row r="1914" spans="1:10" ht="15.75" hidden="1" thickBot="1" x14ac:dyDescent="0.3">
      <c r="A1914" s="200"/>
      <c r="B1914" s="202"/>
      <c r="C1914" s="36" t="s">
        <v>52</v>
      </c>
      <c r="D1914" s="47" t="s">
        <v>12</v>
      </c>
      <c r="E1914" s="37">
        <v>2.5</v>
      </c>
      <c r="F1914" s="31">
        <v>17.898</v>
      </c>
      <c r="G1914" s="31">
        <f>IF(ISNUMBER(F1914),E1914*F1914,"")</f>
        <v>44.744999999999997</v>
      </c>
      <c r="H1914" s="39">
        <f>SUM(G1914:G1915)</f>
        <v>104.07249999999999</v>
      </c>
      <c r="I1914" s="40"/>
      <c r="J1914" s="155">
        <v>0</v>
      </c>
    </row>
    <row r="1915" spans="1:10" ht="26.25" hidden="1" thickBot="1" x14ac:dyDescent="0.3">
      <c r="A1915" s="200"/>
      <c r="B1915" s="202"/>
      <c r="C1915" s="36" t="s">
        <v>606</v>
      </c>
      <c r="D1915" s="47" t="s">
        <v>12</v>
      </c>
      <c r="E1915" s="37">
        <v>2.5</v>
      </c>
      <c r="F1915" s="31">
        <v>23.730999999999998</v>
      </c>
      <c r="G1915" s="31">
        <f>IF(ISNUMBER(F1915),E1915*F1915,"")</f>
        <v>59.327499999999993</v>
      </c>
      <c r="H1915" s="35"/>
      <c r="I1915" s="31"/>
      <c r="J1915" s="155">
        <v>0</v>
      </c>
    </row>
    <row r="1916" spans="1:10" ht="15.75" hidden="1" thickBot="1" x14ac:dyDescent="0.3">
      <c r="A1916" s="201"/>
      <c r="B1916" s="188"/>
      <c r="C1916" s="36"/>
      <c r="D1916" s="36"/>
      <c r="E1916" s="37"/>
      <c r="F1916" s="31" t="s">
        <v>558</v>
      </c>
      <c r="G1916" s="31" t="str">
        <f>IF(ISNUMBER(F1916),E1916*F1916,"")</f>
        <v/>
      </c>
      <c r="H1916" s="35"/>
      <c r="I1916" s="31"/>
      <c r="J1916" s="155">
        <v>0</v>
      </c>
    </row>
    <row r="1917" spans="1:10" ht="15.75" hidden="1" thickBot="1" x14ac:dyDescent="0.3">
      <c r="A1917" s="180" t="s">
        <v>641</v>
      </c>
      <c r="B1917" s="186" t="str">
        <f>INDEX(Orçamentária!A:B,MATCH(Composições!A1917,Orçamentária!A:A,0),2)</f>
        <v>Instalação de exaustor reaproveitado</v>
      </c>
      <c r="C1917" s="41"/>
      <c r="D1917" s="26" t="str">
        <f>TRIM(INDEX(Orçamentária!C:C,MATCH(Composições!A1917,Orçamentária!A:A,0),1))</f>
        <v>un</v>
      </c>
      <c r="E1917" s="27"/>
      <c r="F1917" s="42" t="s">
        <v>558</v>
      </c>
      <c r="G1917" s="28" t="str">
        <f>IF(ISNUMBER(F1917),E1917*F1917,"")</f>
        <v/>
      </c>
      <c r="H1917" s="29"/>
      <c r="I1917" s="30"/>
      <c r="J1917" s="155">
        <v>0</v>
      </c>
    </row>
    <row r="1918" spans="1:10" ht="15.75" hidden="1" thickBot="1" x14ac:dyDescent="0.3">
      <c r="A1918" s="200"/>
      <c r="B1918" s="202"/>
      <c r="C1918" s="32"/>
      <c r="D1918" s="32"/>
      <c r="E1918" s="33"/>
      <c r="F1918" s="43" t="s">
        <v>558</v>
      </c>
      <c r="G1918" s="31" t="str">
        <f>IF(ISNUMBER(F1918),E1918*F1918,"")</f>
        <v/>
      </c>
      <c r="H1918" s="35"/>
      <c r="I1918" s="31"/>
      <c r="J1918" s="155">
        <v>0</v>
      </c>
    </row>
    <row r="1919" spans="1:10" ht="15.75" hidden="1" thickBot="1" x14ac:dyDescent="0.3">
      <c r="A1919" s="200"/>
      <c r="B1919" s="202"/>
      <c r="C1919" s="36" t="s">
        <v>30</v>
      </c>
      <c r="D1919" s="36" t="s">
        <v>12</v>
      </c>
      <c r="E1919" s="37">
        <v>1</v>
      </c>
      <c r="F1919" s="31">
        <v>22.895</v>
      </c>
      <c r="G1919" s="34">
        <f>IF(ISNUMBER(F1919),E1919*F1919,"")</f>
        <v>22.895</v>
      </c>
      <c r="H1919" s="39">
        <f>SUM(G1919:G1920)</f>
        <v>40.697999999999993</v>
      </c>
      <c r="I1919" s="40"/>
      <c r="J1919" s="155">
        <v>0</v>
      </c>
    </row>
    <row r="1920" spans="1:10" ht="15.75" hidden="1" thickBot="1" x14ac:dyDescent="0.3">
      <c r="A1920" s="200"/>
      <c r="B1920" s="202"/>
      <c r="C1920" s="36" t="s">
        <v>74</v>
      </c>
      <c r="D1920" s="47" t="s">
        <v>12</v>
      </c>
      <c r="E1920" s="37">
        <v>1</v>
      </c>
      <c r="F1920" s="31">
        <v>17.802999999999997</v>
      </c>
      <c r="G1920" s="34">
        <f>IF(ISNUMBER(F1920),E1920*F1920,"")</f>
        <v>17.802999999999997</v>
      </c>
      <c r="H1920" s="35"/>
      <c r="I1920" s="31"/>
      <c r="J1920" s="155">
        <v>0</v>
      </c>
    </row>
    <row r="1921" spans="1:10" ht="15.75" hidden="1" thickBot="1" x14ac:dyDescent="0.3">
      <c r="A1921" s="201"/>
      <c r="B1921" s="188"/>
      <c r="C1921" s="36"/>
      <c r="D1921" s="36"/>
      <c r="E1921" s="37"/>
      <c r="F1921" s="31" t="s">
        <v>558</v>
      </c>
      <c r="G1921" s="31" t="str">
        <f>IF(ISNUMBER(F1921),E1921*F1921,"")</f>
        <v/>
      </c>
      <c r="H1921" s="35"/>
      <c r="I1921" s="31"/>
      <c r="J1921" s="155">
        <v>0</v>
      </c>
    </row>
    <row r="1922" spans="1:10" ht="15.75" hidden="1" thickBot="1" x14ac:dyDescent="0.3">
      <c r="A1922" s="180" t="s">
        <v>642</v>
      </c>
      <c r="B1922" s="186" t="str">
        <f>INDEX(Orçamentária!A:B,MATCH(Composições!A1922,Orçamentária!A:A,0),2)</f>
        <v>Preparação para instalação de difusores/grelhas de ar em portas</v>
      </c>
      <c r="C1922" s="41"/>
      <c r="D1922" s="26" t="str">
        <f>TRIM(INDEX(Orçamentária!C:C,MATCH(Composições!A1922,Orçamentária!A:A,0),1))</f>
        <v>un</v>
      </c>
      <c r="E1922" s="27"/>
      <c r="F1922" s="42" t="s">
        <v>558</v>
      </c>
      <c r="G1922" s="28" t="str">
        <f>IF(ISNUMBER(F1922),E1922*F1922,"")</f>
        <v/>
      </c>
      <c r="H1922" s="29"/>
      <c r="I1922" s="30"/>
      <c r="J1922" s="155">
        <v>0</v>
      </c>
    </row>
    <row r="1923" spans="1:10" ht="15.75" hidden="1" thickBot="1" x14ac:dyDescent="0.3">
      <c r="A1923" s="200"/>
      <c r="B1923" s="202"/>
      <c r="C1923" s="32"/>
      <c r="D1923" s="32"/>
      <c r="E1923" s="33"/>
      <c r="F1923" s="43" t="s">
        <v>558</v>
      </c>
      <c r="G1923" s="31" t="str">
        <f>IF(ISNUMBER(F1923),E1923*F1923,"")</f>
        <v/>
      </c>
      <c r="H1923" s="35"/>
      <c r="I1923" s="31"/>
      <c r="J1923" s="155">
        <v>0</v>
      </c>
    </row>
    <row r="1924" spans="1:10" ht="15.75" hidden="1" thickBot="1" x14ac:dyDescent="0.3">
      <c r="A1924" s="200"/>
      <c r="B1924" s="202"/>
      <c r="C1924" s="36" t="s">
        <v>643</v>
      </c>
      <c r="D1924" s="36" t="s">
        <v>12</v>
      </c>
      <c r="E1924" s="37">
        <v>0.75</v>
      </c>
      <c r="F1924" s="31">
        <v>22.895</v>
      </c>
      <c r="G1924" s="34">
        <f>IF(ISNUMBER(F1924),E1924*F1924,"")</f>
        <v>17.171250000000001</v>
      </c>
      <c r="H1924" s="39">
        <f>SUM(G1924:G1925)</f>
        <v>31.392749999999999</v>
      </c>
      <c r="I1924" s="40"/>
      <c r="J1924" s="155">
        <v>0</v>
      </c>
    </row>
    <row r="1925" spans="1:10" ht="15.75" hidden="1" thickBot="1" x14ac:dyDescent="0.3">
      <c r="A1925" s="200"/>
      <c r="B1925" s="202"/>
      <c r="C1925" s="36" t="s">
        <v>130</v>
      </c>
      <c r="D1925" s="47" t="s">
        <v>12</v>
      </c>
      <c r="E1925" s="37">
        <v>0.75</v>
      </c>
      <c r="F1925" s="31">
        <v>18.962</v>
      </c>
      <c r="G1925" s="34">
        <f>IF(ISNUMBER(F1925),E1925*F1925,"")</f>
        <v>14.221499999999999</v>
      </c>
      <c r="H1925" s="35"/>
      <c r="I1925" s="31"/>
      <c r="J1925" s="155">
        <v>0</v>
      </c>
    </row>
    <row r="1926" spans="1:10" ht="15.75" hidden="1" thickBot="1" x14ac:dyDescent="0.3">
      <c r="A1926" s="201"/>
      <c r="B1926" s="188"/>
      <c r="C1926" s="36"/>
      <c r="D1926" s="36"/>
      <c r="E1926" s="37"/>
      <c r="F1926" s="31" t="s">
        <v>558</v>
      </c>
      <c r="G1926" s="31" t="str">
        <f>IF(ISNUMBER(F1926),E1926*F1926,"")</f>
        <v/>
      </c>
      <c r="H1926" s="35"/>
      <c r="I1926" s="31"/>
      <c r="J1926" s="155">
        <v>0</v>
      </c>
    </row>
    <row r="1927" spans="1:10" ht="15.75" hidden="1" thickBot="1" x14ac:dyDescent="0.3">
      <c r="A1927" s="180" t="s">
        <v>644</v>
      </c>
      <c r="B1927" s="186" t="str">
        <f>INDEX(Orçamentária!A:B,MATCH(Composições!A1927,Orçamentária!A:A,0),2)</f>
        <v>Bomba para condensado de ar-condicionado para instalação oculta</v>
      </c>
      <c r="C1927" s="41"/>
      <c r="D1927" s="26" t="str">
        <f>TRIM(INDEX(Orçamentária!C:C,MATCH(Composições!A1927,Orçamentária!A:A,0),1))</f>
        <v>un</v>
      </c>
      <c r="E1927" s="27"/>
      <c r="F1927" s="42" t="s">
        <v>558</v>
      </c>
      <c r="G1927" s="28" t="str">
        <f>IF(ISNUMBER(F1927),E1927*F1927,"")</f>
        <v/>
      </c>
      <c r="H1927" s="29"/>
      <c r="I1927" s="30"/>
      <c r="J1927" s="155">
        <v>0</v>
      </c>
    </row>
    <row r="1928" spans="1:10" ht="15.75" hidden="1" thickBot="1" x14ac:dyDescent="0.3">
      <c r="A1928" s="200"/>
      <c r="B1928" s="202"/>
      <c r="C1928" s="32"/>
      <c r="D1928" s="32"/>
      <c r="E1928" s="33"/>
      <c r="F1928" s="43" t="s">
        <v>558</v>
      </c>
      <c r="G1928" s="31" t="str">
        <f>IF(ISNUMBER(F1928),E1928*F1928,"")</f>
        <v/>
      </c>
      <c r="H1928" s="35"/>
      <c r="I1928" s="31"/>
      <c r="J1928" s="155">
        <v>0</v>
      </c>
    </row>
    <row r="1929" spans="1:10" ht="15.75" hidden="1" thickBot="1" x14ac:dyDescent="0.3">
      <c r="A1929" s="200"/>
      <c r="B1929" s="202"/>
      <c r="C1929" s="36" t="s">
        <v>74</v>
      </c>
      <c r="D1929" s="36" t="s">
        <v>12</v>
      </c>
      <c r="E1929" s="37">
        <v>1</v>
      </c>
      <c r="F1929" s="31">
        <v>17.802999999999997</v>
      </c>
      <c r="G1929" s="34">
        <f>IF(ISNUMBER(F1929),E1929*F1929,"")</f>
        <v>17.802999999999997</v>
      </c>
      <c r="H1929" s="39">
        <f>SUM(G1929:G1931)</f>
        <v>40.697999999999993</v>
      </c>
      <c r="I1929" s="40"/>
      <c r="J1929" s="155">
        <v>0</v>
      </c>
    </row>
    <row r="1930" spans="1:10" ht="15.75" hidden="1" thickBot="1" x14ac:dyDescent="0.3">
      <c r="A1930" s="200"/>
      <c r="B1930" s="202"/>
      <c r="C1930" s="36" t="s">
        <v>30</v>
      </c>
      <c r="D1930" s="36" t="s">
        <v>12</v>
      </c>
      <c r="E1930" s="37">
        <v>1</v>
      </c>
      <c r="F1930" s="31">
        <v>22.895</v>
      </c>
      <c r="G1930" s="34">
        <f>IF(ISNUMBER(F1930),E1930*F1930,"")</f>
        <v>22.895</v>
      </c>
      <c r="H1930" s="35"/>
      <c r="I1930" s="31"/>
      <c r="J1930" s="155">
        <v>0</v>
      </c>
    </row>
    <row r="1931" spans="1:10" ht="26.25" hidden="1" thickBot="1" x14ac:dyDescent="0.3">
      <c r="A1931" s="200"/>
      <c r="B1931" s="202"/>
      <c r="C1931" s="36" t="s">
        <v>645</v>
      </c>
      <c r="D1931" s="36" t="s">
        <v>20</v>
      </c>
      <c r="E1931" s="37">
        <v>1</v>
      </c>
      <c r="F1931" s="34" t="s">
        <v>558</v>
      </c>
      <c r="G1931" s="31" t="str">
        <f>IF(ISNUMBER(F1931),E1931*F1931,"")</f>
        <v/>
      </c>
      <c r="H1931" s="35"/>
      <c r="I1931" s="31"/>
      <c r="J1931" s="155">
        <v>0</v>
      </c>
    </row>
    <row r="1932" spans="1:10" ht="15.75" hidden="1" thickBot="1" x14ac:dyDescent="0.3">
      <c r="A1932" s="201"/>
      <c r="B1932" s="188"/>
      <c r="C1932" s="36"/>
      <c r="D1932" s="36"/>
      <c r="E1932" s="37"/>
      <c r="F1932" s="31" t="s">
        <v>558</v>
      </c>
      <c r="G1932" s="31" t="str">
        <f>IF(ISNUMBER(F1932),E1932*F1932,"")</f>
        <v/>
      </c>
      <c r="H1932" s="35"/>
      <c r="I1932" s="31"/>
      <c r="J1932" s="155">
        <v>0</v>
      </c>
    </row>
    <row r="1933" spans="1:10" ht="15.75" hidden="1" thickBot="1" x14ac:dyDescent="0.3">
      <c r="A1933" s="180" t="s">
        <v>646</v>
      </c>
      <c r="B1933" s="186" t="str">
        <f>INDEX(Orçamentária!A:B,MATCH(Composições!A1933,Orçamentária!A:A,0),2)</f>
        <v>Fita aluminizada para refrigeração 48 mm</v>
      </c>
      <c r="C1933" s="41"/>
      <c r="D1933" s="26" t="str">
        <f>TRIM(INDEX(Orçamentária!C:C,MATCH(Composições!A1933,Orçamentária!A:A,0),1))</f>
        <v>m</v>
      </c>
      <c r="E1933" s="27"/>
      <c r="F1933" s="42" t="s">
        <v>558</v>
      </c>
      <c r="G1933" s="28" t="str">
        <f>IF(ISNUMBER(F1933),E1933*F1933,"")</f>
        <v/>
      </c>
      <c r="H1933" s="29"/>
      <c r="I1933" s="30"/>
      <c r="J1933" s="155">
        <v>0</v>
      </c>
    </row>
    <row r="1934" spans="1:10" ht="15.75" hidden="1" thickBot="1" x14ac:dyDescent="0.3">
      <c r="A1934" s="200"/>
      <c r="B1934" s="202"/>
      <c r="C1934" s="32"/>
      <c r="D1934" s="32"/>
      <c r="E1934" s="33"/>
      <c r="F1934" s="43" t="s">
        <v>558</v>
      </c>
      <c r="G1934" s="31" t="str">
        <f>IF(ISNUMBER(F1934),E1934*F1934,"")</f>
        <v/>
      </c>
      <c r="H1934" s="35"/>
      <c r="I1934" s="31"/>
      <c r="J1934" s="155">
        <v>0</v>
      </c>
    </row>
    <row r="1935" spans="1:10" ht="15.75" hidden="1" thickBot="1" x14ac:dyDescent="0.3">
      <c r="A1935" s="200"/>
      <c r="B1935" s="202"/>
      <c r="C1935" s="36" t="s">
        <v>52</v>
      </c>
      <c r="D1935" s="47" t="s">
        <v>12</v>
      </c>
      <c r="E1935" s="37">
        <v>0.05</v>
      </c>
      <c r="F1935" s="31">
        <v>17.898</v>
      </c>
      <c r="G1935" s="31">
        <f>IF(ISNUMBER(F1935),E1935*F1935,"")</f>
        <v>0.89490000000000003</v>
      </c>
      <c r="H1935" s="39">
        <f>SUM(G1935:G1936)</f>
        <v>0.89490000000000003</v>
      </c>
      <c r="I1935" s="40"/>
      <c r="J1935" s="155">
        <v>0</v>
      </c>
    </row>
    <row r="1936" spans="1:10" ht="15.75" hidden="1" thickBot="1" x14ac:dyDescent="0.3">
      <c r="A1936" s="200"/>
      <c r="B1936" s="202"/>
      <c r="C1936" s="36" t="s">
        <v>647</v>
      </c>
      <c r="D1936" s="47" t="s">
        <v>93</v>
      </c>
      <c r="E1936" s="37">
        <v>1</v>
      </c>
      <c r="F1936" s="31" t="s">
        <v>558</v>
      </c>
      <c r="G1936" s="31" t="str">
        <f>IF(ISNUMBER(F1936),E1936*F1936,"")</f>
        <v/>
      </c>
      <c r="H1936" s="35"/>
      <c r="I1936" s="31"/>
      <c r="J1936" s="155">
        <v>0</v>
      </c>
    </row>
    <row r="1937" spans="1:10" ht="15.75" hidden="1" thickBot="1" x14ac:dyDescent="0.3">
      <c r="A1937" s="201"/>
      <c r="B1937" s="188"/>
      <c r="C1937" s="36"/>
      <c r="D1937" s="36"/>
      <c r="E1937" s="37"/>
      <c r="F1937" s="31" t="s">
        <v>558</v>
      </c>
      <c r="G1937" s="31" t="str">
        <f>IF(ISNUMBER(F1937),E1937*F1937,"")</f>
        <v/>
      </c>
      <c r="H1937" s="35"/>
      <c r="I1937" s="31"/>
      <c r="J1937" s="155">
        <v>0</v>
      </c>
    </row>
    <row r="1938" spans="1:10" ht="15.75" hidden="1" thickBot="1" x14ac:dyDescent="0.3">
      <c r="A1938" s="180" t="s">
        <v>648</v>
      </c>
      <c r="B1938" s="186" t="str">
        <f>INDEX(Orçamentária!A:B,MATCH(Composições!A1938,Orçamentária!A:A,0),2)</f>
        <v>Fita PVC 100 mm para acabamento em refrigeração</v>
      </c>
      <c r="C1938" s="41"/>
      <c r="D1938" s="26" t="str">
        <f>TRIM(INDEX(Orçamentária!C:C,MATCH(Composições!A1938,Orçamentária!A:A,0),1))</f>
        <v>m</v>
      </c>
      <c r="E1938" s="27"/>
      <c r="F1938" s="42" t="s">
        <v>558</v>
      </c>
      <c r="G1938" s="28" t="str">
        <f>IF(ISNUMBER(F1938),E1938*F1938,"")</f>
        <v/>
      </c>
      <c r="H1938" s="29"/>
      <c r="I1938" s="30"/>
      <c r="J1938" s="155">
        <v>0</v>
      </c>
    </row>
    <row r="1939" spans="1:10" ht="15.75" hidden="1" thickBot="1" x14ac:dyDescent="0.3">
      <c r="A1939" s="200"/>
      <c r="B1939" s="202"/>
      <c r="C1939" s="32"/>
      <c r="D1939" s="32"/>
      <c r="E1939" s="33"/>
      <c r="F1939" s="43" t="s">
        <v>558</v>
      </c>
      <c r="G1939" s="31" t="str">
        <f>IF(ISNUMBER(F1939),E1939*F1939,"")</f>
        <v/>
      </c>
      <c r="H1939" s="35"/>
      <c r="I1939" s="31"/>
      <c r="J1939" s="155">
        <v>0</v>
      </c>
    </row>
    <row r="1940" spans="1:10" ht="15.75" hidden="1" thickBot="1" x14ac:dyDescent="0.3">
      <c r="A1940" s="200"/>
      <c r="B1940" s="202"/>
      <c r="C1940" s="36" t="s">
        <v>52</v>
      </c>
      <c r="D1940" s="47" t="s">
        <v>12</v>
      </c>
      <c r="E1940" s="37">
        <v>0.05</v>
      </c>
      <c r="F1940" s="31">
        <v>17.898</v>
      </c>
      <c r="G1940" s="31">
        <f>IF(ISNUMBER(F1940),E1940*F1940,"")</f>
        <v>0.89490000000000003</v>
      </c>
      <c r="H1940" s="39">
        <f>SUM(G1940:G1941)</f>
        <v>0.89490000000000003</v>
      </c>
      <c r="I1940" s="40"/>
      <c r="J1940" s="155">
        <v>0</v>
      </c>
    </row>
    <row r="1941" spans="1:10" ht="15.75" hidden="1" thickBot="1" x14ac:dyDescent="0.3">
      <c r="A1941" s="200"/>
      <c r="B1941" s="202"/>
      <c r="C1941" s="36" t="s">
        <v>649</v>
      </c>
      <c r="D1941" s="47" t="s">
        <v>93</v>
      </c>
      <c r="E1941" s="37">
        <v>1</v>
      </c>
      <c r="F1941" s="31" t="s">
        <v>558</v>
      </c>
      <c r="G1941" s="31" t="str">
        <f>IF(ISNUMBER(F1941),E1941*F1941,"")</f>
        <v/>
      </c>
      <c r="H1941" s="35"/>
      <c r="I1941" s="31"/>
      <c r="J1941" s="155">
        <v>0</v>
      </c>
    </row>
    <row r="1942" spans="1:10" ht="15.75" hidden="1" thickBot="1" x14ac:dyDescent="0.3">
      <c r="A1942" s="201"/>
      <c r="B1942" s="188"/>
      <c r="C1942" s="36"/>
      <c r="D1942" s="36"/>
      <c r="E1942" s="37"/>
      <c r="F1942" s="31" t="s">
        <v>558</v>
      </c>
      <c r="G1942" s="31" t="str">
        <f>IF(ISNUMBER(F1942),E1942*F1942,"")</f>
        <v/>
      </c>
      <c r="H1942" s="35"/>
      <c r="I1942" s="31"/>
      <c r="J1942" s="155">
        <v>0</v>
      </c>
    </row>
    <row r="1943" spans="1:10" ht="15.75" hidden="1" thickBot="1" x14ac:dyDescent="0.3">
      <c r="A1943" s="180" t="s">
        <v>650</v>
      </c>
      <c r="B1943" s="186" t="str">
        <f>INDEX(Orçamentária!A:B,MATCH(Composições!A1943,Orçamentária!A:A,0),2)</f>
        <v>Mangueira emborrachada 3/4" para água gelada</v>
      </c>
      <c r="C1943" s="41"/>
      <c r="D1943" s="26" t="str">
        <f>TRIM(INDEX(Orçamentária!C:C,MATCH(Composições!A1943,Orçamentária!A:A,0),1))</f>
        <v>m</v>
      </c>
      <c r="E1943" s="27"/>
      <c r="F1943" s="42" t="s">
        <v>558</v>
      </c>
      <c r="G1943" s="28" t="str">
        <f>IF(ISNUMBER(F1943),E1943*F1943,"")</f>
        <v/>
      </c>
      <c r="H1943" s="29"/>
      <c r="I1943" s="30"/>
      <c r="J1943" s="155">
        <v>0</v>
      </c>
    </row>
    <row r="1944" spans="1:10" ht="15.75" hidden="1" thickBot="1" x14ac:dyDescent="0.3">
      <c r="A1944" s="200"/>
      <c r="B1944" s="202"/>
      <c r="C1944" s="32"/>
      <c r="D1944" s="32"/>
      <c r="E1944" s="33"/>
      <c r="F1944" s="43" t="s">
        <v>558</v>
      </c>
      <c r="G1944" s="31" t="str">
        <f>IF(ISNUMBER(F1944),E1944*F1944,"")</f>
        <v/>
      </c>
      <c r="H1944" s="35"/>
      <c r="I1944" s="31"/>
      <c r="J1944" s="155">
        <v>0</v>
      </c>
    </row>
    <row r="1945" spans="1:10" ht="15.75" hidden="1" thickBot="1" x14ac:dyDescent="0.3">
      <c r="A1945" s="200"/>
      <c r="B1945" s="202"/>
      <c r="C1945" s="36" t="s">
        <v>52</v>
      </c>
      <c r="D1945" s="47" t="s">
        <v>12</v>
      </c>
      <c r="E1945" s="37">
        <v>0.05</v>
      </c>
      <c r="F1945" s="31">
        <v>17.898</v>
      </c>
      <c r="G1945" s="31">
        <f>IF(ISNUMBER(F1945),E1945*F1945,"")</f>
        <v>0.89490000000000003</v>
      </c>
      <c r="H1945" s="39">
        <f>SUM(G1945:G1946)</f>
        <v>0.89490000000000003</v>
      </c>
      <c r="I1945" s="40"/>
      <c r="J1945" s="155">
        <v>0</v>
      </c>
    </row>
    <row r="1946" spans="1:10" ht="15.75" hidden="1" thickBot="1" x14ac:dyDescent="0.3">
      <c r="A1946" s="200"/>
      <c r="B1946" s="202"/>
      <c r="C1946" s="36" t="s">
        <v>651</v>
      </c>
      <c r="D1946" s="47" t="s">
        <v>93</v>
      </c>
      <c r="E1946" s="37">
        <v>1</v>
      </c>
      <c r="F1946" s="31" t="s">
        <v>558</v>
      </c>
      <c r="G1946" s="31" t="str">
        <f>IF(ISNUMBER(F1946),E1946*F1946,"")</f>
        <v/>
      </c>
      <c r="H1946" s="35"/>
      <c r="I1946" s="31"/>
      <c r="J1946" s="155">
        <v>0</v>
      </c>
    </row>
    <row r="1947" spans="1:10" ht="15.75" hidden="1" thickBot="1" x14ac:dyDescent="0.3">
      <c r="A1947" s="201"/>
      <c r="B1947" s="188"/>
      <c r="C1947" s="36"/>
      <c r="D1947" s="36"/>
      <c r="E1947" s="37"/>
      <c r="F1947" s="31" t="s">
        <v>558</v>
      </c>
      <c r="G1947" s="31" t="str">
        <f>IF(ISNUMBER(F1947),E1947*F1947,"")</f>
        <v/>
      </c>
      <c r="H1947" s="35"/>
      <c r="I1947" s="31"/>
      <c r="J1947" s="155">
        <v>0</v>
      </c>
    </row>
    <row r="1948" spans="1:10" ht="15.75" hidden="1" thickBot="1" x14ac:dyDescent="0.3">
      <c r="A1948" s="180" t="s">
        <v>652</v>
      </c>
      <c r="B1948" s="186" t="str">
        <f>INDEX(Orçamentária!A:B,MATCH(Composições!A1948,Orçamentária!A:A,0),2)</f>
        <v>Suporte para unidade condensadora de aparelho split</v>
      </c>
      <c r="C1948" s="41"/>
      <c r="D1948" s="26" t="str">
        <f>TRIM(INDEX(Orçamentária!C:C,MATCH(Composições!A1948,Orçamentária!A:A,0),1))</f>
        <v>un</v>
      </c>
      <c r="E1948" s="27"/>
      <c r="F1948" s="42" t="s">
        <v>558</v>
      </c>
      <c r="G1948" s="28" t="str">
        <f>IF(ISNUMBER(F1948),E1948*F1948,"")</f>
        <v/>
      </c>
      <c r="H1948" s="29"/>
      <c r="I1948" s="30"/>
      <c r="J1948" s="155">
        <v>0</v>
      </c>
    </row>
    <row r="1949" spans="1:10" ht="15.75" hidden="1" thickBot="1" x14ac:dyDescent="0.3">
      <c r="A1949" s="200"/>
      <c r="B1949" s="202"/>
      <c r="C1949" s="32"/>
      <c r="D1949" s="32"/>
      <c r="E1949" s="33"/>
      <c r="F1949" s="43" t="s">
        <v>558</v>
      </c>
      <c r="G1949" s="31" t="str">
        <f>IF(ISNUMBER(F1949),E1949*F1949,"")</f>
        <v/>
      </c>
      <c r="H1949" s="35"/>
      <c r="I1949" s="31"/>
      <c r="J1949" s="155">
        <v>0</v>
      </c>
    </row>
    <row r="1950" spans="1:10" ht="15.75" hidden="1" thickBot="1" x14ac:dyDescent="0.3">
      <c r="A1950" s="200"/>
      <c r="B1950" s="202"/>
      <c r="C1950" s="36" t="s">
        <v>653</v>
      </c>
      <c r="D1950" s="47" t="s">
        <v>12</v>
      </c>
      <c r="E1950" s="37">
        <v>0.85099999999999998</v>
      </c>
      <c r="F1950" s="31">
        <v>22.591000000000001</v>
      </c>
      <c r="G1950" s="34">
        <f>IF(ISNUMBER(F1950),E1950*F1950,"")</f>
        <v>19.224941000000001</v>
      </c>
      <c r="H1950" s="39">
        <f>SUM(G1950:G1952)</f>
        <v>34.836110499999997</v>
      </c>
      <c r="I1950" s="40"/>
      <c r="J1950" s="155">
        <v>0</v>
      </c>
    </row>
    <row r="1951" spans="1:10" ht="15.75" hidden="1" thickBot="1" x14ac:dyDescent="0.3">
      <c r="A1951" s="200"/>
      <c r="B1951" s="202"/>
      <c r="C1951" s="36" t="s">
        <v>654</v>
      </c>
      <c r="D1951" s="47" t="s">
        <v>12</v>
      </c>
      <c r="E1951" s="37">
        <v>0.85099999999999998</v>
      </c>
      <c r="F1951" s="31">
        <v>18.344499999999996</v>
      </c>
      <c r="G1951" s="34">
        <f>IF(ISNUMBER(F1951),E1951*F1951,"")</f>
        <v>15.611169499999997</v>
      </c>
      <c r="H1951" s="35"/>
      <c r="I1951" s="31"/>
      <c r="J1951" s="155">
        <v>0</v>
      </c>
    </row>
    <row r="1952" spans="1:10" ht="15.75" hidden="1" thickBot="1" x14ac:dyDescent="0.3">
      <c r="A1952" s="200"/>
      <c r="B1952" s="202"/>
      <c r="C1952" s="36" t="s">
        <v>655</v>
      </c>
      <c r="D1952" s="36" t="s">
        <v>147</v>
      </c>
      <c r="E1952" s="37">
        <v>1</v>
      </c>
      <c r="F1952" s="34" t="s">
        <v>558</v>
      </c>
      <c r="G1952" s="34" t="str">
        <f>IF(ISNUMBER(F1952),E1952*F1952,"")</f>
        <v/>
      </c>
      <c r="H1952" s="35"/>
      <c r="I1952" s="31"/>
      <c r="J1952" s="155">
        <v>0</v>
      </c>
    </row>
    <row r="1953" spans="1:10" ht="15.75" hidden="1" thickBot="1" x14ac:dyDescent="0.3">
      <c r="A1953" s="201"/>
      <c r="B1953" s="188"/>
      <c r="C1953" s="36"/>
      <c r="D1953" s="36"/>
      <c r="E1953" s="37"/>
      <c r="F1953" s="31" t="s">
        <v>558</v>
      </c>
      <c r="G1953" s="31" t="str">
        <f>IF(ISNUMBER(F1953),E1953*F1953,"")</f>
        <v/>
      </c>
      <c r="H1953" s="35"/>
      <c r="I1953" s="31"/>
      <c r="J1953" s="155">
        <v>0</v>
      </c>
    </row>
    <row r="1954" spans="1:10" ht="15.75" hidden="1" thickBot="1" x14ac:dyDescent="0.3">
      <c r="A1954" s="180" t="s">
        <v>656</v>
      </c>
      <c r="B1954" s="186" t="str">
        <f>INDEX(Orçamentária!A:B,MATCH(Composições!A1954,Orçamentária!A:A,0),2)</f>
        <v>Suporte para unidade evaporadora de aparelho split ou fancolete</v>
      </c>
      <c r="C1954" s="41"/>
      <c r="D1954" s="26" t="str">
        <f>TRIM(INDEX(Orçamentária!C:C,MATCH(Composições!A1954,Orçamentária!A:A,0),1))</f>
        <v>un</v>
      </c>
      <c r="E1954" s="27"/>
      <c r="F1954" s="42" t="s">
        <v>558</v>
      </c>
      <c r="G1954" s="28" t="str">
        <f>IF(ISNUMBER(F1954),E1954*F1954,"")</f>
        <v/>
      </c>
      <c r="H1954" s="29"/>
      <c r="I1954" s="30"/>
      <c r="J1954" s="155">
        <v>0</v>
      </c>
    </row>
    <row r="1955" spans="1:10" ht="15.75" hidden="1" thickBot="1" x14ac:dyDescent="0.3">
      <c r="A1955" s="200"/>
      <c r="B1955" s="202"/>
      <c r="C1955" s="32"/>
      <c r="D1955" s="32"/>
      <c r="E1955" s="33"/>
      <c r="F1955" s="43" t="s">
        <v>558</v>
      </c>
      <c r="G1955" s="31" t="str">
        <f>IF(ISNUMBER(F1955),E1955*F1955,"")</f>
        <v/>
      </c>
      <c r="H1955" s="35"/>
      <c r="I1955" s="31"/>
      <c r="J1955" s="155">
        <v>0</v>
      </c>
    </row>
    <row r="1956" spans="1:10" ht="15.75" hidden="1" thickBot="1" x14ac:dyDescent="0.3">
      <c r="A1956" s="200"/>
      <c r="B1956" s="202"/>
      <c r="C1956" s="36" t="s">
        <v>653</v>
      </c>
      <c r="D1956" s="47" t="s">
        <v>12</v>
      </c>
      <c r="E1956" s="37">
        <v>0.85099999999999998</v>
      </c>
      <c r="F1956" s="31">
        <v>22.591000000000001</v>
      </c>
      <c r="G1956" s="34">
        <f>IF(ISNUMBER(F1956),E1956*F1956,"")</f>
        <v>19.224941000000001</v>
      </c>
      <c r="H1956" s="39">
        <f>SUM(G1956:G1958)</f>
        <v>34.836110499999997</v>
      </c>
      <c r="I1956" s="40"/>
      <c r="J1956" s="155">
        <v>0</v>
      </c>
    </row>
    <row r="1957" spans="1:10" ht="15.75" hidden="1" thickBot="1" x14ac:dyDescent="0.3">
      <c r="A1957" s="200"/>
      <c r="B1957" s="202"/>
      <c r="C1957" s="36" t="s">
        <v>654</v>
      </c>
      <c r="D1957" s="47" t="s">
        <v>12</v>
      </c>
      <c r="E1957" s="37">
        <v>0.85099999999999998</v>
      </c>
      <c r="F1957" s="31">
        <v>18.344499999999996</v>
      </c>
      <c r="G1957" s="34">
        <f>IF(ISNUMBER(F1957),E1957*F1957,"")</f>
        <v>15.611169499999997</v>
      </c>
      <c r="H1957" s="35"/>
      <c r="I1957" s="31"/>
      <c r="J1957" s="155">
        <v>0</v>
      </c>
    </row>
    <row r="1958" spans="1:10" ht="15.75" hidden="1" thickBot="1" x14ac:dyDescent="0.3">
      <c r="A1958" s="200"/>
      <c r="B1958" s="202"/>
      <c r="C1958" s="36" t="s">
        <v>657</v>
      </c>
      <c r="D1958" s="36" t="s">
        <v>147</v>
      </c>
      <c r="E1958" s="37">
        <v>1</v>
      </c>
      <c r="F1958" s="34" t="s">
        <v>558</v>
      </c>
      <c r="G1958" s="34" t="str">
        <f>IF(ISNUMBER(F1958),E1958*F1958,"")</f>
        <v/>
      </c>
      <c r="H1958" s="35"/>
      <c r="I1958" s="31"/>
      <c r="J1958" s="155">
        <v>0</v>
      </c>
    </row>
    <row r="1959" spans="1:10" ht="15.75" hidden="1" thickBot="1" x14ac:dyDescent="0.3">
      <c r="A1959" s="201"/>
      <c r="B1959" s="188"/>
      <c r="C1959" s="36"/>
      <c r="D1959" s="36"/>
      <c r="E1959" s="37"/>
      <c r="F1959" s="31" t="s">
        <v>558</v>
      </c>
      <c r="G1959" s="31" t="str">
        <f>IF(ISNUMBER(F1959),E1959*F1959,"")</f>
        <v/>
      </c>
      <c r="H1959" s="35"/>
      <c r="I1959" s="31"/>
      <c r="J1959" s="155">
        <v>0</v>
      </c>
    </row>
    <row r="1960" spans="1:10" ht="15.75" hidden="1" thickBot="1" x14ac:dyDescent="0.3">
      <c r="A1960" s="180" t="s">
        <v>658</v>
      </c>
      <c r="B1960" s="186" t="str">
        <f>INDEX(Orçamentária!A:B,MATCH(Composições!A1960,Orçamentária!A:A,0),2)</f>
        <v>Filtro em Y 1"</v>
      </c>
      <c r="C1960" s="41"/>
      <c r="D1960" s="26" t="str">
        <f>TRIM(INDEX(Orçamentária!C:C,MATCH(Composições!A1960,Orçamentária!A:A,0),1))</f>
        <v>un</v>
      </c>
      <c r="E1960" s="27"/>
      <c r="F1960" s="42" t="s">
        <v>558</v>
      </c>
      <c r="G1960" s="28" t="str">
        <f>IF(ISNUMBER(F1960),E1960*F1960,"")</f>
        <v/>
      </c>
      <c r="H1960" s="29"/>
      <c r="I1960" s="30"/>
      <c r="J1960" s="155">
        <v>0</v>
      </c>
    </row>
    <row r="1961" spans="1:10" ht="15.75" hidden="1" thickBot="1" x14ac:dyDescent="0.3">
      <c r="A1961" s="200"/>
      <c r="B1961" s="202"/>
      <c r="C1961" s="32"/>
      <c r="D1961" s="32"/>
      <c r="E1961" s="33"/>
      <c r="F1961" s="43" t="s">
        <v>558</v>
      </c>
      <c r="G1961" s="31" t="str">
        <f>IF(ISNUMBER(F1961),E1961*F1961,"")</f>
        <v/>
      </c>
      <c r="H1961" s="35"/>
      <c r="I1961" s="31"/>
      <c r="J1961" s="155">
        <v>0</v>
      </c>
    </row>
    <row r="1962" spans="1:10" ht="26.25" hidden="1" thickBot="1" x14ac:dyDescent="0.3">
      <c r="A1962" s="200"/>
      <c r="B1962" s="202"/>
      <c r="C1962" s="36" t="s">
        <v>108</v>
      </c>
      <c r="D1962" s="47" t="s">
        <v>12</v>
      </c>
      <c r="E1962" s="37">
        <v>0.77449999999999997</v>
      </c>
      <c r="F1962" s="31">
        <v>17.3185</v>
      </c>
      <c r="G1962" s="31">
        <f>IF(ISNUMBER(F1962),E1962*F1962,"")</f>
        <v>13.41317825</v>
      </c>
      <c r="H1962" s="39">
        <f>SUM(G1962:G1965)</f>
        <v>30.759418249999996</v>
      </c>
      <c r="I1962" s="40"/>
      <c r="J1962" s="155">
        <v>0</v>
      </c>
    </row>
    <row r="1963" spans="1:10" ht="15.75" hidden="1" thickBot="1" x14ac:dyDescent="0.3">
      <c r="A1963" s="200"/>
      <c r="B1963" s="202"/>
      <c r="C1963" s="36" t="s">
        <v>39</v>
      </c>
      <c r="D1963" s="47" t="s">
        <v>12</v>
      </c>
      <c r="E1963" s="37">
        <v>0.77449999999999997</v>
      </c>
      <c r="F1963" s="31">
        <v>22.2395</v>
      </c>
      <c r="G1963" s="31">
        <f>IF(ISNUMBER(F1963),E1963*F1963,"")</f>
        <v>17.22449275</v>
      </c>
      <c r="H1963" s="35"/>
      <c r="I1963" s="31"/>
      <c r="J1963" s="155">
        <v>0</v>
      </c>
    </row>
    <row r="1964" spans="1:10" ht="39" hidden="1" thickBot="1" x14ac:dyDescent="0.3">
      <c r="A1964" s="200"/>
      <c r="B1964" s="202"/>
      <c r="C1964" s="36" t="s">
        <v>659</v>
      </c>
      <c r="D1964" s="36" t="s">
        <v>147</v>
      </c>
      <c r="E1964" s="37">
        <v>1</v>
      </c>
      <c r="F1964" s="34" t="s">
        <v>558</v>
      </c>
      <c r="G1964" s="31" t="str">
        <f>IF(ISNUMBER(F1964),E1964*F1964,"")</f>
        <v/>
      </c>
      <c r="H1964" s="35"/>
      <c r="I1964" s="31"/>
      <c r="J1964" s="155">
        <v>0</v>
      </c>
    </row>
    <row r="1965" spans="1:10" ht="15.75" hidden="1" thickBot="1" x14ac:dyDescent="0.3">
      <c r="A1965" s="200"/>
      <c r="B1965" s="202"/>
      <c r="C1965" s="36" t="s">
        <v>408</v>
      </c>
      <c r="D1965" s="47" t="s">
        <v>292</v>
      </c>
      <c r="E1965" s="37">
        <v>9.4999999999999998E-3</v>
      </c>
      <c r="F1965" s="34">
        <v>12.8155</v>
      </c>
      <c r="G1965" s="31">
        <f>IF(ISNUMBER(F1965),E1965*F1965,"")</f>
        <v>0.12174725</v>
      </c>
      <c r="H1965" s="35"/>
      <c r="I1965" s="31"/>
      <c r="J1965" s="155">
        <v>0</v>
      </c>
    </row>
    <row r="1966" spans="1:10" ht="15.75" hidden="1" thickBot="1" x14ac:dyDescent="0.3">
      <c r="A1966" s="201"/>
      <c r="B1966" s="188"/>
      <c r="C1966" s="36"/>
      <c r="D1966" s="36"/>
      <c r="E1966" s="37"/>
      <c r="F1966" s="31" t="s">
        <v>558</v>
      </c>
      <c r="G1966" s="31" t="str">
        <f>IF(ISNUMBER(F1966),E1966*F1966,"")</f>
        <v/>
      </c>
      <c r="H1966" s="35"/>
      <c r="I1966" s="31"/>
      <c r="J1966" s="155">
        <v>0</v>
      </c>
    </row>
    <row r="1967" spans="1:10" ht="15.75" hidden="1" thickBot="1" x14ac:dyDescent="0.3">
      <c r="A1967" s="180" t="s">
        <v>660</v>
      </c>
      <c r="B1967" s="186" t="str">
        <f>INDEX(Orçamentária!A:B,MATCH(Composições!A1967,Orçamentária!A:A,0),2)</f>
        <v>Filtro em Y 3/4"</v>
      </c>
      <c r="C1967" s="41"/>
      <c r="D1967" s="26" t="str">
        <f>TRIM(INDEX(Orçamentária!C:C,MATCH(Composições!A1967,Orçamentária!A:A,0),1))</f>
        <v>un</v>
      </c>
      <c r="E1967" s="27"/>
      <c r="F1967" s="42" t="s">
        <v>558</v>
      </c>
      <c r="G1967" s="28" t="str">
        <f>IF(ISNUMBER(F1967),E1967*F1967,"")</f>
        <v/>
      </c>
      <c r="H1967" s="29"/>
      <c r="I1967" s="30"/>
      <c r="J1967" s="155">
        <v>0</v>
      </c>
    </row>
    <row r="1968" spans="1:10" ht="15.75" hidden="1" thickBot="1" x14ac:dyDescent="0.3">
      <c r="A1968" s="200"/>
      <c r="B1968" s="202"/>
      <c r="C1968" s="32"/>
      <c r="D1968" s="32"/>
      <c r="E1968" s="33"/>
      <c r="F1968" s="43" t="s">
        <v>558</v>
      </c>
      <c r="G1968" s="31" t="str">
        <f>IF(ISNUMBER(F1968),E1968*F1968,"")</f>
        <v/>
      </c>
      <c r="H1968" s="35"/>
      <c r="I1968" s="31"/>
      <c r="J1968" s="155">
        <v>0</v>
      </c>
    </row>
    <row r="1969" spans="1:10" ht="26.25" hidden="1" thickBot="1" x14ac:dyDescent="0.3">
      <c r="A1969" s="200"/>
      <c r="B1969" s="202"/>
      <c r="C1969" s="36" t="s">
        <v>108</v>
      </c>
      <c r="D1969" s="47" t="s">
        <v>12</v>
      </c>
      <c r="E1969" s="37">
        <v>0.77449999999999997</v>
      </c>
      <c r="F1969" s="31">
        <v>17.3185</v>
      </c>
      <c r="G1969" s="31">
        <f>IF(ISNUMBER(F1969),E1969*F1969,"")</f>
        <v>13.41317825</v>
      </c>
      <c r="H1969" s="39">
        <f>SUM(G1969:G1972)</f>
        <v>30.759418249999996</v>
      </c>
      <c r="I1969" s="40"/>
      <c r="J1969" s="155">
        <v>0</v>
      </c>
    </row>
    <row r="1970" spans="1:10" ht="15.75" hidden="1" thickBot="1" x14ac:dyDescent="0.3">
      <c r="A1970" s="200"/>
      <c r="B1970" s="202"/>
      <c r="C1970" s="36" t="s">
        <v>39</v>
      </c>
      <c r="D1970" s="47" t="s">
        <v>12</v>
      </c>
      <c r="E1970" s="37">
        <v>0.77449999999999997</v>
      </c>
      <c r="F1970" s="31">
        <v>22.2395</v>
      </c>
      <c r="G1970" s="31">
        <f>IF(ISNUMBER(F1970),E1970*F1970,"")</f>
        <v>17.22449275</v>
      </c>
      <c r="H1970" s="35"/>
      <c r="I1970" s="31"/>
      <c r="J1970" s="155">
        <v>0</v>
      </c>
    </row>
    <row r="1971" spans="1:10" ht="39" hidden="1" thickBot="1" x14ac:dyDescent="0.3">
      <c r="A1971" s="200"/>
      <c r="B1971" s="202"/>
      <c r="C1971" s="36" t="s">
        <v>661</v>
      </c>
      <c r="D1971" s="36" t="s">
        <v>147</v>
      </c>
      <c r="E1971" s="37">
        <v>1</v>
      </c>
      <c r="F1971" s="34" t="s">
        <v>558</v>
      </c>
      <c r="G1971" s="31" t="str">
        <f>IF(ISNUMBER(F1971),E1971*F1971,"")</f>
        <v/>
      </c>
      <c r="H1971" s="35"/>
      <c r="I1971" s="31"/>
      <c r="J1971" s="155">
        <v>0</v>
      </c>
    </row>
    <row r="1972" spans="1:10" ht="15.75" hidden="1" thickBot="1" x14ac:dyDescent="0.3">
      <c r="A1972" s="200"/>
      <c r="B1972" s="202"/>
      <c r="C1972" s="36" t="s">
        <v>408</v>
      </c>
      <c r="D1972" s="47" t="s">
        <v>292</v>
      </c>
      <c r="E1972" s="37">
        <v>9.4999999999999998E-3</v>
      </c>
      <c r="F1972" s="34">
        <v>12.8155</v>
      </c>
      <c r="G1972" s="31">
        <f>IF(ISNUMBER(F1972),E1972*F1972,"")</f>
        <v>0.12174725</v>
      </c>
      <c r="H1972" s="35"/>
      <c r="I1972" s="31"/>
      <c r="J1972" s="155">
        <v>0</v>
      </c>
    </row>
    <row r="1973" spans="1:10" ht="15.75" hidden="1" thickBot="1" x14ac:dyDescent="0.3">
      <c r="A1973" s="201"/>
      <c r="B1973" s="188"/>
      <c r="C1973" s="36"/>
      <c r="D1973" s="36"/>
      <c r="E1973" s="37"/>
      <c r="F1973" s="31" t="s">
        <v>558</v>
      </c>
      <c r="G1973" s="31" t="str">
        <f>IF(ISNUMBER(F1973),E1973*F1973,"")</f>
        <v/>
      </c>
      <c r="H1973" s="35"/>
      <c r="I1973" s="31"/>
      <c r="J1973" s="155">
        <v>0</v>
      </c>
    </row>
    <row r="1974" spans="1:10" ht="15.75" hidden="1" thickBot="1" x14ac:dyDescent="0.3">
      <c r="A1974" s="180" t="s">
        <v>662</v>
      </c>
      <c r="B1974" s="186" t="str">
        <f>INDEX(Orçamentária!A:B,MATCH(Composições!A1974,Orçamentária!A:A,0),2)</f>
        <v>Válvula de balanceamento e controle independente da pressão (PIBCV) 2 vias 1"</v>
      </c>
      <c r="C1974" s="41"/>
      <c r="D1974" s="26" t="str">
        <f>TRIM(INDEX(Orçamentária!C:C,MATCH(Composições!A1974,Orçamentária!A:A,0),1))</f>
        <v>un</v>
      </c>
      <c r="E1974" s="27"/>
      <c r="F1974" s="42" t="s">
        <v>558</v>
      </c>
      <c r="G1974" s="28" t="str">
        <f>IF(ISNUMBER(F1974),E1974*F1974,"")</f>
        <v/>
      </c>
      <c r="H1974" s="29"/>
      <c r="I1974" s="30"/>
      <c r="J1974" s="155">
        <v>0</v>
      </c>
    </row>
    <row r="1975" spans="1:10" ht="15.75" hidden="1" thickBot="1" x14ac:dyDescent="0.3">
      <c r="A1975" s="200"/>
      <c r="B1975" s="202"/>
      <c r="C1975" s="32"/>
      <c r="D1975" s="32"/>
      <c r="E1975" s="33"/>
      <c r="F1975" s="43" t="s">
        <v>558</v>
      </c>
      <c r="G1975" s="31" t="str">
        <f>IF(ISNUMBER(F1975),E1975*F1975,"")</f>
        <v/>
      </c>
      <c r="H1975" s="35"/>
      <c r="I1975" s="31"/>
      <c r="J1975" s="155">
        <v>0</v>
      </c>
    </row>
    <row r="1976" spans="1:10" ht="26.25" hidden="1" thickBot="1" x14ac:dyDescent="0.3">
      <c r="A1976" s="200"/>
      <c r="B1976" s="202"/>
      <c r="C1976" s="36" t="s">
        <v>108</v>
      </c>
      <c r="D1976" s="47" t="s">
        <v>12</v>
      </c>
      <c r="E1976" s="37">
        <v>0.77449999999999997</v>
      </c>
      <c r="F1976" s="31">
        <v>17.3185</v>
      </c>
      <c r="G1976" s="31">
        <f>IF(ISNUMBER(F1976),E1976*F1976,"")</f>
        <v>13.41317825</v>
      </c>
      <c r="H1976" s="39">
        <f>SUM(G1976:G1980)</f>
        <v>30.759418249999996</v>
      </c>
      <c r="I1976" s="40"/>
      <c r="J1976" s="155">
        <v>0</v>
      </c>
    </row>
    <row r="1977" spans="1:10" ht="15.75" hidden="1" thickBot="1" x14ac:dyDescent="0.3">
      <c r="A1977" s="200"/>
      <c r="B1977" s="202"/>
      <c r="C1977" s="36" t="s">
        <v>39</v>
      </c>
      <c r="D1977" s="47" t="s">
        <v>12</v>
      </c>
      <c r="E1977" s="37">
        <v>0.77449999999999997</v>
      </c>
      <c r="F1977" s="31">
        <v>22.2395</v>
      </c>
      <c r="G1977" s="31">
        <f>IF(ISNUMBER(F1977),E1977*F1977,"")</f>
        <v>17.22449275</v>
      </c>
      <c r="H1977" s="35"/>
      <c r="I1977" s="31"/>
      <c r="J1977" s="155">
        <v>0</v>
      </c>
    </row>
    <row r="1978" spans="1:10" ht="15.75" hidden="1" thickBot="1" x14ac:dyDescent="0.3">
      <c r="A1978" s="200"/>
      <c r="B1978" s="202"/>
      <c r="C1978" s="36" t="s">
        <v>408</v>
      </c>
      <c r="D1978" s="47" t="s">
        <v>292</v>
      </c>
      <c r="E1978" s="37">
        <v>9.4999999999999998E-3</v>
      </c>
      <c r="F1978" s="34">
        <v>12.8155</v>
      </c>
      <c r="G1978" s="31">
        <f>IF(ISNUMBER(F1978),E1978*F1978,"")</f>
        <v>0.12174725</v>
      </c>
      <c r="H1978" s="35"/>
      <c r="I1978" s="31"/>
      <c r="J1978" s="155">
        <v>0</v>
      </c>
    </row>
    <row r="1979" spans="1:10" ht="39" hidden="1" thickBot="1" x14ac:dyDescent="0.3">
      <c r="A1979" s="200"/>
      <c r="B1979" s="202"/>
      <c r="C1979" s="36" t="s">
        <v>663</v>
      </c>
      <c r="D1979" s="36" t="s">
        <v>147</v>
      </c>
      <c r="E1979" s="37">
        <v>1</v>
      </c>
      <c r="F1979" s="34" t="s">
        <v>558</v>
      </c>
      <c r="G1979" s="31" t="str">
        <f>IF(ISNUMBER(F1979),E1979*F1979,"")</f>
        <v/>
      </c>
      <c r="H1979" s="35"/>
      <c r="I1979" s="31"/>
      <c r="J1979" s="155">
        <v>0</v>
      </c>
    </row>
    <row r="1980" spans="1:10" ht="39" hidden="1" thickBot="1" x14ac:dyDescent="0.3">
      <c r="A1980" s="200"/>
      <c r="B1980" s="202"/>
      <c r="C1980" s="36" t="s">
        <v>664</v>
      </c>
      <c r="D1980" s="36" t="s">
        <v>147</v>
      </c>
      <c r="E1980" s="37">
        <v>1</v>
      </c>
      <c r="F1980" s="34" t="s">
        <v>558</v>
      </c>
      <c r="G1980" s="31" t="str">
        <f>IF(ISNUMBER(F1980),E1980*F1980,"")</f>
        <v/>
      </c>
      <c r="H1980" s="35"/>
      <c r="I1980" s="31"/>
      <c r="J1980" s="155">
        <v>0</v>
      </c>
    </row>
    <row r="1981" spans="1:10" ht="15.75" hidden="1" thickBot="1" x14ac:dyDescent="0.3">
      <c r="A1981" s="201"/>
      <c r="B1981" s="188"/>
      <c r="C1981" s="36"/>
      <c r="D1981" s="36"/>
      <c r="E1981" s="37"/>
      <c r="F1981" s="31" t="s">
        <v>558</v>
      </c>
      <c r="G1981" s="31" t="str">
        <f>IF(ISNUMBER(F1981),E1981*F1981,"")</f>
        <v/>
      </c>
      <c r="H1981" s="35"/>
      <c r="I1981" s="31"/>
      <c r="J1981" s="155">
        <v>0</v>
      </c>
    </row>
    <row r="1982" spans="1:10" ht="15.75" hidden="1" thickBot="1" x14ac:dyDescent="0.3">
      <c r="A1982" s="180" t="s">
        <v>665</v>
      </c>
      <c r="B1982" s="186" t="str">
        <f>INDEX(Orçamentária!A:B,MATCH(Composições!A1982,Orçamentária!A:A,0),2)</f>
        <v>Válvula de balanceamento e controle independente da pressão (PIBCV) 2 vias 3/4"</v>
      </c>
      <c r="C1982" s="41"/>
      <c r="D1982" s="26" t="str">
        <f>TRIM(INDEX(Orçamentária!C:C,MATCH(Composições!A1982,Orçamentária!A:A,0),1))</f>
        <v>un</v>
      </c>
      <c r="E1982" s="27"/>
      <c r="F1982" s="42" t="s">
        <v>558</v>
      </c>
      <c r="G1982" s="28" t="str">
        <f>IF(ISNUMBER(F1982),E1982*F1982,"")</f>
        <v/>
      </c>
      <c r="H1982" s="29"/>
      <c r="I1982" s="30"/>
      <c r="J1982" s="155">
        <v>0</v>
      </c>
    </row>
    <row r="1983" spans="1:10" ht="15.75" hidden="1" thickBot="1" x14ac:dyDescent="0.3">
      <c r="A1983" s="200"/>
      <c r="B1983" s="202"/>
      <c r="C1983" s="32"/>
      <c r="D1983" s="32"/>
      <c r="E1983" s="33"/>
      <c r="F1983" s="43" t="s">
        <v>558</v>
      </c>
      <c r="G1983" s="31" t="str">
        <f>IF(ISNUMBER(F1983),E1983*F1983,"")</f>
        <v/>
      </c>
      <c r="H1983" s="35"/>
      <c r="I1983" s="31"/>
      <c r="J1983" s="155">
        <v>0</v>
      </c>
    </row>
    <row r="1984" spans="1:10" ht="26.25" hidden="1" thickBot="1" x14ac:dyDescent="0.3">
      <c r="A1984" s="200"/>
      <c r="B1984" s="202"/>
      <c r="C1984" s="36" t="s">
        <v>108</v>
      </c>
      <c r="D1984" s="47" t="s">
        <v>12</v>
      </c>
      <c r="E1984" s="37">
        <v>0.77449999999999997</v>
      </c>
      <c r="F1984" s="31">
        <v>17.3185</v>
      </c>
      <c r="G1984" s="31">
        <f>IF(ISNUMBER(F1984),E1984*F1984,"")</f>
        <v>13.41317825</v>
      </c>
      <c r="H1984" s="39">
        <f>SUM(G1984:G1988)</f>
        <v>30.759418249999996</v>
      </c>
      <c r="I1984" s="40"/>
      <c r="J1984" s="155">
        <v>0</v>
      </c>
    </row>
    <row r="1985" spans="1:10" ht="15.75" hidden="1" thickBot="1" x14ac:dyDescent="0.3">
      <c r="A1985" s="200"/>
      <c r="B1985" s="202"/>
      <c r="C1985" s="36" t="s">
        <v>39</v>
      </c>
      <c r="D1985" s="47" t="s">
        <v>12</v>
      </c>
      <c r="E1985" s="37">
        <v>0.77449999999999997</v>
      </c>
      <c r="F1985" s="31">
        <v>22.2395</v>
      </c>
      <c r="G1985" s="31">
        <f>IF(ISNUMBER(F1985),E1985*F1985,"")</f>
        <v>17.22449275</v>
      </c>
      <c r="H1985" s="35"/>
      <c r="I1985" s="31"/>
      <c r="J1985" s="155">
        <v>0</v>
      </c>
    </row>
    <row r="1986" spans="1:10" ht="15.75" hidden="1" thickBot="1" x14ac:dyDescent="0.3">
      <c r="A1986" s="200"/>
      <c r="B1986" s="202"/>
      <c r="C1986" s="36" t="s">
        <v>408</v>
      </c>
      <c r="D1986" s="47" t="s">
        <v>292</v>
      </c>
      <c r="E1986" s="37">
        <v>9.4999999999999998E-3</v>
      </c>
      <c r="F1986" s="34">
        <v>12.8155</v>
      </c>
      <c r="G1986" s="31">
        <f>IF(ISNUMBER(F1986),E1986*F1986,"")</f>
        <v>0.12174725</v>
      </c>
      <c r="H1986" s="35"/>
      <c r="I1986" s="31"/>
      <c r="J1986" s="155">
        <v>0</v>
      </c>
    </row>
    <row r="1987" spans="1:10" ht="39" hidden="1" thickBot="1" x14ac:dyDescent="0.3">
      <c r="A1987" s="200"/>
      <c r="B1987" s="202"/>
      <c r="C1987" s="36" t="s">
        <v>663</v>
      </c>
      <c r="D1987" s="36" t="s">
        <v>147</v>
      </c>
      <c r="E1987" s="37">
        <v>1</v>
      </c>
      <c r="F1987" s="34" t="s">
        <v>558</v>
      </c>
      <c r="G1987" s="31" t="str">
        <f>IF(ISNUMBER(F1987),E1987*F1987,"")</f>
        <v/>
      </c>
      <c r="H1987" s="35"/>
      <c r="I1987" s="31"/>
      <c r="J1987" s="155">
        <v>0</v>
      </c>
    </row>
    <row r="1988" spans="1:10" ht="39" hidden="1" thickBot="1" x14ac:dyDescent="0.3">
      <c r="A1988" s="200"/>
      <c r="B1988" s="202"/>
      <c r="C1988" s="36" t="s">
        <v>666</v>
      </c>
      <c r="D1988" s="36" t="s">
        <v>147</v>
      </c>
      <c r="E1988" s="37">
        <v>1</v>
      </c>
      <c r="F1988" s="34" t="s">
        <v>558</v>
      </c>
      <c r="G1988" s="31" t="str">
        <f>IF(ISNUMBER(F1988),E1988*F1988,"")</f>
        <v/>
      </c>
      <c r="H1988" s="35"/>
      <c r="I1988" s="31"/>
      <c r="J1988" s="155">
        <v>0</v>
      </c>
    </row>
    <row r="1989" spans="1:10" ht="15.75" hidden="1" thickBot="1" x14ac:dyDescent="0.3">
      <c r="A1989" s="201"/>
      <c r="B1989" s="188"/>
      <c r="C1989" s="36"/>
      <c r="D1989" s="36"/>
      <c r="E1989" s="37"/>
      <c r="F1989" s="31" t="s">
        <v>558</v>
      </c>
      <c r="G1989" s="31" t="str">
        <f>IF(ISNUMBER(F1989),E1989*F1989,"")</f>
        <v/>
      </c>
      <c r="H1989" s="35"/>
      <c r="I1989" s="31"/>
      <c r="J1989" s="155">
        <v>0</v>
      </c>
    </row>
    <row r="1990" spans="1:10" ht="15.75" hidden="1" thickBot="1" x14ac:dyDescent="0.3">
      <c r="A1990" s="180" t="s">
        <v>667</v>
      </c>
      <c r="B1990" s="186" t="str">
        <f>INDEX(Orçamentária!A:B,MATCH(Composições!A1990,Orçamentária!A:A,0),2)</f>
        <v>Válvula de esfera em bronze 1 1/2"</v>
      </c>
      <c r="C1990" s="41"/>
      <c r="D1990" s="26" t="str">
        <f>TRIM(INDEX(Orçamentária!C:C,MATCH(Composições!A1990,Orçamentária!A:A,0),1))</f>
        <v>un</v>
      </c>
      <c r="E1990" s="27"/>
      <c r="F1990" s="42" t="s">
        <v>558</v>
      </c>
      <c r="G1990" s="28" t="str">
        <f>IF(ISNUMBER(F1990),E1990*F1990,"")</f>
        <v/>
      </c>
      <c r="H1990" s="29"/>
      <c r="I1990" s="30"/>
      <c r="J1990" s="155">
        <v>0</v>
      </c>
    </row>
    <row r="1991" spans="1:10" ht="15.75" hidden="1" thickBot="1" x14ac:dyDescent="0.3">
      <c r="A1991" s="200"/>
      <c r="B1991" s="202"/>
      <c r="C1991" s="32"/>
      <c r="D1991" s="32"/>
      <c r="E1991" s="33"/>
      <c r="F1991" s="43" t="s">
        <v>558</v>
      </c>
      <c r="G1991" s="31" t="str">
        <f>IF(ISNUMBER(F1991),E1991*F1991,"")</f>
        <v/>
      </c>
      <c r="H1991" s="35"/>
      <c r="I1991" s="31"/>
      <c r="J1991" s="155">
        <v>0</v>
      </c>
    </row>
    <row r="1992" spans="1:10" ht="15.75" hidden="1" thickBot="1" x14ac:dyDescent="0.3">
      <c r="A1992" s="200"/>
      <c r="B1992" s="202"/>
      <c r="C1992" s="36" t="s">
        <v>408</v>
      </c>
      <c r="D1992" s="47" t="s">
        <v>292</v>
      </c>
      <c r="E1992" s="37">
        <v>1.9E-2</v>
      </c>
      <c r="F1992" s="34">
        <v>12.8155</v>
      </c>
      <c r="G1992" s="31">
        <f>IF(ISNUMBER(F1992),E1992*F1992,"")</f>
        <v>0.2434945</v>
      </c>
      <c r="H1992" s="39">
        <f>SUM(G1992:G1995)</f>
        <v>155.21125649999999</v>
      </c>
      <c r="I1992" s="40"/>
      <c r="J1992" s="155">
        <v>0</v>
      </c>
    </row>
    <row r="1993" spans="1:10" ht="26.25" hidden="1" thickBot="1" x14ac:dyDescent="0.3">
      <c r="A1993" s="200"/>
      <c r="B1993" s="202"/>
      <c r="C1993" s="36" t="s">
        <v>668</v>
      </c>
      <c r="D1993" s="47" t="s">
        <v>20</v>
      </c>
      <c r="E1993" s="37">
        <v>1</v>
      </c>
      <c r="F1993" s="34">
        <v>123.7565</v>
      </c>
      <c r="G1993" s="31">
        <f>IF(ISNUMBER(F1993),E1993*F1993,"")</f>
        <v>123.7565</v>
      </c>
      <c r="H1993" s="35"/>
      <c r="I1993" s="31"/>
      <c r="J1993" s="155">
        <v>0</v>
      </c>
    </row>
    <row r="1994" spans="1:10" ht="26.25" hidden="1" thickBot="1" x14ac:dyDescent="0.3">
      <c r="A1994" s="200"/>
      <c r="B1994" s="202"/>
      <c r="C1994" s="36" t="s">
        <v>108</v>
      </c>
      <c r="D1994" s="47" t="s">
        <v>12</v>
      </c>
      <c r="E1994" s="37">
        <v>0.78900000000000003</v>
      </c>
      <c r="F1994" s="31">
        <v>17.3185</v>
      </c>
      <c r="G1994" s="34">
        <f>IF(ISNUMBER(F1994),E1994*F1994,"")</f>
        <v>13.664296500000001</v>
      </c>
      <c r="H1994" s="35"/>
      <c r="I1994" s="31"/>
      <c r="J1994" s="155">
        <v>0</v>
      </c>
    </row>
    <row r="1995" spans="1:10" ht="15.75" hidden="1" thickBot="1" x14ac:dyDescent="0.3">
      <c r="A1995" s="200"/>
      <c r="B1995" s="202"/>
      <c r="C1995" s="36" t="s">
        <v>39</v>
      </c>
      <c r="D1995" s="47" t="s">
        <v>12</v>
      </c>
      <c r="E1995" s="37">
        <v>0.78900000000000003</v>
      </c>
      <c r="F1995" s="31">
        <v>22.2395</v>
      </c>
      <c r="G1995" s="34">
        <f>IF(ISNUMBER(F1995),E1995*F1995,"")</f>
        <v>17.546965499999999</v>
      </c>
      <c r="H1995" s="35"/>
      <c r="I1995" s="31"/>
      <c r="J1995" s="155">
        <v>0</v>
      </c>
    </row>
    <row r="1996" spans="1:10" ht="15.75" hidden="1" thickBot="1" x14ac:dyDescent="0.3">
      <c r="A1996" s="201"/>
      <c r="B1996" s="188"/>
      <c r="C1996" s="36"/>
      <c r="D1996" s="36"/>
      <c r="E1996" s="37"/>
      <c r="F1996" s="31" t="s">
        <v>558</v>
      </c>
      <c r="G1996" s="31" t="str">
        <f>IF(ISNUMBER(F1996),E1996*F1996,"")</f>
        <v/>
      </c>
      <c r="H1996" s="35"/>
      <c r="I1996" s="31"/>
      <c r="J1996" s="155">
        <v>0</v>
      </c>
    </row>
    <row r="1997" spans="1:10" ht="15.75" hidden="1" thickBot="1" x14ac:dyDescent="0.3">
      <c r="A1997" s="180" t="s">
        <v>669</v>
      </c>
      <c r="B1997" s="186" t="str">
        <f>INDEX(Orçamentária!A:B,MATCH(Composições!A1997,Orçamentária!A:A,0),2)</f>
        <v>Válvula de esfera em bronze 1 1/4"</v>
      </c>
      <c r="C1997" s="41"/>
      <c r="D1997" s="26" t="str">
        <f>TRIM(INDEX(Orçamentária!C:C,MATCH(Composições!A1997,Orçamentária!A:A,0),1))</f>
        <v>un</v>
      </c>
      <c r="E1997" s="27"/>
      <c r="F1997" s="42" t="s">
        <v>558</v>
      </c>
      <c r="G1997" s="28" t="str">
        <f>IF(ISNUMBER(F1997),E1997*F1997,"")</f>
        <v/>
      </c>
      <c r="H1997" s="29"/>
      <c r="I1997" s="30"/>
      <c r="J1997" s="155">
        <v>0</v>
      </c>
    </row>
    <row r="1998" spans="1:10" ht="15.75" hidden="1" thickBot="1" x14ac:dyDescent="0.3">
      <c r="A1998" s="200"/>
      <c r="B1998" s="202"/>
      <c r="C1998" s="32"/>
      <c r="D1998" s="32"/>
      <c r="E1998" s="33"/>
      <c r="F1998" s="43" t="s">
        <v>558</v>
      </c>
      <c r="G1998" s="31" t="str">
        <f>IF(ISNUMBER(F1998),E1998*F1998,"")</f>
        <v/>
      </c>
      <c r="H1998" s="35"/>
      <c r="I1998" s="31"/>
      <c r="J1998" s="155">
        <v>0</v>
      </c>
    </row>
    <row r="1999" spans="1:10" ht="15.75" hidden="1" thickBot="1" x14ac:dyDescent="0.3">
      <c r="A1999" s="200"/>
      <c r="B1999" s="202"/>
      <c r="C1999" s="36" t="s">
        <v>408</v>
      </c>
      <c r="D1999" s="47" t="s">
        <v>292</v>
      </c>
      <c r="E1999" s="37">
        <v>1.9E-2</v>
      </c>
      <c r="F1999" s="34">
        <v>12.8155</v>
      </c>
      <c r="G1999" s="31">
        <f>IF(ISNUMBER(F1999),E1999*F1999,"")</f>
        <v>0.2434945</v>
      </c>
      <c r="H1999" s="39">
        <f>SUM(G1999:G2002)</f>
        <v>134.1497565</v>
      </c>
      <c r="I1999" s="40"/>
      <c r="J1999" s="155">
        <v>0</v>
      </c>
    </row>
    <row r="2000" spans="1:10" ht="26.25" hidden="1" thickBot="1" x14ac:dyDescent="0.3">
      <c r="A2000" s="200"/>
      <c r="B2000" s="202"/>
      <c r="C2000" s="36" t="s">
        <v>670</v>
      </c>
      <c r="D2000" s="47" t="s">
        <v>20</v>
      </c>
      <c r="E2000" s="37">
        <v>1</v>
      </c>
      <c r="F2000" s="34">
        <v>102.69499999999999</v>
      </c>
      <c r="G2000" s="31">
        <f>IF(ISNUMBER(F2000),E2000*F2000,"")</f>
        <v>102.69499999999999</v>
      </c>
      <c r="H2000" s="35"/>
      <c r="I2000" s="31"/>
      <c r="J2000" s="155">
        <v>0</v>
      </c>
    </row>
    <row r="2001" spans="1:10" ht="26.25" hidden="1" thickBot="1" x14ac:dyDescent="0.3">
      <c r="A2001" s="200"/>
      <c r="B2001" s="202"/>
      <c r="C2001" s="36" t="s">
        <v>108</v>
      </c>
      <c r="D2001" s="47" t="s">
        <v>12</v>
      </c>
      <c r="E2001" s="37">
        <v>0.78900000000000003</v>
      </c>
      <c r="F2001" s="31">
        <v>17.3185</v>
      </c>
      <c r="G2001" s="34">
        <f>IF(ISNUMBER(F2001),E2001*F2001,"")</f>
        <v>13.664296500000001</v>
      </c>
      <c r="H2001" s="35"/>
      <c r="I2001" s="31"/>
      <c r="J2001" s="155">
        <v>0</v>
      </c>
    </row>
    <row r="2002" spans="1:10" ht="15.75" hidden="1" thickBot="1" x14ac:dyDescent="0.3">
      <c r="A2002" s="200"/>
      <c r="B2002" s="202"/>
      <c r="C2002" s="36" t="s">
        <v>39</v>
      </c>
      <c r="D2002" s="47" t="s">
        <v>12</v>
      </c>
      <c r="E2002" s="37">
        <v>0.78900000000000003</v>
      </c>
      <c r="F2002" s="31">
        <v>22.2395</v>
      </c>
      <c r="G2002" s="34">
        <f>IF(ISNUMBER(F2002),E2002*F2002,"")</f>
        <v>17.546965499999999</v>
      </c>
      <c r="H2002" s="35"/>
      <c r="I2002" s="31"/>
      <c r="J2002" s="155">
        <v>0</v>
      </c>
    </row>
    <row r="2003" spans="1:10" ht="15.75" hidden="1" thickBot="1" x14ac:dyDescent="0.3">
      <c r="A2003" s="201"/>
      <c r="B2003" s="188"/>
      <c r="C2003" s="36"/>
      <c r="D2003" s="36"/>
      <c r="E2003" s="37"/>
      <c r="F2003" s="31" t="s">
        <v>558</v>
      </c>
      <c r="G2003" s="31" t="str">
        <f>IF(ISNUMBER(F2003),E2003*F2003,"")</f>
        <v/>
      </c>
      <c r="H2003" s="35"/>
      <c r="I2003" s="31"/>
      <c r="J2003" s="155">
        <v>0</v>
      </c>
    </row>
    <row r="2004" spans="1:10" ht="15.75" hidden="1" thickBot="1" x14ac:dyDescent="0.3">
      <c r="A2004" s="180" t="s">
        <v>671</v>
      </c>
      <c r="B2004" s="186" t="str">
        <f>INDEX(Orçamentária!A:B,MATCH(Composições!A2004,Orçamentária!A:A,0),2)</f>
        <v>Válvula de esfera em bronze 1"</v>
      </c>
      <c r="C2004" s="41"/>
      <c r="D2004" s="26" t="str">
        <f>TRIM(INDEX(Orçamentária!C:C,MATCH(Composições!A2004,Orçamentária!A:A,0),1))</f>
        <v>un</v>
      </c>
      <c r="E2004" s="27"/>
      <c r="F2004" s="42" t="s">
        <v>558</v>
      </c>
      <c r="G2004" s="28" t="str">
        <f>IF(ISNUMBER(F2004),E2004*F2004,"")</f>
        <v/>
      </c>
      <c r="H2004" s="29"/>
      <c r="I2004" s="30"/>
      <c r="J2004" s="155">
        <v>0</v>
      </c>
    </row>
    <row r="2005" spans="1:10" ht="15.75" hidden="1" thickBot="1" x14ac:dyDescent="0.3">
      <c r="A2005" s="200"/>
      <c r="B2005" s="202"/>
      <c r="C2005" s="32"/>
      <c r="D2005" s="32"/>
      <c r="E2005" s="33"/>
      <c r="F2005" s="43" t="s">
        <v>558</v>
      </c>
      <c r="G2005" s="31" t="str">
        <f>IF(ISNUMBER(F2005),E2005*F2005,"")</f>
        <v/>
      </c>
      <c r="H2005" s="35"/>
      <c r="I2005" s="31"/>
      <c r="J2005" s="155">
        <v>0</v>
      </c>
    </row>
    <row r="2006" spans="1:10" ht="15.75" hidden="1" thickBot="1" x14ac:dyDescent="0.3">
      <c r="A2006" s="200"/>
      <c r="B2006" s="202"/>
      <c r="C2006" s="36" t="s">
        <v>408</v>
      </c>
      <c r="D2006" s="47" t="s">
        <v>292</v>
      </c>
      <c r="E2006" s="37">
        <v>9.4999999999999998E-3</v>
      </c>
      <c r="F2006" s="34">
        <v>12.8155</v>
      </c>
      <c r="G2006" s="31">
        <f>IF(ISNUMBER(F2006),E2006*F2006,"")</f>
        <v>0.12174725</v>
      </c>
      <c r="H2006" s="39">
        <f>SUM(G2006:G2009)</f>
        <v>99.66291824999999</v>
      </c>
      <c r="I2006" s="40"/>
      <c r="J2006" s="155">
        <v>0</v>
      </c>
    </row>
    <row r="2007" spans="1:10" ht="15.75" hidden="1" thickBot="1" x14ac:dyDescent="0.3">
      <c r="A2007" s="200"/>
      <c r="B2007" s="202"/>
      <c r="C2007" s="36" t="s">
        <v>672</v>
      </c>
      <c r="D2007" s="47" t="s">
        <v>20</v>
      </c>
      <c r="E2007" s="37">
        <v>1</v>
      </c>
      <c r="F2007" s="34">
        <v>68.903499999999994</v>
      </c>
      <c r="G2007" s="31">
        <f>IF(ISNUMBER(F2007),E2007*F2007,"")</f>
        <v>68.903499999999994</v>
      </c>
      <c r="H2007" s="35"/>
      <c r="I2007" s="31"/>
      <c r="J2007" s="155">
        <v>0</v>
      </c>
    </row>
    <row r="2008" spans="1:10" ht="26.25" hidden="1" thickBot="1" x14ac:dyDescent="0.3">
      <c r="A2008" s="200"/>
      <c r="B2008" s="202"/>
      <c r="C2008" s="36" t="s">
        <v>108</v>
      </c>
      <c r="D2008" s="36" t="s">
        <v>12</v>
      </c>
      <c r="E2008" s="37">
        <v>0.77449999999999997</v>
      </c>
      <c r="F2008" s="31">
        <v>17.3185</v>
      </c>
      <c r="G2008" s="34">
        <f>IF(ISNUMBER(F2008),E2008*F2008,"")</f>
        <v>13.41317825</v>
      </c>
      <c r="H2008" s="35"/>
      <c r="I2008" s="31"/>
      <c r="J2008" s="155">
        <v>0</v>
      </c>
    </row>
    <row r="2009" spans="1:10" ht="15.75" hidden="1" thickBot="1" x14ac:dyDescent="0.3">
      <c r="A2009" s="200"/>
      <c r="B2009" s="202"/>
      <c r="C2009" s="36" t="s">
        <v>39</v>
      </c>
      <c r="D2009" s="47" t="s">
        <v>12</v>
      </c>
      <c r="E2009" s="37">
        <v>0.77449999999999997</v>
      </c>
      <c r="F2009" s="31">
        <v>22.2395</v>
      </c>
      <c r="G2009" s="34">
        <f>IF(ISNUMBER(F2009),E2009*F2009,"")</f>
        <v>17.22449275</v>
      </c>
      <c r="H2009" s="35"/>
      <c r="I2009" s="31"/>
      <c r="J2009" s="155">
        <v>0</v>
      </c>
    </row>
    <row r="2010" spans="1:10" ht="15.75" hidden="1" thickBot="1" x14ac:dyDescent="0.3">
      <c r="A2010" s="201"/>
      <c r="B2010" s="188"/>
      <c r="C2010" s="36"/>
      <c r="D2010" s="36"/>
      <c r="E2010" s="37"/>
      <c r="F2010" s="31" t="s">
        <v>558</v>
      </c>
      <c r="G2010" s="31" t="str">
        <f>IF(ISNUMBER(F2010),E2010*F2010,"")</f>
        <v/>
      </c>
      <c r="H2010" s="35"/>
      <c r="I2010" s="31"/>
      <c r="J2010" s="155">
        <v>0</v>
      </c>
    </row>
    <row r="2011" spans="1:10" ht="15.75" hidden="1" thickBot="1" x14ac:dyDescent="0.3">
      <c r="A2011" s="180" t="s">
        <v>673</v>
      </c>
      <c r="B2011" s="186" t="str">
        <f>INDEX(Orçamentária!A:B,MATCH(Composições!A2011,Orçamentária!A:A,0),2)</f>
        <v>Válvula de esfera em bronze 3/4"</v>
      </c>
      <c r="C2011" s="41"/>
      <c r="D2011" s="26" t="str">
        <f>TRIM(INDEX(Orçamentária!C:C,MATCH(Composições!A2011,Orçamentária!A:A,0),1))</f>
        <v>un</v>
      </c>
      <c r="E2011" s="27"/>
      <c r="F2011" s="42" t="s">
        <v>558</v>
      </c>
      <c r="G2011" s="28" t="str">
        <f>IF(ISNUMBER(F2011),E2011*F2011,"")</f>
        <v/>
      </c>
      <c r="H2011" s="29"/>
      <c r="I2011" s="30"/>
      <c r="J2011" s="155">
        <v>0</v>
      </c>
    </row>
    <row r="2012" spans="1:10" ht="15.75" hidden="1" thickBot="1" x14ac:dyDescent="0.3">
      <c r="A2012" s="200"/>
      <c r="B2012" s="202"/>
      <c r="C2012" s="32"/>
      <c r="D2012" s="32"/>
      <c r="E2012" s="33"/>
      <c r="F2012" s="43" t="s">
        <v>558</v>
      </c>
      <c r="G2012" s="31" t="str">
        <f>IF(ISNUMBER(F2012),E2012*F2012,"")</f>
        <v/>
      </c>
      <c r="H2012" s="35"/>
      <c r="I2012" s="31"/>
      <c r="J2012" s="155">
        <v>0</v>
      </c>
    </row>
    <row r="2013" spans="1:10" ht="15.75" hidden="1" thickBot="1" x14ac:dyDescent="0.3">
      <c r="A2013" s="200"/>
      <c r="B2013" s="202"/>
      <c r="C2013" s="36" t="s">
        <v>408</v>
      </c>
      <c r="D2013" s="47" t="s">
        <v>292</v>
      </c>
      <c r="E2013" s="37">
        <v>9.4999999999999998E-3</v>
      </c>
      <c r="F2013" s="34">
        <v>12.8155</v>
      </c>
      <c r="G2013" s="31">
        <f>IF(ISNUMBER(F2013),E2013*F2013,"")</f>
        <v>0.12174725</v>
      </c>
      <c r="H2013" s="39">
        <f>SUM(G2013:G2016)</f>
        <v>81.793418249999988</v>
      </c>
      <c r="I2013" s="40"/>
      <c r="J2013" s="155">
        <v>0</v>
      </c>
    </row>
    <row r="2014" spans="1:10" ht="15.75" hidden="1" thickBot="1" x14ac:dyDescent="0.3">
      <c r="A2014" s="200"/>
      <c r="B2014" s="202"/>
      <c r="C2014" s="36" t="s">
        <v>674</v>
      </c>
      <c r="D2014" s="47" t="s">
        <v>20</v>
      </c>
      <c r="E2014" s="37">
        <v>1</v>
      </c>
      <c r="F2014" s="34">
        <v>51.033999999999999</v>
      </c>
      <c r="G2014" s="31">
        <f>IF(ISNUMBER(F2014),E2014*F2014,"")</f>
        <v>51.033999999999999</v>
      </c>
      <c r="H2014" s="35"/>
      <c r="I2014" s="31"/>
      <c r="J2014" s="155">
        <v>0</v>
      </c>
    </row>
    <row r="2015" spans="1:10" ht="26.25" hidden="1" thickBot="1" x14ac:dyDescent="0.3">
      <c r="A2015" s="200"/>
      <c r="B2015" s="202"/>
      <c r="C2015" s="36" t="s">
        <v>108</v>
      </c>
      <c r="D2015" s="36" t="s">
        <v>12</v>
      </c>
      <c r="E2015" s="37">
        <v>0.77449999999999997</v>
      </c>
      <c r="F2015" s="31">
        <v>17.3185</v>
      </c>
      <c r="G2015" s="34">
        <f>IF(ISNUMBER(F2015),E2015*F2015,"")</f>
        <v>13.41317825</v>
      </c>
      <c r="H2015" s="35"/>
      <c r="I2015" s="31"/>
      <c r="J2015" s="155">
        <v>0</v>
      </c>
    </row>
    <row r="2016" spans="1:10" ht="15.75" hidden="1" thickBot="1" x14ac:dyDescent="0.3">
      <c r="A2016" s="200"/>
      <c r="B2016" s="202"/>
      <c r="C2016" s="36" t="s">
        <v>39</v>
      </c>
      <c r="D2016" s="47" t="s">
        <v>12</v>
      </c>
      <c r="E2016" s="37">
        <v>0.77449999999999997</v>
      </c>
      <c r="F2016" s="31">
        <v>22.2395</v>
      </c>
      <c r="G2016" s="34">
        <f>IF(ISNUMBER(F2016),E2016*F2016,"")</f>
        <v>17.22449275</v>
      </c>
      <c r="H2016" s="35"/>
      <c r="I2016" s="31"/>
      <c r="J2016" s="155">
        <v>0</v>
      </c>
    </row>
    <row r="2017" spans="1:10" ht="15.75" hidden="1" thickBot="1" x14ac:dyDescent="0.3">
      <c r="A2017" s="201"/>
      <c r="B2017" s="188"/>
      <c r="C2017" s="36"/>
      <c r="D2017" s="36"/>
      <c r="E2017" s="37"/>
      <c r="F2017" s="31" t="s">
        <v>558</v>
      </c>
      <c r="G2017" s="31" t="str">
        <f>IF(ISNUMBER(F2017),E2017*F2017,"")</f>
        <v/>
      </c>
      <c r="H2017" s="35"/>
      <c r="I2017" s="31"/>
      <c r="J2017" s="155">
        <v>0</v>
      </c>
    </row>
    <row r="2018" spans="1:10" ht="15.75" hidden="1" thickBot="1" x14ac:dyDescent="0.3">
      <c r="A2018" s="180" t="s">
        <v>675</v>
      </c>
      <c r="B2018" s="186" t="str">
        <f>INDEX(Orçamentária!A:B,MATCH(Composições!A2018,Orçamentária!A:A,0),2)</f>
        <v>Isolamento elastomérico em formato de prancha autoadesiva</v>
      </c>
      <c r="C2018" s="41"/>
      <c r="D2018" s="26" t="str">
        <f>TRIM(INDEX(Orçamentária!C:C,MATCH(Composições!A2018,Orçamentária!A:A,0),1))</f>
        <v>m2</v>
      </c>
      <c r="E2018" s="27"/>
      <c r="F2018" s="42" t="s">
        <v>558</v>
      </c>
      <c r="G2018" s="28" t="str">
        <f>IF(ISNUMBER(F2018),E2018*F2018,"")</f>
        <v/>
      </c>
      <c r="H2018" s="29"/>
      <c r="I2018" s="30"/>
      <c r="J2018" s="155">
        <v>0</v>
      </c>
    </row>
    <row r="2019" spans="1:10" ht="15.75" hidden="1" thickBot="1" x14ac:dyDescent="0.3">
      <c r="A2019" s="200"/>
      <c r="B2019" s="202"/>
      <c r="C2019" s="32"/>
      <c r="D2019" s="32"/>
      <c r="E2019" s="33"/>
      <c r="F2019" s="43" t="s">
        <v>558</v>
      </c>
      <c r="G2019" s="31" t="str">
        <f>IF(ISNUMBER(F2019),E2019*F2019,"")</f>
        <v/>
      </c>
      <c r="H2019" s="35"/>
      <c r="I2019" s="31"/>
      <c r="J2019" s="155">
        <v>0</v>
      </c>
    </row>
    <row r="2020" spans="1:10" ht="26.25" hidden="1" thickBot="1" x14ac:dyDescent="0.3">
      <c r="A2020" s="200"/>
      <c r="B2020" s="202"/>
      <c r="C2020" s="36" t="s">
        <v>108</v>
      </c>
      <c r="D2020" s="47" t="s">
        <v>12</v>
      </c>
      <c r="E2020" s="37">
        <v>0.1</v>
      </c>
      <c r="F2020" s="31">
        <v>17.3185</v>
      </c>
      <c r="G2020" s="34">
        <f>IF(ISNUMBER(F2020),E2020*F2020,"")</f>
        <v>1.7318500000000001</v>
      </c>
      <c r="H2020" s="39">
        <f>SUM(G2020:G2022)</f>
        <v>3.9558</v>
      </c>
      <c r="I2020" s="40"/>
      <c r="J2020" s="155">
        <v>0</v>
      </c>
    </row>
    <row r="2021" spans="1:10" ht="15.75" hidden="1" thickBot="1" x14ac:dyDescent="0.3">
      <c r="A2021" s="200"/>
      <c r="B2021" s="202"/>
      <c r="C2021" s="36" t="s">
        <v>39</v>
      </c>
      <c r="D2021" s="47" t="s">
        <v>12</v>
      </c>
      <c r="E2021" s="37">
        <v>0.1</v>
      </c>
      <c r="F2021" s="31">
        <v>22.2395</v>
      </c>
      <c r="G2021" s="34">
        <f>IF(ISNUMBER(F2021),E2021*F2021,"")</f>
        <v>2.2239499999999999</v>
      </c>
      <c r="H2021" s="35"/>
      <c r="I2021" s="31"/>
      <c r="J2021" s="155">
        <v>0</v>
      </c>
    </row>
    <row r="2022" spans="1:10" ht="26.25" hidden="1" thickBot="1" x14ac:dyDescent="0.3">
      <c r="A2022" s="200"/>
      <c r="B2022" s="202"/>
      <c r="C2022" s="36" t="s">
        <v>676</v>
      </c>
      <c r="D2022" s="47" t="s">
        <v>95</v>
      </c>
      <c r="E2022" s="37">
        <v>1.05</v>
      </c>
      <c r="F2022" s="34" t="s">
        <v>558</v>
      </c>
      <c r="G2022" s="34" t="str">
        <f>IF(ISNUMBER(F2022),E2022*F2022,"")</f>
        <v/>
      </c>
      <c r="H2022" s="35"/>
      <c r="I2022" s="31"/>
      <c r="J2022" s="155">
        <v>0</v>
      </c>
    </row>
    <row r="2023" spans="1:10" ht="15.75" hidden="1" thickBot="1" x14ac:dyDescent="0.3">
      <c r="A2023" s="201"/>
      <c r="B2023" s="188"/>
      <c r="C2023" s="36"/>
      <c r="D2023" s="36"/>
      <c r="E2023" s="37"/>
      <c r="F2023" s="31" t="s">
        <v>558</v>
      </c>
      <c r="G2023" s="31" t="str">
        <f>IF(ISNUMBER(F2023),E2023*F2023,"")</f>
        <v/>
      </c>
      <c r="H2023" s="35"/>
      <c r="I2023" s="31"/>
      <c r="J2023" s="155">
        <v>0</v>
      </c>
    </row>
    <row r="2024" spans="1:10" ht="15.75" hidden="1" thickBot="1" x14ac:dyDescent="0.3">
      <c r="A2024" s="180" t="s">
        <v>677</v>
      </c>
      <c r="B2024" s="186" t="str">
        <f>INDEX(Orçamentária!A:B,MATCH(Composições!A2024,Orçamentária!A:A,0),2)</f>
        <v>Isolamento elastomérico para tubulações de cobre de 1 1/8" / tubulações de ferro de 3/4"</v>
      </c>
      <c r="C2024" s="41"/>
      <c r="D2024" s="26" t="str">
        <f>TRIM(INDEX(Orçamentária!C:C,MATCH(Composições!A2024,Orçamentária!A:A,0),1))</f>
        <v>m</v>
      </c>
      <c r="E2024" s="27"/>
      <c r="F2024" s="42" t="s">
        <v>558</v>
      </c>
      <c r="G2024" s="28" t="str">
        <f>IF(ISNUMBER(F2024),E2024*F2024,"")</f>
        <v/>
      </c>
      <c r="H2024" s="29"/>
      <c r="I2024" s="30"/>
      <c r="J2024" s="155">
        <v>0</v>
      </c>
    </row>
    <row r="2025" spans="1:10" ht="15.75" hidden="1" thickBot="1" x14ac:dyDescent="0.3">
      <c r="A2025" s="200"/>
      <c r="B2025" s="202"/>
      <c r="C2025" s="32"/>
      <c r="D2025" s="32"/>
      <c r="E2025" s="33"/>
      <c r="F2025" s="43" t="s">
        <v>558</v>
      </c>
      <c r="G2025" s="31" t="str">
        <f>IF(ISNUMBER(F2025),E2025*F2025,"")</f>
        <v/>
      </c>
      <c r="H2025" s="35"/>
      <c r="I2025" s="31"/>
      <c r="J2025" s="155">
        <v>0</v>
      </c>
    </row>
    <row r="2026" spans="1:10" ht="51.75" hidden="1" thickBot="1" x14ac:dyDescent="0.3">
      <c r="A2026" s="200"/>
      <c r="B2026" s="202"/>
      <c r="C2026" s="36" t="s">
        <v>678</v>
      </c>
      <c r="D2026" s="47" t="s">
        <v>93</v>
      </c>
      <c r="E2026" s="37">
        <v>1.0210999999999999</v>
      </c>
      <c r="F2026" s="34" t="s">
        <v>558</v>
      </c>
      <c r="G2026" s="34" t="str">
        <f>IF(ISNUMBER(F2026),E2026*F2026,"")</f>
        <v/>
      </c>
      <c r="H2026" s="39">
        <f>SUM(G2026:G2028)</f>
        <v>0.7595135999999999</v>
      </c>
      <c r="I2026" s="40"/>
      <c r="J2026" s="155">
        <v>0</v>
      </c>
    </row>
    <row r="2027" spans="1:10" ht="26.25" hidden="1" thickBot="1" x14ac:dyDescent="0.3">
      <c r="A2027" s="200"/>
      <c r="B2027" s="202"/>
      <c r="C2027" s="36" t="s">
        <v>108</v>
      </c>
      <c r="D2027" s="47" t="s">
        <v>12</v>
      </c>
      <c r="E2027" s="37">
        <f>0.064*0.3</f>
        <v>1.9199999999999998E-2</v>
      </c>
      <c r="F2027" s="31">
        <v>17.3185</v>
      </c>
      <c r="G2027" s="34">
        <f>IF(ISNUMBER(F2027),E2027*F2027,"")</f>
        <v>0.33251519999999996</v>
      </c>
      <c r="H2027" s="35"/>
      <c r="I2027" s="31"/>
      <c r="J2027" s="155">
        <v>0</v>
      </c>
    </row>
    <row r="2028" spans="1:10" ht="15.75" hidden="1" thickBot="1" x14ac:dyDescent="0.3">
      <c r="A2028" s="200"/>
      <c r="B2028" s="202"/>
      <c r="C2028" s="36" t="s">
        <v>39</v>
      </c>
      <c r="D2028" s="47" t="s">
        <v>12</v>
      </c>
      <c r="E2028" s="37">
        <f>0.064*0.3</f>
        <v>1.9199999999999998E-2</v>
      </c>
      <c r="F2028" s="31">
        <v>22.2395</v>
      </c>
      <c r="G2028" s="34">
        <f>IF(ISNUMBER(F2028),E2028*F2028,"")</f>
        <v>0.42699839999999994</v>
      </c>
      <c r="H2028" s="35"/>
      <c r="I2028" s="31"/>
      <c r="J2028" s="155">
        <v>0</v>
      </c>
    </row>
    <row r="2029" spans="1:10" ht="15.75" hidden="1" thickBot="1" x14ac:dyDescent="0.3">
      <c r="A2029" s="200"/>
      <c r="B2029" s="202"/>
      <c r="C2029" s="36"/>
      <c r="D2029" s="47"/>
      <c r="E2029" s="37"/>
      <c r="F2029" s="34" t="s">
        <v>558</v>
      </c>
      <c r="G2029" s="34" t="str">
        <f>IF(ISNUMBER(F2029),E2029*F2029,"")</f>
        <v/>
      </c>
      <c r="H2029" s="35"/>
      <c r="I2029" s="31"/>
      <c r="J2029" s="155">
        <v>0</v>
      </c>
    </row>
    <row r="2030" spans="1:10" ht="39" hidden="1" thickBot="1" x14ac:dyDescent="0.3">
      <c r="A2030" s="200"/>
      <c r="B2030" s="202"/>
      <c r="C2030" s="52" t="s">
        <v>679</v>
      </c>
      <c r="D2030" s="47"/>
      <c r="E2030" s="37"/>
      <c r="F2030" s="34" t="s">
        <v>558</v>
      </c>
      <c r="G2030" s="34" t="str">
        <f>IF(ISNUMBER(F2030),E2030*F2030,"")</f>
        <v/>
      </c>
      <c r="H2030" s="35"/>
      <c r="I2030" s="31"/>
      <c r="J2030" s="155">
        <v>0</v>
      </c>
    </row>
    <row r="2031" spans="1:10" ht="15.75" hidden="1" thickBot="1" x14ac:dyDescent="0.3">
      <c r="A2031" s="201"/>
      <c r="B2031" s="188"/>
      <c r="C2031" s="36"/>
      <c r="D2031" s="36"/>
      <c r="E2031" s="37"/>
      <c r="F2031" s="31" t="s">
        <v>558</v>
      </c>
      <c r="G2031" s="31" t="str">
        <f>IF(ISNUMBER(F2031),E2031*F2031,"")</f>
        <v/>
      </c>
      <c r="H2031" s="35"/>
      <c r="I2031" s="31"/>
      <c r="J2031" s="155">
        <v>0</v>
      </c>
    </row>
    <row r="2032" spans="1:10" ht="15.75" hidden="1" thickBot="1" x14ac:dyDescent="0.3">
      <c r="A2032" s="180" t="s">
        <v>680</v>
      </c>
      <c r="B2032" s="186" t="str">
        <f>INDEX(Orçamentária!A:B,MATCH(Composições!A2032,Orçamentária!A:A,0),2)</f>
        <v>Isolamento elastomérico para tubulações de cobre de 1/2"</v>
      </c>
      <c r="C2032" s="41"/>
      <c r="D2032" s="26" t="str">
        <f>TRIM(INDEX(Orçamentária!C:C,MATCH(Composições!A2032,Orçamentária!A:A,0),1))</f>
        <v>m</v>
      </c>
      <c r="E2032" s="27"/>
      <c r="F2032" s="42" t="s">
        <v>558</v>
      </c>
      <c r="G2032" s="28" t="str">
        <f>IF(ISNUMBER(F2032),E2032*F2032,"")</f>
        <v/>
      </c>
      <c r="H2032" s="29"/>
      <c r="I2032" s="30"/>
      <c r="J2032" s="155">
        <v>0</v>
      </c>
    </row>
    <row r="2033" spans="1:10" ht="15.75" hidden="1" thickBot="1" x14ac:dyDescent="0.3">
      <c r="A2033" s="200"/>
      <c r="B2033" s="202"/>
      <c r="C2033" s="32"/>
      <c r="D2033" s="32"/>
      <c r="E2033" s="33"/>
      <c r="F2033" s="43" t="s">
        <v>558</v>
      </c>
      <c r="G2033" s="31" t="str">
        <f>IF(ISNUMBER(F2033),E2033*F2033,"")</f>
        <v/>
      </c>
      <c r="H2033" s="35"/>
      <c r="I2033" s="31"/>
      <c r="J2033" s="155">
        <v>0</v>
      </c>
    </row>
    <row r="2034" spans="1:10" ht="39" hidden="1" thickBot="1" x14ac:dyDescent="0.3">
      <c r="A2034" s="200"/>
      <c r="B2034" s="202"/>
      <c r="C2034" s="36" t="s">
        <v>681</v>
      </c>
      <c r="D2034" s="47" t="s">
        <v>93</v>
      </c>
      <c r="E2034" s="37">
        <v>1.0210999999999999</v>
      </c>
      <c r="F2034" s="34" t="s">
        <v>558</v>
      </c>
      <c r="G2034" s="34" t="str">
        <f>IF(ISNUMBER(F2034),E2034*F2034,"")</f>
        <v/>
      </c>
      <c r="H2034" s="39">
        <f>SUM(G2034:G2036)</f>
        <v>0.72391139999999998</v>
      </c>
      <c r="I2034" s="40"/>
      <c r="J2034" s="155">
        <v>0</v>
      </c>
    </row>
    <row r="2035" spans="1:10" ht="26.25" hidden="1" thickBot="1" x14ac:dyDescent="0.3">
      <c r="A2035" s="200"/>
      <c r="B2035" s="202"/>
      <c r="C2035" s="36" t="s">
        <v>108</v>
      </c>
      <c r="D2035" s="47" t="s">
        <v>12</v>
      </c>
      <c r="E2035" s="37">
        <f>0.061*0.3</f>
        <v>1.83E-2</v>
      </c>
      <c r="F2035" s="31">
        <v>17.3185</v>
      </c>
      <c r="G2035" s="34">
        <f>IF(ISNUMBER(F2035),E2035*F2035,"")</f>
        <v>0.31692855000000003</v>
      </c>
      <c r="H2035" s="35"/>
      <c r="I2035" s="31"/>
      <c r="J2035" s="155">
        <v>0</v>
      </c>
    </row>
    <row r="2036" spans="1:10" ht="15.75" hidden="1" thickBot="1" x14ac:dyDescent="0.3">
      <c r="A2036" s="200"/>
      <c r="B2036" s="202"/>
      <c r="C2036" s="36" t="s">
        <v>39</v>
      </c>
      <c r="D2036" s="47" t="s">
        <v>12</v>
      </c>
      <c r="E2036" s="37">
        <f>0.061*0.3</f>
        <v>1.83E-2</v>
      </c>
      <c r="F2036" s="31">
        <v>22.2395</v>
      </c>
      <c r="G2036" s="34">
        <f>IF(ISNUMBER(F2036),E2036*F2036,"")</f>
        <v>0.40698285000000001</v>
      </c>
      <c r="H2036" s="35"/>
      <c r="I2036" s="31"/>
      <c r="J2036" s="155">
        <v>0</v>
      </c>
    </row>
    <row r="2037" spans="1:10" ht="15.75" hidden="1" thickBot="1" x14ac:dyDescent="0.3">
      <c r="A2037" s="200"/>
      <c r="B2037" s="202"/>
      <c r="C2037" s="36"/>
      <c r="D2037" s="47"/>
      <c r="E2037" s="37"/>
      <c r="F2037" s="34" t="s">
        <v>558</v>
      </c>
      <c r="G2037" s="34" t="str">
        <f>IF(ISNUMBER(F2037),E2037*F2037,"")</f>
        <v/>
      </c>
      <c r="H2037" s="35"/>
      <c r="I2037" s="31"/>
      <c r="J2037" s="155">
        <v>0</v>
      </c>
    </row>
    <row r="2038" spans="1:10" ht="39" hidden="1" thickBot="1" x14ac:dyDescent="0.3">
      <c r="A2038" s="200"/>
      <c r="B2038" s="202"/>
      <c r="C2038" s="52" t="s">
        <v>679</v>
      </c>
      <c r="D2038" s="47"/>
      <c r="E2038" s="37"/>
      <c r="F2038" s="34" t="s">
        <v>558</v>
      </c>
      <c r="G2038" s="34" t="str">
        <f>IF(ISNUMBER(F2038),E2038*F2038,"")</f>
        <v/>
      </c>
      <c r="H2038" s="35"/>
      <c r="I2038" s="31"/>
      <c r="J2038" s="155">
        <v>0</v>
      </c>
    </row>
    <row r="2039" spans="1:10" ht="15.75" hidden="1" thickBot="1" x14ac:dyDescent="0.3">
      <c r="A2039" s="201"/>
      <c r="B2039" s="188"/>
      <c r="C2039" s="36"/>
      <c r="D2039" s="36"/>
      <c r="E2039" s="37"/>
      <c r="F2039" s="31" t="s">
        <v>558</v>
      </c>
      <c r="G2039" s="31" t="str">
        <f>IF(ISNUMBER(F2039),E2039*F2039,"")</f>
        <v/>
      </c>
      <c r="H2039" s="35"/>
      <c r="I2039" s="31"/>
      <c r="J2039" s="155">
        <v>0</v>
      </c>
    </row>
    <row r="2040" spans="1:10" ht="15.75" hidden="1" thickBot="1" x14ac:dyDescent="0.3">
      <c r="A2040" s="180" t="s">
        <v>682</v>
      </c>
      <c r="B2040" s="186" t="str">
        <f>INDEX(Orçamentária!A:B,MATCH(Composições!A2040,Orçamentária!A:A,0),2)</f>
        <v>Isolamento elastomérico para tubulações de cobre de 1/4"</v>
      </c>
      <c r="C2040" s="41"/>
      <c r="D2040" s="26" t="str">
        <f>TRIM(INDEX(Orçamentária!C:C,MATCH(Composições!A2040,Orçamentária!A:A,0),1))</f>
        <v>m</v>
      </c>
      <c r="E2040" s="27"/>
      <c r="F2040" s="42" t="s">
        <v>558</v>
      </c>
      <c r="G2040" s="28" t="str">
        <f>IF(ISNUMBER(F2040),E2040*F2040,"")</f>
        <v/>
      </c>
      <c r="H2040" s="29"/>
      <c r="I2040" s="30"/>
      <c r="J2040" s="155">
        <v>0</v>
      </c>
    </row>
    <row r="2041" spans="1:10" ht="15.75" hidden="1" thickBot="1" x14ac:dyDescent="0.3">
      <c r="A2041" s="200"/>
      <c r="B2041" s="202"/>
      <c r="C2041" s="32"/>
      <c r="D2041" s="32"/>
      <c r="E2041" s="33"/>
      <c r="F2041" s="43" t="s">
        <v>558</v>
      </c>
      <c r="G2041" s="31" t="str">
        <f>IF(ISNUMBER(F2041),E2041*F2041,"")</f>
        <v/>
      </c>
      <c r="H2041" s="35"/>
      <c r="I2041" s="31"/>
      <c r="J2041" s="155">
        <v>0</v>
      </c>
    </row>
    <row r="2042" spans="1:10" ht="39" hidden="1" thickBot="1" x14ac:dyDescent="0.3">
      <c r="A2042" s="200"/>
      <c r="B2042" s="202"/>
      <c r="C2042" s="36" t="s">
        <v>683</v>
      </c>
      <c r="D2042" s="47" t="s">
        <v>93</v>
      </c>
      <c r="E2042" s="37">
        <v>1.0210999999999999</v>
      </c>
      <c r="F2042" s="34" t="s">
        <v>558</v>
      </c>
      <c r="G2042" s="34" t="str">
        <f>IF(ISNUMBER(F2042),E2042*F2042,"")</f>
        <v/>
      </c>
      <c r="H2042" s="39">
        <f>SUM(G2042:G2044)</f>
        <v>0.6171047999999999</v>
      </c>
      <c r="I2042" s="40"/>
      <c r="J2042" s="155">
        <v>0</v>
      </c>
    </row>
    <row r="2043" spans="1:10" ht="26.25" hidden="1" thickBot="1" x14ac:dyDescent="0.3">
      <c r="A2043" s="200"/>
      <c r="B2043" s="202"/>
      <c r="C2043" s="36" t="s">
        <v>108</v>
      </c>
      <c r="D2043" s="47" t="s">
        <v>12</v>
      </c>
      <c r="E2043" s="37">
        <f>0.052*0.3</f>
        <v>1.5599999999999999E-2</v>
      </c>
      <c r="F2043" s="31">
        <v>17.3185</v>
      </c>
      <c r="G2043" s="34">
        <f>IF(ISNUMBER(F2043),E2043*F2043,"")</f>
        <v>0.27016859999999998</v>
      </c>
      <c r="H2043" s="35"/>
      <c r="I2043" s="31"/>
      <c r="J2043" s="155">
        <v>0</v>
      </c>
    </row>
    <row r="2044" spans="1:10" ht="15.75" hidden="1" thickBot="1" x14ac:dyDescent="0.3">
      <c r="A2044" s="200"/>
      <c r="B2044" s="202"/>
      <c r="C2044" s="36" t="s">
        <v>39</v>
      </c>
      <c r="D2044" s="47" t="s">
        <v>12</v>
      </c>
      <c r="E2044" s="37">
        <f>0.052*0.3</f>
        <v>1.5599999999999999E-2</v>
      </c>
      <c r="F2044" s="31">
        <v>22.2395</v>
      </c>
      <c r="G2044" s="34">
        <f>IF(ISNUMBER(F2044),E2044*F2044,"")</f>
        <v>0.34693619999999997</v>
      </c>
      <c r="H2044" s="35"/>
      <c r="I2044" s="31"/>
      <c r="J2044" s="155">
        <v>0</v>
      </c>
    </row>
    <row r="2045" spans="1:10" ht="15.75" hidden="1" thickBot="1" x14ac:dyDescent="0.3">
      <c r="A2045" s="200"/>
      <c r="B2045" s="202"/>
      <c r="C2045" s="36"/>
      <c r="D2045" s="47"/>
      <c r="E2045" s="37"/>
      <c r="F2045" s="34" t="s">
        <v>558</v>
      </c>
      <c r="G2045" s="34" t="str">
        <f>IF(ISNUMBER(F2045),E2045*F2045,"")</f>
        <v/>
      </c>
      <c r="H2045" s="35"/>
      <c r="I2045" s="31"/>
      <c r="J2045" s="155">
        <v>0</v>
      </c>
    </row>
    <row r="2046" spans="1:10" ht="39" hidden="1" thickBot="1" x14ac:dyDescent="0.3">
      <c r="A2046" s="200"/>
      <c r="B2046" s="202"/>
      <c r="C2046" s="52" t="s">
        <v>679</v>
      </c>
      <c r="D2046" s="47"/>
      <c r="E2046" s="37"/>
      <c r="F2046" s="34" t="s">
        <v>558</v>
      </c>
      <c r="G2046" s="34" t="str">
        <f>IF(ISNUMBER(F2046),E2046*F2046,"")</f>
        <v/>
      </c>
      <c r="H2046" s="35"/>
      <c r="I2046" s="31"/>
      <c r="J2046" s="155">
        <v>0</v>
      </c>
    </row>
    <row r="2047" spans="1:10" ht="15.75" hidden="1" thickBot="1" x14ac:dyDescent="0.3">
      <c r="A2047" s="201"/>
      <c r="B2047" s="188"/>
      <c r="C2047" s="36"/>
      <c r="D2047" s="36"/>
      <c r="E2047" s="37"/>
      <c r="F2047" s="31" t="s">
        <v>558</v>
      </c>
      <c r="G2047" s="31" t="str">
        <f>IF(ISNUMBER(F2047),E2047*F2047,"")</f>
        <v/>
      </c>
      <c r="H2047" s="35"/>
      <c r="I2047" s="31"/>
      <c r="J2047" s="155">
        <v>0</v>
      </c>
    </row>
    <row r="2048" spans="1:10" ht="15.75" hidden="1" thickBot="1" x14ac:dyDescent="0.3">
      <c r="A2048" s="180" t="s">
        <v>684</v>
      </c>
      <c r="B2048" s="186" t="str">
        <f>INDEX(Orçamentária!A:B,MATCH(Composições!A2048,Orçamentária!A:A,0),2)</f>
        <v>Isolamento elastomérico para tubulações de cobre de 3/4"</v>
      </c>
      <c r="C2048" s="41"/>
      <c r="D2048" s="26" t="str">
        <f>TRIM(INDEX(Orçamentária!C:C,MATCH(Composições!A2048,Orçamentária!A:A,0),1))</f>
        <v>m</v>
      </c>
      <c r="E2048" s="27"/>
      <c r="F2048" s="42" t="s">
        <v>558</v>
      </c>
      <c r="G2048" s="28" t="str">
        <f>IF(ISNUMBER(F2048),E2048*F2048,"")</f>
        <v/>
      </c>
      <c r="H2048" s="29"/>
      <c r="I2048" s="30"/>
      <c r="J2048" s="155">
        <v>0</v>
      </c>
    </row>
    <row r="2049" spans="1:10" ht="15.75" hidden="1" thickBot="1" x14ac:dyDescent="0.3">
      <c r="A2049" s="200"/>
      <c r="B2049" s="202"/>
      <c r="C2049" s="32"/>
      <c r="D2049" s="32"/>
      <c r="E2049" s="33"/>
      <c r="F2049" s="43" t="s">
        <v>558</v>
      </c>
      <c r="G2049" s="31" t="str">
        <f>IF(ISNUMBER(F2049),E2049*F2049,"")</f>
        <v/>
      </c>
      <c r="H2049" s="35"/>
      <c r="I2049" s="31"/>
      <c r="J2049" s="155">
        <v>0</v>
      </c>
    </row>
    <row r="2050" spans="1:10" ht="39" hidden="1" thickBot="1" x14ac:dyDescent="0.3">
      <c r="A2050" s="200"/>
      <c r="B2050" s="202"/>
      <c r="C2050" s="36" t="s">
        <v>685</v>
      </c>
      <c r="D2050" s="47" t="s">
        <v>93</v>
      </c>
      <c r="E2050" s="37">
        <v>1.0210999999999999</v>
      </c>
      <c r="F2050" s="34" t="s">
        <v>558</v>
      </c>
      <c r="G2050" s="34" t="str">
        <f>IF(ISNUMBER(F2050),E2050*F2050,"")</f>
        <v/>
      </c>
      <c r="H2050" s="39">
        <f>SUM(G2050:G2052)</f>
        <v>0.7595135999999999</v>
      </c>
      <c r="I2050" s="40"/>
      <c r="J2050" s="155">
        <v>0</v>
      </c>
    </row>
    <row r="2051" spans="1:10" ht="26.25" hidden="1" thickBot="1" x14ac:dyDescent="0.3">
      <c r="A2051" s="200"/>
      <c r="B2051" s="202"/>
      <c r="C2051" s="36" t="s">
        <v>108</v>
      </c>
      <c r="D2051" s="47" t="s">
        <v>12</v>
      </c>
      <c r="E2051" s="37">
        <f>0.064*0.3</f>
        <v>1.9199999999999998E-2</v>
      </c>
      <c r="F2051" s="31">
        <v>17.3185</v>
      </c>
      <c r="G2051" s="34">
        <f>IF(ISNUMBER(F2051),E2051*F2051,"")</f>
        <v>0.33251519999999996</v>
      </c>
      <c r="H2051" s="35"/>
      <c r="I2051" s="31"/>
      <c r="J2051" s="155">
        <v>0</v>
      </c>
    </row>
    <row r="2052" spans="1:10" ht="15.75" hidden="1" thickBot="1" x14ac:dyDescent="0.3">
      <c r="A2052" s="200"/>
      <c r="B2052" s="202"/>
      <c r="C2052" s="36" t="s">
        <v>39</v>
      </c>
      <c r="D2052" s="47" t="s">
        <v>12</v>
      </c>
      <c r="E2052" s="37">
        <f>0.064*0.3</f>
        <v>1.9199999999999998E-2</v>
      </c>
      <c r="F2052" s="31">
        <v>22.2395</v>
      </c>
      <c r="G2052" s="34">
        <f>IF(ISNUMBER(F2052),E2052*F2052,"")</f>
        <v>0.42699839999999994</v>
      </c>
      <c r="H2052" s="35"/>
      <c r="I2052" s="31"/>
      <c r="J2052" s="155">
        <v>0</v>
      </c>
    </row>
    <row r="2053" spans="1:10" ht="15.75" hidden="1" thickBot="1" x14ac:dyDescent="0.3">
      <c r="A2053" s="200"/>
      <c r="B2053" s="202"/>
      <c r="C2053" s="36"/>
      <c r="D2053" s="47"/>
      <c r="E2053" s="37"/>
      <c r="F2053" s="34" t="s">
        <v>558</v>
      </c>
      <c r="G2053" s="34" t="str">
        <f>IF(ISNUMBER(F2053),E2053*F2053,"")</f>
        <v/>
      </c>
      <c r="H2053" s="35"/>
      <c r="I2053" s="31"/>
      <c r="J2053" s="155">
        <v>0</v>
      </c>
    </row>
    <row r="2054" spans="1:10" ht="39" hidden="1" thickBot="1" x14ac:dyDescent="0.3">
      <c r="A2054" s="200"/>
      <c r="B2054" s="202"/>
      <c r="C2054" s="52" t="s">
        <v>679</v>
      </c>
      <c r="D2054" s="47"/>
      <c r="E2054" s="37"/>
      <c r="F2054" s="34" t="s">
        <v>558</v>
      </c>
      <c r="G2054" s="34" t="str">
        <f>IF(ISNUMBER(F2054),E2054*F2054,"")</f>
        <v/>
      </c>
      <c r="H2054" s="35"/>
      <c r="I2054" s="31"/>
      <c r="J2054" s="155">
        <v>0</v>
      </c>
    </row>
    <row r="2055" spans="1:10" ht="15.75" hidden="1" thickBot="1" x14ac:dyDescent="0.3">
      <c r="A2055" s="201"/>
      <c r="B2055" s="188"/>
      <c r="C2055" s="36"/>
      <c r="D2055" s="36"/>
      <c r="E2055" s="37"/>
      <c r="F2055" s="31" t="s">
        <v>558</v>
      </c>
      <c r="G2055" s="31" t="str">
        <f>IF(ISNUMBER(F2055),E2055*F2055,"")</f>
        <v/>
      </c>
      <c r="H2055" s="35"/>
      <c r="I2055" s="31"/>
      <c r="J2055" s="155">
        <v>0</v>
      </c>
    </row>
    <row r="2056" spans="1:10" ht="15.75" hidden="1" thickBot="1" x14ac:dyDescent="0.3">
      <c r="A2056" s="180" t="s">
        <v>686</v>
      </c>
      <c r="B2056" s="186" t="str">
        <f>INDEX(Orçamentária!A:B,MATCH(Composições!A2056,Orçamentária!A:A,0),2)</f>
        <v>Isolamento elastomérico para tubulações de cobre de 3/8"</v>
      </c>
      <c r="C2056" s="41"/>
      <c r="D2056" s="26" t="str">
        <f>TRIM(INDEX(Orçamentária!C:C,MATCH(Composições!A2056,Orçamentária!A:A,0),1))</f>
        <v>m</v>
      </c>
      <c r="E2056" s="27"/>
      <c r="F2056" s="42" t="s">
        <v>558</v>
      </c>
      <c r="G2056" s="28" t="str">
        <f>IF(ISNUMBER(F2056),E2056*F2056,"")</f>
        <v/>
      </c>
      <c r="H2056" s="29"/>
      <c r="I2056" s="30"/>
      <c r="J2056" s="155">
        <v>0</v>
      </c>
    </row>
    <row r="2057" spans="1:10" ht="15.75" hidden="1" thickBot="1" x14ac:dyDescent="0.3">
      <c r="A2057" s="200"/>
      <c r="B2057" s="202"/>
      <c r="C2057" s="32"/>
      <c r="D2057" s="32"/>
      <c r="E2057" s="33"/>
      <c r="F2057" s="43" t="s">
        <v>558</v>
      </c>
      <c r="G2057" s="31" t="str">
        <f>IF(ISNUMBER(F2057),E2057*F2057,"")</f>
        <v/>
      </c>
      <c r="H2057" s="35"/>
      <c r="I2057" s="31"/>
      <c r="J2057" s="155">
        <v>0</v>
      </c>
    </row>
    <row r="2058" spans="1:10" ht="39" hidden="1" thickBot="1" x14ac:dyDescent="0.3">
      <c r="A2058" s="200"/>
      <c r="B2058" s="202"/>
      <c r="C2058" s="36" t="s">
        <v>687</v>
      </c>
      <c r="D2058" s="47" t="s">
        <v>93</v>
      </c>
      <c r="E2058" s="37">
        <v>1.0210999999999999</v>
      </c>
      <c r="F2058" s="34" t="s">
        <v>558</v>
      </c>
      <c r="G2058" s="34" t="str">
        <f>IF(ISNUMBER(F2058),E2058*F2058,"")</f>
        <v/>
      </c>
      <c r="H2058" s="39">
        <f>SUM(G2058:G2060)</f>
        <v>0.67644179999999998</v>
      </c>
      <c r="I2058" s="40"/>
      <c r="J2058" s="155">
        <v>0</v>
      </c>
    </row>
    <row r="2059" spans="1:10" ht="26.25" hidden="1" thickBot="1" x14ac:dyDescent="0.3">
      <c r="A2059" s="200"/>
      <c r="B2059" s="202"/>
      <c r="C2059" s="36" t="s">
        <v>108</v>
      </c>
      <c r="D2059" s="47" t="s">
        <v>12</v>
      </c>
      <c r="E2059" s="37">
        <f>0.057*0.3</f>
        <v>1.7100000000000001E-2</v>
      </c>
      <c r="F2059" s="31">
        <v>17.3185</v>
      </c>
      <c r="G2059" s="34">
        <f>IF(ISNUMBER(F2059),E2059*F2059,"")</f>
        <v>0.29614635</v>
      </c>
      <c r="H2059" s="35"/>
      <c r="I2059" s="31"/>
      <c r="J2059" s="155">
        <v>0</v>
      </c>
    </row>
    <row r="2060" spans="1:10" ht="15.75" hidden="1" thickBot="1" x14ac:dyDescent="0.3">
      <c r="A2060" s="200"/>
      <c r="B2060" s="202"/>
      <c r="C2060" s="36" t="s">
        <v>39</v>
      </c>
      <c r="D2060" s="47" t="s">
        <v>12</v>
      </c>
      <c r="E2060" s="37">
        <f>0.057*0.3</f>
        <v>1.7100000000000001E-2</v>
      </c>
      <c r="F2060" s="31">
        <v>22.2395</v>
      </c>
      <c r="G2060" s="34">
        <f>IF(ISNUMBER(F2060),E2060*F2060,"")</f>
        <v>0.38029544999999998</v>
      </c>
      <c r="H2060" s="35"/>
      <c r="I2060" s="31"/>
      <c r="J2060" s="155">
        <v>0</v>
      </c>
    </row>
    <row r="2061" spans="1:10" ht="15.75" hidden="1" thickBot="1" x14ac:dyDescent="0.3">
      <c r="A2061" s="200"/>
      <c r="B2061" s="202"/>
      <c r="C2061" s="36"/>
      <c r="D2061" s="47"/>
      <c r="E2061" s="37"/>
      <c r="F2061" s="34" t="s">
        <v>558</v>
      </c>
      <c r="G2061" s="34" t="str">
        <f>IF(ISNUMBER(F2061),E2061*F2061,"")</f>
        <v/>
      </c>
      <c r="H2061" s="35"/>
      <c r="I2061" s="31"/>
      <c r="J2061" s="155">
        <v>0</v>
      </c>
    </row>
    <row r="2062" spans="1:10" ht="39" hidden="1" thickBot="1" x14ac:dyDescent="0.3">
      <c r="A2062" s="200"/>
      <c r="B2062" s="202"/>
      <c r="C2062" s="52" t="s">
        <v>679</v>
      </c>
      <c r="D2062" s="47"/>
      <c r="E2062" s="37"/>
      <c r="F2062" s="34" t="s">
        <v>558</v>
      </c>
      <c r="G2062" s="34" t="str">
        <f>IF(ISNUMBER(F2062),E2062*F2062,"")</f>
        <v/>
      </c>
      <c r="H2062" s="35"/>
      <c r="I2062" s="31"/>
      <c r="J2062" s="155">
        <v>0</v>
      </c>
    </row>
    <row r="2063" spans="1:10" ht="15.75" hidden="1" thickBot="1" x14ac:dyDescent="0.3">
      <c r="A2063" s="201"/>
      <c r="B2063" s="188"/>
      <c r="C2063" s="36"/>
      <c r="D2063" s="36"/>
      <c r="E2063" s="37"/>
      <c r="F2063" s="31" t="s">
        <v>558</v>
      </c>
      <c r="G2063" s="31" t="str">
        <f>IF(ISNUMBER(F2063),E2063*F2063,"")</f>
        <v/>
      </c>
      <c r="H2063" s="35"/>
      <c r="I2063" s="31"/>
      <c r="J2063" s="155">
        <v>0</v>
      </c>
    </row>
    <row r="2064" spans="1:10" ht="15.75" hidden="1" thickBot="1" x14ac:dyDescent="0.3">
      <c r="A2064" s="180" t="s">
        <v>688</v>
      </c>
      <c r="B2064" s="186" t="str">
        <f>INDEX(Orçamentária!A:B,MATCH(Composições!A2064,Orçamentária!A:A,0),2)</f>
        <v>Isolamento elastomérico para tubulações de cobre de 5/8"</v>
      </c>
      <c r="C2064" s="41"/>
      <c r="D2064" s="26" t="str">
        <f>TRIM(INDEX(Orçamentária!C:C,MATCH(Composições!A2064,Orçamentária!A:A,0),1))</f>
        <v>m</v>
      </c>
      <c r="E2064" s="27"/>
      <c r="F2064" s="42" t="s">
        <v>558</v>
      </c>
      <c r="G2064" s="28" t="str">
        <f>IF(ISNUMBER(F2064),E2064*F2064,"")</f>
        <v/>
      </c>
      <c r="H2064" s="29"/>
      <c r="I2064" s="30"/>
      <c r="J2064" s="155">
        <v>0</v>
      </c>
    </row>
    <row r="2065" spans="1:10" ht="15.75" hidden="1" thickBot="1" x14ac:dyDescent="0.3">
      <c r="A2065" s="200"/>
      <c r="B2065" s="202"/>
      <c r="C2065" s="32"/>
      <c r="D2065" s="32"/>
      <c r="E2065" s="33"/>
      <c r="F2065" s="43" t="s">
        <v>558</v>
      </c>
      <c r="G2065" s="31" t="str">
        <f>IF(ISNUMBER(F2065),E2065*F2065,"")</f>
        <v/>
      </c>
      <c r="H2065" s="35"/>
      <c r="I2065" s="31"/>
      <c r="J2065" s="155">
        <v>0</v>
      </c>
    </row>
    <row r="2066" spans="1:10" ht="39" hidden="1" thickBot="1" x14ac:dyDescent="0.3">
      <c r="A2066" s="200"/>
      <c r="B2066" s="202"/>
      <c r="C2066" s="36" t="s">
        <v>689</v>
      </c>
      <c r="D2066" s="47" t="s">
        <v>93</v>
      </c>
      <c r="E2066" s="37">
        <v>1.0210999999999999</v>
      </c>
      <c r="F2066" s="34" t="s">
        <v>558</v>
      </c>
      <c r="G2066" s="34" t="str">
        <f>IF(ISNUMBER(F2066),E2066*F2066,"")</f>
        <v/>
      </c>
      <c r="H2066" s="39">
        <f>SUM(G2066:G2068)</f>
        <v>0.7595135999999999</v>
      </c>
      <c r="I2066" s="40"/>
      <c r="J2066" s="155">
        <v>0</v>
      </c>
    </row>
    <row r="2067" spans="1:10" ht="26.25" hidden="1" thickBot="1" x14ac:dyDescent="0.3">
      <c r="A2067" s="200"/>
      <c r="B2067" s="202"/>
      <c r="C2067" s="36" t="s">
        <v>108</v>
      </c>
      <c r="D2067" s="47" t="s">
        <v>12</v>
      </c>
      <c r="E2067" s="37">
        <f>0.064*0.3</f>
        <v>1.9199999999999998E-2</v>
      </c>
      <c r="F2067" s="31">
        <v>17.3185</v>
      </c>
      <c r="G2067" s="34">
        <f>IF(ISNUMBER(F2067),E2067*F2067,"")</f>
        <v>0.33251519999999996</v>
      </c>
      <c r="H2067" s="35"/>
      <c r="I2067" s="31"/>
      <c r="J2067" s="155">
        <v>0</v>
      </c>
    </row>
    <row r="2068" spans="1:10" ht="15.75" hidden="1" thickBot="1" x14ac:dyDescent="0.3">
      <c r="A2068" s="200"/>
      <c r="B2068" s="202"/>
      <c r="C2068" s="36" t="s">
        <v>39</v>
      </c>
      <c r="D2068" s="47" t="s">
        <v>12</v>
      </c>
      <c r="E2068" s="37">
        <f>0.064*0.3</f>
        <v>1.9199999999999998E-2</v>
      </c>
      <c r="F2068" s="31">
        <v>22.2395</v>
      </c>
      <c r="G2068" s="34">
        <f>IF(ISNUMBER(F2068),E2068*F2068,"")</f>
        <v>0.42699839999999994</v>
      </c>
      <c r="H2068" s="35"/>
      <c r="I2068" s="31"/>
      <c r="J2068" s="155">
        <v>0</v>
      </c>
    </row>
    <row r="2069" spans="1:10" ht="15.75" hidden="1" thickBot="1" x14ac:dyDescent="0.3">
      <c r="A2069" s="200"/>
      <c r="B2069" s="202"/>
      <c r="C2069" s="36"/>
      <c r="D2069" s="47"/>
      <c r="E2069" s="37"/>
      <c r="F2069" s="34" t="s">
        <v>558</v>
      </c>
      <c r="G2069" s="34" t="str">
        <f>IF(ISNUMBER(F2069),E2069*F2069,"")</f>
        <v/>
      </c>
      <c r="H2069" s="35"/>
      <c r="I2069" s="31"/>
      <c r="J2069" s="155">
        <v>0</v>
      </c>
    </row>
    <row r="2070" spans="1:10" ht="39" hidden="1" thickBot="1" x14ac:dyDescent="0.3">
      <c r="A2070" s="200"/>
      <c r="B2070" s="202"/>
      <c r="C2070" s="52" t="s">
        <v>679</v>
      </c>
      <c r="D2070" s="47"/>
      <c r="E2070" s="37"/>
      <c r="F2070" s="34" t="s">
        <v>558</v>
      </c>
      <c r="G2070" s="34" t="str">
        <f>IF(ISNUMBER(F2070),E2070*F2070,"")</f>
        <v/>
      </c>
      <c r="H2070" s="35"/>
      <c r="I2070" s="31"/>
      <c r="J2070" s="155">
        <v>0</v>
      </c>
    </row>
    <row r="2071" spans="1:10" ht="15.75" hidden="1" thickBot="1" x14ac:dyDescent="0.3">
      <c r="A2071" s="201"/>
      <c r="B2071" s="188"/>
      <c r="C2071" s="36"/>
      <c r="D2071" s="36"/>
      <c r="E2071" s="37"/>
      <c r="F2071" s="31" t="s">
        <v>558</v>
      </c>
      <c r="G2071" s="31" t="str">
        <f>IF(ISNUMBER(F2071),E2071*F2071,"")</f>
        <v/>
      </c>
      <c r="H2071" s="35"/>
      <c r="I2071" s="31"/>
      <c r="J2071" s="155">
        <v>0</v>
      </c>
    </row>
    <row r="2072" spans="1:10" ht="15.75" hidden="1" thickBot="1" x14ac:dyDescent="0.3">
      <c r="A2072" s="180" t="s">
        <v>690</v>
      </c>
      <c r="B2072" s="186" t="str">
        <f>INDEX(Orçamentária!A:B,MATCH(Composições!A2072,Orçamentária!A:A,0),2)</f>
        <v>Isolamento elastomérico para tubulações de cobre de 7/8" / tubulações de ferro de 1/2"</v>
      </c>
      <c r="C2072" s="41"/>
      <c r="D2072" s="26" t="str">
        <f>TRIM(INDEX(Orçamentária!C:C,MATCH(Composições!A2072,Orçamentária!A:A,0),1))</f>
        <v>m</v>
      </c>
      <c r="E2072" s="27"/>
      <c r="F2072" s="42" t="s">
        <v>558</v>
      </c>
      <c r="G2072" s="28" t="str">
        <f>IF(ISNUMBER(F2072),E2072*F2072,"")</f>
        <v/>
      </c>
      <c r="H2072" s="29"/>
      <c r="I2072" s="30"/>
      <c r="J2072" s="155">
        <v>0</v>
      </c>
    </row>
    <row r="2073" spans="1:10" ht="15.75" hidden="1" thickBot="1" x14ac:dyDescent="0.3">
      <c r="A2073" s="200"/>
      <c r="B2073" s="202"/>
      <c r="C2073" s="32"/>
      <c r="D2073" s="32"/>
      <c r="E2073" s="33"/>
      <c r="F2073" s="43" t="s">
        <v>558</v>
      </c>
      <c r="G2073" s="31" t="str">
        <f>IF(ISNUMBER(F2073),E2073*F2073,"")</f>
        <v/>
      </c>
      <c r="H2073" s="35"/>
      <c r="I2073" s="31"/>
      <c r="J2073" s="155">
        <v>0</v>
      </c>
    </row>
    <row r="2074" spans="1:10" ht="51.75" hidden="1" thickBot="1" x14ac:dyDescent="0.3">
      <c r="A2074" s="200"/>
      <c r="B2074" s="202"/>
      <c r="C2074" s="36" t="s">
        <v>691</v>
      </c>
      <c r="D2074" s="47" t="s">
        <v>93</v>
      </c>
      <c r="E2074" s="37">
        <v>1.0210999999999999</v>
      </c>
      <c r="F2074" s="34" t="s">
        <v>558</v>
      </c>
      <c r="G2074" s="34" t="str">
        <f>IF(ISNUMBER(F2074),E2074*F2074,"")</f>
        <v/>
      </c>
      <c r="H2074" s="39">
        <f>SUM(G2074:G2076)</f>
        <v>0.7595135999999999</v>
      </c>
      <c r="I2074" s="40"/>
      <c r="J2074" s="155">
        <v>0</v>
      </c>
    </row>
    <row r="2075" spans="1:10" ht="26.25" hidden="1" thickBot="1" x14ac:dyDescent="0.3">
      <c r="A2075" s="200"/>
      <c r="B2075" s="202"/>
      <c r="C2075" s="36" t="s">
        <v>108</v>
      </c>
      <c r="D2075" s="47" t="s">
        <v>12</v>
      </c>
      <c r="E2075" s="37">
        <f>0.064*0.3</f>
        <v>1.9199999999999998E-2</v>
      </c>
      <c r="F2075" s="31">
        <v>17.3185</v>
      </c>
      <c r="G2075" s="34">
        <f>IF(ISNUMBER(F2075),E2075*F2075,"")</f>
        <v>0.33251519999999996</v>
      </c>
      <c r="H2075" s="35"/>
      <c r="I2075" s="31"/>
      <c r="J2075" s="155">
        <v>0</v>
      </c>
    </row>
    <row r="2076" spans="1:10" ht="15.75" hidden="1" thickBot="1" x14ac:dyDescent="0.3">
      <c r="A2076" s="200"/>
      <c r="B2076" s="202"/>
      <c r="C2076" s="36" t="s">
        <v>39</v>
      </c>
      <c r="D2076" s="47" t="s">
        <v>12</v>
      </c>
      <c r="E2076" s="37">
        <f>0.064*0.3</f>
        <v>1.9199999999999998E-2</v>
      </c>
      <c r="F2076" s="31">
        <v>22.2395</v>
      </c>
      <c r="G2076" s="34">
        <f>IF(ISNUMBER(F2076),E2076*F2076,"")</f>
        <v>0.42699839999999994</v>
      </c>
      <c r="H2076" s="35"/>
      <c r="I2076" s="31"/>
      <c r="J2076" s="155">
        <v>0</v>
      </c>
    </row>
    <row r="2077" spans="1:10" ht="15.75" hidden="1" thickBot="1" x14ac:dyDescent="0.3">
      <c r="A2077" s="200"/>
      <c r="B2077" s="202"/>
      <c r="C2077" s="36"/>
      <c r="D2077" s="47"/>
      <c r="E2077" s="37"/>
      <c r="F2077" s="34" t="s">
        <v>558</v>
      </c>
      <c r="G2077" s="34" t="str">
        <f>IF(ISNUMBER(F2077),E2077*F2077,"")</f>
        <v/>
      </c>
      <c r="H2077" s="35"/>
      <c r="I2077" s="31"/>
      <c r="J2077" s="155">
        <v>0</v>
      </c>
    </row>
    <row r="2078" spans="1:10" ht="39" hidden="1" thickBot="1" x14ac:dyDescent="0.3">
      <c r="A2078" s="200"/>
      <c r="B2078" s="202"/>
      <c r="C2078" s="52" t="s">
        <v>679</v>
      </c>
      <c r="D2078" s="47"/>
      <c r="E2078" s="37"/>
      <c r="F2078" s="34" t="s">
        <v>558</v>
      </c>
      <c r="G2078" s="34" t="str">
        <f>IF(ISNUMBER(F2078),E2078*F2078,"")</f>
        <v/>
      </c>
      <c r="H2078" s="35"/>
      <c r="I2078" s="31"/>
      <c r="J2078" s="155">
        <v>0</v>
      </c>
    </row>
    <row r="2079" spans="1:10" ht="15.75" hidden="1" thickBot="1" x14ac:dyDescent="0.3">
      <c r="A2079" s="201"/>
      <c r="B2079" s="188"/>
      <c r="C2079" s="36"/>
      <c r="D2079" s="36"/>
      <c r="E2079" s="37"/>
      <c r="F2079" s="31" t="s">
        <v>558</v>
      </c>
      <c r="G2079" s="31" t="str">
        <f>IF(ISNUMBER(F2079),E2079*F2079,"")</f>
        <v/>
      </c>
      <c r="H2079" s="35"/>
      <c r="I2079" s="31"/>
      <c r="J2079" s="155">
        <v>0</v>
      </c>
    </row>
    <row r="2080" spans="1:10" ht="15.75" hidden="1" thickBot="1" x14ac:dyDescent="0.3">
      <c r="A2080" s="180" t="s">
        <v>692</v>
      </c>
      <c r="B2080" s="186" t="str">
        <f>INDEX(Orçamentária!A:B,MATCH(Composições!A2080,Orçamentária!A:A,0),2)</f>
        <v>Isolamento elastomérico para tubulações de cobre de 1"</v>
      </c>
      <c r="C2080" s="41"/>
      <c r="D2080" s="26" t="str">
        <f>TRIM(INDEX(Orçamentária!C:C,MATCH(Composições!A2080,Orçamentária!A:A,0),1))</f>
        <v>m</v>
      </c>
      <c r="E2080" s="27"/>
      <c r="F2080" s="42" t="s">
        <v>558</v>
      </c>
      <c r="G2080" s="28" t="str">
        <f>IF(ISNUMBER(F2080),E2080*F2080,"")</f>
        <v/>
      </c>
      <c r="H2080" s="29"/>
      <c r="I2080" s="30"/>
      <c r="J2080" s="155">
        <v>0</v>
      </c>
    </row>
    <row r="2081" spans="1:10" ht="15.75" hidden="1" thickBot="1" x14ac:dyDescent="0.3">
      <c r="A2081" s="200"/>
      <c r="B2081" s="202"/>
      <c r="C2081" s="32"/>
      <c r="D2081" s="32"/>
      <c r="E2081" s="33"/>
      <c r="F2081" s="43" t="s">
        <v>558</v>
      </c>
      <c r="G2081" s="31" t="str">
        <f>IF(ISNUMBER(F2081),E2081*F2081,"")</f>
        <v/>
      </c>
      <c r="H2081" s="35"/>
      <c r="I2081" s="31"/>
      <c r="J2081" s="155">
        <v>0</v>
      </c>
    </row>
    <row r="2082" spans="1:10" ht="39" hidden="1" thickBot="1" x14ac:dyDescent="0.3">
      <c r="A2082" s="200"/>
      <c r="B2082" s="202"/>
      <c r="C2082" s="36" t="s">
        <v>693</v>
      </c>
      <c r="D2082" s="47" t="s">
        <v>93</v>
      </c>
      <c r="E2082" s="37">
        <v>1.0210999999999999</v>
      </c>
      <c r="F2082" s="34" t="s">
        <v>558</v>
      </c>
      <c r="G2082" s="34" t="str">
        <f>IF(ISNUMBER(F2082),E2082*F2082,"")</f>
        <v/>
      </c>
      <c r="H2082" s="39">
        <f>SUM(G2082:G2084)</f>
        <v>0.7595135999999999</v>
      </c>
      <c r="I2082" s="40"/>
      <c r="J2082" s="155">
        <v>0</v>
      </c>
    </row>
    <row r="2083" spans="1:10" ht="26.25" hidden="1" thickBot="1" x14ac:dyDescent="0.3">
      <c r="A2083" s="200"/>
      <c r="B2083" s="202"/>
      <c r="C2083" s="36" t="s">
        <v>108</v>
      </c>
      <c r="D2083" s="47" t="s">
        <v>12</v>
      </c>
      <c r="E2083" s="37">
        <f>0.064*0.3</f>
        <v>1.9199999999999998E-2</v>
      </c>
      <c r="F2083" s="31">
        <v>17.3185</v>
      </c>
      <c r="G2083" s="34">
        <f>IF(ISNUMBER(F2083),E2083*F2083,"")</f>
        <v>0.33251519999999996</v>
      </c>
      <c r="H2083" s="35"/>
      <c r="I2083" s="31"/>
      <c r="J2083" s="155">
        <v>0</v>
      </c>
    </row>
    <row r="2084" spans="1:10" ht="15.75" hidden="1" thickBot="1" x14ac:dyDescent="0.3">
      <c r="A2084" s="200"/>
      <c r="B2084" s="202"/>
      <c r="C2084" s="36" t="s">
        <v>39</v>
      </c>
      <c r="D2084" s="47" t="s">
        <v>12</v>
      </c>
      <c r="E2084" s="37">
        <f>0.064*0.3</f>
        <v>1.9199999999999998E-2</v>
      </c>
      <c r="F2084" s="31">
        <v>22.2395</v>
      </c>
      <c r="G2084" s="34">
        <f>IF(ISNUMBER(F2084),E2084*F2084,"")</f>
        <v>0.42699839999999994</v>
      </c>
      <c r="H2084" s="35"/>
      <c r="I2084" s="31"/>
      <c r="J2084" s="155">
        <v>0</v>
      </c>
    </row>
    <row r="2085" spans="1:10" ht="15.75" hidden="1" thickBot="1" x14ac:dyDescent="0.3">
      <c r="A2085" s="200"/>
      <c r="B2085" s="202"/>
      <c r="C2085" s="36"/>
      <c r="D2085" s="47"/>
      <c r="E2085" s="37"/>
      <c r="F2085" s="34" t="s">
        <v>558</v>
      </c>
      <c r="G2085" s="34" t="str">
        <f>IF(ISNUMBER(F2085),E2085*F2085,"")</f>
        <v/>
      </c>
      <c r="H2085" s="35"/>
      <c r="I2085" s="31"/>
      <c r="J2085" s="155">
        <v>0</v>
      </c>
    </row>
    <row r="2086" spans="1:10" ht="39" hidden="1" thickBot="1" x14ac:dyDescent="0.3">
      <c r="A2086" s="200"/>
      <c r="B2086" s="202"/>
      <c r="C2086" s="52" t="s">
        <v>679</v>
      </c>
      <c r="D2086" s="47"/>
      <c r="E2086" s="37"/>
      <c r="F2086" s="34" t="s">
        <v>558</v>
      </c>
      <c r="G2086" s="34" t="str">
        <f>IF(ISNUMBER(F2086),E2086*F2086,"")</f>
        <v/>
      </c>
      <c r="H2086" s="35"/>
      <c r="I2086" s="31"/>
      <c r="J2086" s="155">
        <v>0</v>
      </c>
    </row>
    <row r="2087" spans="1:10" ht="15.75" hidden="1" thickBot="1" x14ac:dyDescent="0.3">
      <c r="A2087" s="201"/>
      <c r="B2087" s="188"/>
      <c r="C2087" s="36"/>
      <c r="D2087" s="36"/>
      <c r="E2087" s="37"/>
      <c r="F2087" s="31" t="s">
        <v>558</v>
      </c>
      <c r="G2087" s="31" t="str">
        <f>IF(ISNUMBER(F2087),E2087*F2087,"")</f>
        <v/>
      </c>
      <c r="H2087" s="35"/>
      <c r="I2087" s="31"/>
      <c r="J2087" s="155">
        <v>0</v>
      </c>
    </row>
    <row r="2088" spans="1:10" ht="15.75" hidden="1" thickBot="1" x14ac:dyDescent="0.3">
      <c r="A2088" s="180" t="s">
        <v>694</v>
      </c>
      <c r="B2088" s="186" t="str">
        <f>INDEX(Orçamentária!A:B,MATCH(Composições!A2088,Orçamentária!A:A,0),2)</f>
        <v>Isolamento elastomérico para tubulações de ferro de 1 1/2"</v>
      </c>
      <c r="C2088" s="41"/>
      <c r="D2088" s="26" t="str">
        <f>TRIM(INDEX(Orçamentária!C:C,MATCH(Composições!A2088,Orçamentária!A:A,0),1))</f>
        <v>m</v>
      </c>
      <c r="E2088" s="27"/>
      <c r="F2088" s="42" t="s">
        <v>558</v>
      </c>
      <c r="G2088" s="28" t="str">
        <f>IF(ISNUMBER(F2088),E2088*F2088,"")</f>
        <v/>
      </c>
      <c r="H2088" s="29"/>
      <c r="I2088" s="30"/>
      <c r="J2088" s="155">
        <v>0</v>
      </c>
    </row>
    <row r="2089" spans="1:10" ht="15.75" hidden="1" thickBot="1" x14ac:dyDescent="0.3">
      <c r="A2089" s="200"/>
      <c r="B2089" s="202"/>
      <c r="C2089" s="32"/>
      <c r="D2089" s="32"/>
      <c r="E2089" s="33"/>
      <c r="F2089" s="43" t="s">
        <v>558</v>
      </c>
      <c r="G2089" s="31" t="str">
        <f>IF(ISNUMBER(F2089),E2089*F2089,"")</f>
        <v/>
      </c>
      <c r="H2089" s="35"/>
      <c r="I2089" s="31"/>
      <c r="J2089" s="155">
        <v>0</v>
      </c>
    </row>
    <row r="2090" spans="1:10" ht="39" hidden="1" thickBot="1" x14ac:dyDescent="0.3">
      <c r="A2090" s="200"/>
      <c r="B2090" s="202"/>
      <c r="C2090" s="36" t="s">
        <v>695</v>
      </c>
      <c r="D2090" s="47" t="s">
        <v>93</v>
      </c>
      <c r="E2090" s="37">
        <v>1.0210999999999999</v>
      </c>
      <c r="F2090" s="34" t="s">
        <v>558</v>
      </c>
      <c r="G2090" s="34" t="str">
        <f>IF(ISNUMBER(F2090),E2090*F2090,"")</f>
        <v/>
      </c>
      <c r="H2090" s="39">
        <f>SUM(G2090:G2092)</f>
        <v>0.7595135999999999</v>
      </c>
      <c r="I2090" s="40"/>
      <c r="J2090" s="155">
        <v>0</v>
      </c>
    </row>
    <row r="2091" spans="1:10" ht="26.25" hidden="1" thickBot="1" x14ac:dyDescent="0.3">
      <c r="A2091" s="200"/>
      <c r="B2091" s="202"/>
      <c r="C2091" s="36" t="s">
        <v>108</v>
      </c>
      <c r="D2091" s="47" t="s">
        <v>12</v>
      </c>
      <c r="E2091" s="37">
        <f>0.064*0.3</f>
        <v>1.9199999999999998E-2</v>
      </c>
      <c r="F2091" s="31">
        <v>17.3185</v>
      </c>
      <c r="G2091" s="34">
        <f>IF(ISNUMBER(F2091),E2091*F2091,"")</f>
        <v>0.33251519999999996</v>
      </c>
      <c r="H2091" s="35"/>
      <c r="I2091" s="31"/>
      <c r="J2091" s="155">
        <v>0</v>
      </c>
    </row>
    <row r="2092" spans="1:10" ht="15.75" hidden="1" thickBot="1" x14ac:dyDescent="0.3">
      <c r="A2092" s="200"/>
      <c r="B2092" s="202"/>
      <c r="C2092" s="36" t="s">
        <v>39</v>
      </c>
      <c r="D2092" s="47" t="s">
        <v>12</v>
      </c>
      <c r="E2092" s="37">
        <f>0.064*0.3</f>
        <v>1.9199999999999998E-2</v>
      </c>
      <c r="F2092" s="31">
        <v>22.2395</v>
      </c>
      <c r="G2092" s="34">
        <f>IF(ISNUMBER(F2092),E2092*F2092,"")</f>
        <v>0.42699839999999994</v>
      </c>
      <c r="H2092" s="35"/>
      <c r="I2092" s="31"/>
      <c r="J2092" s="155">
        <v>0</v>
      </c>
    </row>
    <row r="2093" spans="1:10" ht="15.75" hidden="1" thickBot="1" x14ac:dyDescent="0.3">
      <c r="A2093" s="200"/>
      <c r="B2093" s="202"/>
      <c r="C2093" s="36"/>
      <c r="D2093" s="47"/>
      <c r="E2093" s="37"/>
      <c r="F2093" s="34" t="s">
        <v>558</v>
      </c>
      <c r="G2093" s="34" t="str">
        <f>IF(ISNUMBER(F2093),E2093*F2093,"")</f>
        <v/>
      </c>
      <c r="H2093" s="35"/>
      <c r="I2093" s="31"/>
      <c r="J2093" s="155">
        <v>0</v>
      </c>
    </row>
    <row r="2094" spans="1:10" ht="39" hidden="1" thickBot="1" x14ac:dyDescent="0.3">
      <c r="A2094" s="200"/>
      <c r="B2094" s="202"/>
      <c r="C2094" s="52" t="s">
        <v>679</v>
      </c>
      <c r="D2094" s="47"/>
      <c r="E2094" s="37"/>
      <c r="F2094" s="34" t="s">
        <v>558</v>
      </c>
      <c r="G2094" s="34" t="str">
        <f>IF(ISNUMBER(F2094),E2094*F2094,"")</f>
        <v/>
      </c>
      <c r="H2094" s="35"/>
      <c r="I2094" s="31"/>
      <c r="J2094" s="155">
        <v>0</v>
      </c>
    </row>
    <row r="2095" spans="1:10" ht="15.75" hidden="1" thickBot="1" x14ac:dyDescent="0.3">
      <c r="A2095" s="201"/>
      <c r="B2095" s="188"/>
      <c r="C2095" s="36"/>
      <c r="D2095" s="36"/>
      <c r="E2095" s="37"/>
      <c r="F2095" s="31" t="s">
        <v>558</v>
      </c>
      <c r="G2095" s="31" t="str">
        <f>IF(ISNUMBER(F2095),E2095*F2095,"")</f>
        <v/>
      </c>
      <c r="H2095" s="35"/>
      <c r="I2095" s="31"/>
      <c r="J2095" s="155">
        <v>0</v>
      </c>
    </row>
    <row r="2096" spans="1:10" ht="15.75" hidden="1" thickBot="1" x14ac:dyDescent="0.3">
      <c r="A2096" s="180" t="s">
        <v>696</v>
      </c>
      <c r="B2096" s="186" t="str">
        <f>INDEX(Orçamentária!A:B,MATCH(Composições!A2096,Orçamentária!A:A,0),2)</f>
        <v>Isolamento elastomérico para tubulações de cobre 1 5/8" / tubulações de ferro de 1 1/4"</v>
      </c>
      <c r="C2096" s="41"/>
      <c r="D2096" s="26" t="str">
        <f>TRIM(INDEX(Orçamentária!C:C,MATCH(Composições!A2096,Orçamentária!A:A,0),1))</f>
        <v>m</v>
      </c>
      <c r="E2096" s="27"/>
      <c r="F2096" s="42" t="s">
        <v>558</v>
      </c>
      <c r="G2096" s="28" t="str">
        <f>IF(ISNUMBER(F2096),E2096*F2096,"")</f>
        <v/>
      </c>
      <c r="H2096" s="29"/>
      <c r="I2096" s="30"/>
      <c r="J2096" s="155">
        <v>0</v>
      </c>
    </row>
    <row r="2097" spans="1:10" ht="15.75" hidden="1" thickBot="1" x14ac:dyDescent="0.3">
      <c r="A2097" s="200"/>
      <c r="B2097" s="202"/>
      <c r="C2097" s="32"/>
      <c r="D2097" s="32"/>
      <c r="E2097" s="33"/>
      <c r="F2097" s="43" t="s">
        <v>558</v>
      </c>
      <c r="G2097" s="31" t="str">
        <f>IF(ISNUMBER(F2097),E2097*F2097,"")</f>
        <v/>
      </c>
      <c r="H2097" s="35"/>
      <c r="I2097" s="31"/>
      <c r="J2097" s="155">
        <v>0</v>
      </c>
    </row>
    <row r="2098" spans="1:10" ht="39" hidden="1" thickBot="1" x14ac:dyDescent="0.3">
      <c r="A2098" s="200"/>
      <c r="B2098" s="202"/>
      <c r="C2098" s="36" t="s">
        <v>697</v>
      </c>
      <c r="D2098" s="47" t="s">
        <v>93</v>
      </c>
      <c r="E2098" s="37">
        <v>1.0210999999999999</v>
      </c>
      <c r="F2098" s="34" t="s">
        <v>558</v>
      </c>
      <c r="G2098" s="34" t="str">
        <f>IF(ISNUMBER(F2098),E2098*F2098,"")</f>
        <v/>
      </c>
      <c r="H2098" s="39">
        <f>SUM(G2098:G2100)</f>
        <v>0.7595135999999999</v>
      </c>
      <c r="I2098" s="40"/>
      <c r="J2098" s="155">
        <v>0</v>
      </c>
    </row>
    <row r="2099" spans="1:10" ht="26.25" hidden="1" thickBot="1" x14ac:dyDescent="0.3">
      <c r="A2099" s="200"/>
      <c r="B2099" s="202"/>
      <c r="C2099" s="36" t="s">
        <v>108</v>
      </c>
      <c r="D2099" s="47" t="s">
        <v>12</v>
      </c>
      <c r="E2099" s="37">
        <f>0.064*0.3</f>
        <v>1.9199999999999998E-2</v>
      </c>
      <c r="F2099" s="31">
        <v>17.3185</v>
      </c>
      <c r="G2099" s="34">
        <f>IF(ISNUMBER(F2099),E2099*F2099,"")</f>
        <v>0.33251519999999996</v>
      </c>
      <c r="H2099" s="35"/>
      <c r="I2099" s="31"/>
      <c r="J2099" s="155">
        <v>0</v>
      </c>
    </row>
    <row r="2100" spans="1:10" ht="15.75" hidden="1" thickBot="1" x14ac:dyDescent="0.3">
      <c r="A2100" s="200"/>
      <c r="B2100" s="202"/>
      <c r="C2100" s="36" t="s">
        <v>39</v>
      </c>
      <c r="D2100" s="47" t="s">
        <v>12</v>
      </c>
      <c r="E2100" s="37">
        <f>0.064*0.3</f>
        <v>1.9199999999999998E-2</v>
      </c>
      <c r="F2100" s="31">
        <v>22.2395</v>
      </c>
      <c r="G2100" s="34">
        <f>IF(ISNUMBER(F2100),E2100*F2100,"")</f>
        <v>0.42699839999999994</v>
      </c>
      <c r="H2100" s="35"/>
      <c r="I2100" s="31"/>
      <c r="J2100" s="155">
        <v>0</v>
      </c>
    </row>
    <row r="2101" spans="1:10" ht="15.75" hidden="1" thickBot="1" x14ac:dyDescent="0.3">
      <c r="A2101" s="200"/>
      <c r="B2101" s="202"/>
      <c r="C2101" s="36"/>
      <c r="D2101" s="47"/>
      <c r="E2101" s="37"/>
      <c r="F2101" s="34" t="s">
        <v>558</v>
      </c>
      <c r="G2101" s="34" t="str">
        <f>IF(ISNUMBER(F2101),E2101*F2101,"")</f>
        <v/>
      </c>
      <c r="H2101" s="35"/>
      <c r="I2101" s="31"/>
      <c r="J2101" s="155">
        <v>0</v>
      </c>
    </row>
    <row r="2102" spans="1:10" ht="39" hidden="1" thickBot="1" x14ac:dyDescent="0.3">
      <c r="A2102" s="200"/>
      <c r="B2102" s="202"/>
      <c r="C2102" s="52" t="s">
        <v>679</v>
      </c>
      <c r="D2102" s="47"/>
      <c r="E2102" s="37"/>
      <c r="F2102" s="34" t="s">
        <v>558</v>
      </c>
      <c r="G2102" s="34" t="str">
        <f>IF(ISNUMBER(F2102),E2102*F2102,"")</f>
        <v/>
      </c>
      <c r="H2102" s="35"/>
      <c r="I2102" s="31"/>
      <c r="J2102" s="155">
        <v>0</v>
      </c>
    </row>
    <row r="2103" spans="1:10" ht="15.75" hidden="1" thickBot="1" x14ac:dyDescent="0.3">
      <c r="A2103" s="201"/>
      <c r="B2103" s="188"/>
      <c r="C2103" s="36"/>
      <c r="D2103" s="36"/>
      <c r="E2103" s="37"/>
      <c r="F2103" s="31" t="s">
        <v>558</v>
      </c>
      <c r="G2103" s="31" t="str">
        <f>IF(ISNUMBER(F2103),E2103*F2103,"")</f>
        <v/>
      </c>
      <c r="H2103" s="35"/>
      <c r="I2103" s="31"/>
      <c r="J2103" s="155">
        <v>0</v>
      </c>
    </row>
    <row r="2104" spans="1:10" ht="15.75" hidden="1" thickBot="1" x14ac:dyDescent="0.3">
      <c r="A2104" s="180" t="s">
        <v>698</v>
      </c>
      <c r="B2104" s="186" t="str">
        <f>INDEX(Orçamentária!A:B,MATCH(Composições!A2104,Orçamentária!A:A,0),2)</f>
        <v>Isolamento elastomérico para tubulações de cobre 1 3/8" / tubulações de ferro de 1"</v>
      </c>
      <c r="C2104" s="41"/>
      <c r="D2104" s="26" t="str">
        <f>TRIM(INDEX(Orçamentária!C:C,MATCH(Composições!A2104,Orçamentária!A:A,0),1))</f>
        <v>m</v>
      </c>
      <c r="E2104" s="27"/>
      <c r="F2104" s="42" t="s">
        <v>558</v>
      </c>
      <c r="G2104" s="28" t="str">
        <f>IF(ISNUMBER(F2104),E2104*F2104,"")</f>
        <v/>
      </c>
      <c r="H2104" s="29"/>
      <c r="I2104" s="30"/>
      <c r="J2104" s="155">
        <v>0</v>
      </c>
    </row>
    <row r="2105" spans="1:10" ht="15.75" hidden="1" thickBot="1" x14ac:dyDescent="0.3">
      <c r="A2105" s="200"/>
      <c r="B2105" s="202"/>
      <c r="C2105" s="32"/>
      <c r="D2105" s="32"/>
      <c r="E2105" s="33"/>
      <c r="F2105" s="43" t="s">
        <v>558</v>
      </c>
      <c r="G2105" s="31" t="str">
        <f>IF(ISNUMBER(F2105),E2105*F2105,"")</f>
        <v/>
      </c>
      <c r="H2105" s="35"/>
      <c r="I2105" s="31"/>
      <c r="J2105" s="155">
        <v>0</v>
      </c>
    </row>
    <row r="2106" spans="1:10" ht="39" hidden="1" thickBot="1" x14ac:dyDescent="0.3">
      <c r="A2106" s="200"/>
      <c r="B2106" s="202"/>
      <c r="C2106" s="36" t="s">
        <v>699</v>
      </c>
      <c r="D2106" s="47" t="s">
        <v>93</v>
      </c>
      <c r="E2106" s="37">
        <v>1.0210999999999999</v>
      </c>
      <c r="F2106" s="34" t="s">
        <v>558</v>
      </c>
      <c r="G2106" s="34" t="str">
        <f>IF(ISNUMBER(F2106),E2106*F2106,"")</f>
        <v/>
      </c>
      <c r="H2106" s="39">
        <f>SUM(G2106:G2108)</f>
        <v>0.7595135999999999</v>
      </c>
      <c r="I2106" s="40"/>
      <c r="J2106" s="155">
        <v>0</v>
      </c>
    </row>
    <row r="2107" spans="1:10" ht="26.25" hidden="1" thickBot="1" x14ac:dyDescent="0.3">
      <c r="A2107" s="200"/>
      <c r="B2107" s="202"/>
      <c r="C2107" s="36" t="s">
        <v>108</v>
      </c>
      <c r="D2107" s="47" t="s">
        <v>12</v>
      </c>
      <c r="E2107" s="37">
        <f>0.064*0.3</f>
        <v>1.9199999999999998E-2</v>
      </c>
      <c r="F2107" s="31">
        <v>17.3185</v>
      </c>
      <c r="G2107" s="34">
        <f>IF(ISNUMBER(F2107),E2107*F2107,"")</f>
        <v>0.33251519999999996</v>
      </c>
      <c r="H2107" s="35"/>
      <c r="I2107" s="31"/>
      <c r="J2107" s="155">
        <v>0</v>
      </c>
    </row>
    <row r="2108" spans="1:10" ht="15.75" hidden="1" thickBot="1" x14ac:dyDescent="0.3">
      <c r="A2108" s="200"/>
      <c r="B2108" s="202"/>
      <c r="C2108" s="36" t="s">
        <v>39</v>
      </c>
      <c r="D2108" s="47" t="s">
        <v>12</v>
      </c>
      <c r="E2108" s="37">
        <f>0.064*0.3</f>
        <v>1.9199999999999998E-2</v>
      </c>
      <c r="F2108" s="31">
        <v>22.2395</v>
      </c>
      <c r="G2108" s="34">
        <f>IF(ISNUMBER(F2108),E2108*F2108,"")</f>
        <v>0.42699839999999994</v>
      </c>
      <c r="H2108" s="35"/>
      <c r="I2108" s="31"/>
      <c r="J2108" s="155">
        <v>0</v>
      </c>
    </row>
    <row r="2109" spans="1:10" ht="15.75" hidden="1" thickBot="1" x14ac:dyDescent="0.3">
      <c r="A2109" s="200"/>
      <c r="B2109" s="202"/>
      <c r="C2109" s="36"/>
      <c r="D2109" s="47"/>
      <c r="E2109" s="37"/>
      <c r="F2109" s="34" t="s">
        <v>558</v>
      </c>
      <c r="G2109" s="34" t="str">
        <f>IF(ISNUMBER(F2109),E2109*F2109,"")</f>
        <v/>
      </c>
      <c r="H2109" s="35"/>
      <c r="I2109" s="31"/>
      <c r="J2109" s="155">
        <v>0</v>
      </c>
    </row>
    <row r="2110" spans="1:10" ht="39" hidden="1" thickBot="1" x14ac:dyDescent="0.3">
      <c r="A2110" s="200"/>
      <c r="B2110" s="202"/>
      <c r="C2110" s="52" t="s">
        <v>679</v>
      </c>
      <c r="D2110" s="47"/>
      <c r="E2110" s="37"/>
      <c r="F2110" s="34" t="s">
        <v>558</v>
      </c>
      <c r="G2110" s="34" t="str">
        <f>IF(ISNUMBER(F2110),E2110*F2110,"")</f>
        <v/>
      </c>
      <c r="H2110" s="35"/>
      <c r="I2110" s="31"/>
      <c r="J2110" s="155">
        <v>0</v>
      </c>
    </row>
    <row r="2111" spans="1:10" ht="15.75" hidden="1" thickBot="1" x14ac:dyDescent="0.3">
      <c r="A2111" s="201"/>
      <c r="B2111" s="188"/>
      <c r="C2111" s="36"/>
      <c r="D2111" s="36"/>
      <c r="E2111" s="37"/>
      <c r="F2111" s="31" t="s">
        <v>558</v>
      </c>
      <c r="G2111" s="31" t="str">
        <f>IF(ISNUMBER(F2111),E2111*F2111,"")</f>
        <v/>
      </c>
      <c r="H2111" s="35"/>
      <c r="I2111" s="31"/>
      <c r="J2111" s="155">
        <v>0</v>
      </c>
    </row>
    <row r="2112" spans="1:10" ht="15.75" hidden="1" thickBot="1" x14ac:dyDescent="0.3">
      <c r="A2112" s="180" t="s">
        <v>700</v>
      </c>
      <c r="B2112" s="186" t="str">
        <f>INDEX(Orçamentária!A:B,MATCH(Composições!A2112,Orçamentária!A:A,0),2)</f>
        <v>Proteção mecânica em alumínio</v>
      </c>
      <c r="C2112" s="41"/>
      <c r="D2112" s="26" t="str">
        <f>TRIM(INDEX(Orçamentária!C:C,MATCH(Composições!A2112,Orçamentária!A:A,0),1))</f>
        <v>m2</v>
      </c>
      <c r="E2112" s="27"/>
      <c r="F2112" s="42" t="s">
        <v>558</v>
      </c>
      <c r="G2112" s="28" t="str">
        <f>IF(ISNUMBER(F2112),E2112*F2112,"")</f>
        <v/>
      </c>
      <c r="H2112" s="29"/>
      <c r="I2112" s="30"/>
      <c r="J2112" s="155">
        <v>0</v>
      </c>
    </row>
    <row r="2113" spans="1:10" ht="15.75" hidden="1" thickBot="1" x14ac:dyDescent="0.3">
      <c r="A2113" s="200"/>
      <c r="B2113" s="202"/>
      <c r="C2113" s="32"/>
      <c r="D2113" s="32"/>
      <c r="E2113" s="33"/>
      <c r="F2113" s="43" t="s">
        <v>558</v>
      </c>
      <c r="G2113" s="31" t="str">
        <f>IF(ISNUMBER(F2113),E2113*F2113,"")</f>
        <v/>
      </c>
      <c r="H2113" s="35"/>
      <c r="I2113" s="31"/>
      <c r="J2113" s="155">
        <v>0</v>
      </c>
    </row>
    <row r="2114" spans="1:10" ht="26.25" hidden="1" thickBot="1" x14ac:dyDescent="0.3">
      <c r="A2114" s="200"/>
      <c r="B2114" s="202"/>
      <c r="C2114" s="36" t="s">
        <v>108</v>
      </c>
      <c r="D2114" s="47" t="s">
        <v>12</v>
      </c>
      <c r="E2114" s="37">
        <v>0.2</v>
      </c>
      <c r="F2114" s="31">
        <v>17.3185</v>
      </c>
      <c r="G2114" s="34">
        <f>IF(ISNUMBER(F2114),E2114*F2114,"")</f>
        <v>3.4637000000000002</v>
      </c>
      <c r="H2114" s="39">
        <f>SUM(G2114:G2116)</f>
        <v>7.9116</v>
      </c>
      <c r="I2114" s="40"/>
      <c r="J2114" s="155">
        <v>0</v>
      </c>
    </row>
    <row r="2115" spans="1:10" ht="15.75" hidden="1" thickBot="1" x14ac:dyDescent="0.3">
      <c r="A2115" s="200"/>
      <c r="B2115" s="202"/>
      <c r="C2115" s="36" t="s">
        <v>39</v>
      </c>
      <c r="D2115" s="47" t="s">
        <v>12</v>
      </c>
      <c r="E2115" s="37">
        <v>0.2</v>
      </c>
      <c r="F2115" s="31">
        <v>22.2395</v>
      </c>
      <c r="G2115" s="34">
        <f>IF(ISNUMBER(F2115),E2115*F2115,"")</f>
        <v>4.4478999999999997</v>
      </c>
      <c r="H2115" s="35"/>
      <c r="I2115" s="31"/>
      <c r="J2115" s="155">
        <v>0</v>
      </c>
    </row>
    <row r="2116" spans="1:10" ht="15.75" hidden="1" thickBot="1" x14ac:dyDescent="0.3">
      <c r="A2116" s="200"/>
      <c r="B2116" s="202"/>
      <c r="C2116" s="36" t="s">
        <v>701</v>
      </c>
      <c r="D2116" s="47" t="s">
        <v>95</v>
      </c>
      <c r="E2116" s="37">
        <v>1.05</v>
      </c>
      <c r="F2116" s="34" t="s">
        <v>558</v>
      </c>
      <c r="G2116" s="34" t="str">
        <f>IF(ISNUMBER(F2116),E2116*F2116,"")</f>
        <v/>
      </c>
      <c r="H2116" s="35"/>
      <c r="I2116" s="31"/>
      <c r="J2116" s="155">
        <v>0</v>
      </c>
    </row>
    <row r="2117" spans="1:10" ht="15.75" hidden="1" thickBot="1" x14ac:dyDescent="0.3">
      <c r="A2117" s="201"/>
      <c r="B2117" s="188"/>
      <c r="C2117" s="36"/>
      <c r="D2117" s="36"/>
      <c r="E2117" s="37"/>
      <c r="F2117" s="31" t="s">
        <v>558</v>
      </c>
      <c r="G2117" s="31" t="str">
        <f>IF(ISNUMBER(F2117),E2117*F2117,"")</f>
        <v/>
      </c>
      <c r="H2117" s="35"/>
      <c r="I2117" s="31"/>
      <c r="J2117" s="155">
        <v>0</v>
      </c>
    </row>
    <row r="2118" spans="1:10" ht="15.75" hidden="1" thickBot="1" x14ac:dyDescent="0.3">
      <c r="A2118" s="180" t="s">
        <v>702</v>
      </c>
      <c r="B2118" s="186" t="str">
        <f>INDEX(Orçamentária!A:B,MATCH(Composições!A2118,Orçamentária!A:A,0),2)</f>
        <v>Tubo de aço-carbono galvanizado 1 1/2"</v>
      </c>
      <c r="C2118" s="41"/>
      <c r="D2118" s="26" t="str">
        <f>TRIM(INDEX(Orçamentária!C:C,MATCH(Composições!A2118,Orçamentária!A:A,0),1))</f>
        <v>m</v>
      </c>
      <c r="E2118" s="27"/>
      <c r="F2118" s="42" t="s">
        <v>558</v>
      </c>
      <c r="G2118" s="28" t="str">
        <f>IF(ISNUMBER(F2118),E2118*F2118,"")</f>
        <v/>
      </c>
      <c r="H2118" s="29"/>
      <c r="I2118" s="30"/>
      <c r="J2118" s="155">
        <v>0</v>
      </c>
    </row>
    <row r="2119" spans="1:10" ht="15.75" hidden="1" thickBot="1" x14ac:dyDescent="0.3">
      <c r="A2119" s="200"/>
      <c r="B2119" s="202"/>
      <c r="C2119" s="32"/>
      <c r="D2119" s="32"/>
      <c r="E2119" s="33"/>
      <c r="F2119" s="43" t="s">
        <v>558</v>
      </c>
      <c r="G2119" s="31" t="str">
        <f>IF(ISNUMBER(F2119),E2119*F2119,"")</f>
        <v/>
      </c>
      <c r="H2119" s="35"/>
      <c r="I2119" s="31"/>
      <c r="J2119" s="155">
        <v>0</v>
      </c>
    </row>
    <row r="2120" spans="1:10" ht="15.75" hidden="1" thickBot="1" x14ac:dyDescent="0.3">
      <c r="A2120" s="200"/>
      <c r="B2120" s="202"/>
      <c r="C2120" s="36" t="s">
        <v>39</v>
      </c>
      <c r="D2120" s="47" t="s">
        <v>12</v>
      </c>
      <c r="E2120" s="37">
        <v>0.29199999999999998</v>
      </c>
      <c r="F2120" s="31">
        <v>22.2395</v>
      </c>
      <c r="G2120" s="31">
        <f>IF(ISNUMBER(F2120),E2120*F2120,"")</f>
        <v>6.4939339999999994</v>
      </c>
      <c r="H2120" s="39">
        <f>SUM(G2120:G2122)</f>
        <v>94.798732999999999</v>
      </c>
      <c r="I2120" s="40"/>
      <c r="J2120" s="155">
        <v>0</v>
      </c>
    </row>
    <row r="2121" spans="1:10" ht="26.25" hidden="1" thickBot="1" x14ac:dyDescent="0.3">
      <c r="A2121" s="200"/>
      <c r="B2121" s="202"/>
      <c r="C2121" s="36" t="s">
        <v>108</v>
      </c>
      <c r="D2121" s="47" t="s">
        <v>12</v>
      </c>
      <c r="E2121" s="37">
        <v>0.29199999999999998</v>
      </c>
      <c r="F2121" s="31">
        <v>17.3185</v>
      </c>
      <c r="G2121" s="31">
        <f>IF(ISNUMBER(F2121),E2121*F2121,"")</f>
        <v>5.0570019999999998</v>
      </c>
      <c r="H2121" s="35"/>
      <c r="I2121" s="31"/>
      <c r="J2121" s="155">
        <v>0</v>
      </c>
    </row>
    <row r="2122" spans="1:10" ht="26.25" hidden="1" thickBot="1" x14ac:dyDescent="0.3">
      <c r="A2122" s="200"/>
      <c r="B2122" s="202"/>
      <c r="C2122" s="36" t="s">
        <v>703</v>
      </c>
      <c r="D2122" s="47" t="s">
        <v>93</v>
      </c>
      <c r="E2122" s="37">
        <v>1.0389999999999999</v>
      </c>
      <c r="F2122" s="34">
        <v>80.123000000000005</v>
      </c>
      <c r="G2122" s="31">
        <f>IF(ISNUMBER(F2122),E2122*F2122,"")</f>
        <v>83.247797000000006</v>
      </c>
      <c r="H2122" s="35"/>
      <c r="I2122" s="31"/>
      <c r="J2122" s="155">
        <v>0</v>
      </c>
    </row>
    <row r="2123" spans="1:10" ht="15.75" hidden="1" thickBot="1" x14ac:dyDescent="0.3">
      <c r="A2123" s="201"/>
      <c r="B2123" s="188"/>
      <c r="C2123" s="36"/>
      <c r="D2123" s="36"/>
      <c r="E2123" s="37"/>
      <c r="F2123" s="31" t="s">
        <v>558</v>
      </c>
      <c r="G2123" s="31" t="str">
        <f>IF(ISNUMBER(F2123),E2123*F2123,"")</f>
        <v/>
      </c>
      <c r="H2123" s="35"/>
      <c r="I2123" s="31"/>
      <c r="J2123" s="155">
        <v>0</v>
      </c>
    </row>
    <row r="2124" spans="1:10" ht="15.75" hidden="1" thickBot="1" x14ac:dyDescent="0.3">
      <c r="A2124" s="180" t="s">
        <v>704</v>
      </c>
      <c r="B2124" s="186" t="str">
        <f>INDEX(Orçamentária!A:B,MATCH(Composições!A2124,Orçamentária!A:A,0),2)</f>
        <v>Tubo de aço-carbono galvanizado 1 1/4"</v>
      </c>
      <c r="C2124" s="41"/>
      <c r="D2124" s="26" t="str">
        <f>TRIM(INDEX(Orçamentária!C:C,MATCH(Composições!A2124,Orçamentária!A:A,0),1))</f>
        <v>m</v>
      </c>
      <c r="E2124" s="27"/>
      <c r="F2124" s="42" t="s">
        <v>558</v>
      </c>
      <c r="G2124" s="28" t="str">
        <f>IF(ISNUMBER(F2124),E2124*F2124,"")</f>
        <v/>
      </c>
      <c r="H2124" s="29"/>
      <c r="I2124" s="30"/>
      <c r="J2124" s="155">
        <v>0</v>
      </c>
    </row>
    <row r="2125" spans="1:10" ht="15.75" hidden="1" thickBot="1" x14ac:dyDescent="0.3">
      <c r="A2125" s="200"/>
      <c r="B2125" s="202"/>
      <c r="C2125" s="32"/>
      <c r="D2125" s="32"/>
      <c r="E2125" s="33"/>
      <c r="F2125" s="43" t="s">
        <v>558</v>
      </c>
      <c r="G2125" s="31" t="str">
        <f>IF(ISNUMBER(F2125),E2125*F2125,"")</f>
        <v/>
      </c>
      <c r="H2125" s="35"/>
      <c r="I2125" s="31"/>
      <c r="J2125" s="155">
        <v>0</v>
      </c>
    </row>
    <row r="2126" spans="1:10" ht="15.75" hidden="1" thickBot="1" x14ac:dyDescent="0.3">
      <c r="A2126" s="200"/>
      <c r="B2126" s="202"/>
      <c r="C2126" s="36" t="s">
        <v>39</v>
      </c>
      <c r="D2126" s="47" t="s">
        <v>12</v>
      </c>
      <c r="E2126" s="37">
        <v>0.27500000000000002</v>
      </c>
      <c r="F2126" s="31">
        <v>22.2395</v>
      </c>
      <c r="G2126" s="31">
        <f>IF(ISNUMBER(F2126),E2126*F2126,"")</f>
        <v>6.1158625000000004</v>
      </c>
      <c r="H2126" s="39">
        <f>SUM(G2126:G2128)</f>
        <v>87.276119999999992</v>
      </c>
      <c r="I2126" s="40"/>
      <c r="J2126" s="155">
        <v>0</v>
      </c>
    </row>
    <row r="2127" spans="1:10" ht="26.25" hidden="1" thickBot="1" x14ac:dyDescent="0.3">
      <c r="A2127" s="200"/>
      <c r="B2127" s="202"/>
      <c r="C2127" s="36" t="s">
        <v>108</v>
      </c>
      <c r="D2127" s="47" t="s">
        <v>12</v>
      </c>
      <c r="E2127" s="37">
        <v>0.27500000000000002</v>
      </c>
      <c r="F2127" s="31">
        <v>17.3185</v>
      </c>
      <c r="G2127" s="31">
        <f>IF(ISNUMBER(F2127),E2127*F2127,"")</f>
        <v>4.7625875000000004</v>
      </c>
      <c r="H2127" s="35"/>
      <c r="I2127" s="31"/>
      <c r="J2127" s="155">
        <v>0</v>
      </c>
    </row>
    <row r="2128" spans="1:10" ht="26.25" hidden="1" thickBot="1" x14ac:dyDescent="0.3">
      <c r="A2128" s="200"/>
      <c r="B2128" s="202"/>
      <c r="C2128" s="36" t="s">
        <v>3611</v>
      </c>
      <c r="D2128" s="47" t="s">
        <v>93</v>
      </c>
      <c r="E2128" s="37">
        <v>1.0389999999999999</v>
      </c>
      <c r="F2128" s="31">
        <v>73.53</v>
      </c>
      <c r="G2128" s="31">
        <f>IF(ISNUMBER(F2128),E2128*F2128,"")</f>
        <v>76.397669999999991</v>
      </c>
      <c r="H2128" s="35"/>
      <c r="I2128" s="31"/>
      <c r="J2128" s="155">
        <v>0</v>
      </c>
    </row>
    <row r="2129" spans="1:10" ht="15.75" hidden="1" thickBot="1" x14ac:dyDescent="0.3">
      <c r="A2129" s="201"/>
      <c r="B2129" s="188"/>
      <c r="C2129" s="36"/>
      <c r="D2129" s="36"/>
      <c r="E2129" s="37"/>
      <c r="F2129" s="31" t="s">
        <v>558</v>
      </c>
      <c r="G2129" s="31" t="str">
        <f>IF(ISNUMBER(F2129),E2129*F2129,"")</f>
        <v/>
      </c>
      <c r="H2129" s="35"/>
      <c r="I2129" s="31"/>
      <c r="J2129" s="155">
        <v>0</v>
      </c>
    </row>
    <row r="2130" spans="1:10" ht="15.75" hidden="1" thickBot="1" x14ac:dyDescent="0.3">
      <c r="A2130" s="180" t="s">
        <v>705</v>
      </c>
      <c r="B2130" s="186" t="str">
        <f>INDEX(Orçamentária!A:B,MATCH(Composições!A2130,Orçamentária!A:A,0),2)</f>
        <v>Tubo de aço-carbono galvanizado 1"</v>
      </c>
      <c r="C2130" s="41"/>
      <c r="D2130" s="26" t="str">
        <f>TRIM(INDEX(Orçamentária!C:C,MATCH(Composições!A2130,Orçamentária!A:A,0),1))</f>
        <v>m</v>
      </c>
      <c r="E2130" s="27"/>
      <c r="F2130" s="42" t="s">
        <v>558</v>
      </c>
      <c r="G2130" s="28" t="str">
        <f>IF(ISNUMBER(F2130),E2130*F2130,"")</f>
        <v/>
      </c>
      <c r="H2130" s="29"/>
      <c r="I2130" s="30"/>
      <c r="J2130" s="155">
        <v>0</v>
      </c>
    </row>
    <row r="2131" spans="1:10" ht="15.75" hidden="1" thickBot="1" x14ac:dyDescent="0.3">
      <c r="A2131" s="200"/>
      <c r="B2131" s="202"/>
      <c r="C2131" s="32"/>
      <c r="D2131" s="32"/>
      <c r="E2131" s="33"/>
      <c r="F2131" s="43" t="s">
        <v>558</v>
      </c>
      <c r="G2131" s="31" t="str">
        <f>IF(ISNUMBER(F2131),E2131*F2131,"")</f>
        <v/>
      </c>
      <c r="H2131" s="35"/>
      <c r="I2131" s="31"/>
      <c r="J2131" s="155">
        <v>0</v>
      </c>
    </row>
    <row r="2132" spans="1:10" ht="15.75" hidden="1" thickBot="1" x14ac:dyDescent="0.3">
      <c r="A2132" s="200"/>
      <c r="B2132" s="202"/>
      <c r="C2132" s="36" t="s">
        <v>39</v>
      </c>
      <c r="D2132" s="47" t="s">
        <v>12</v>
      </c>
      <c r="E2132" s="37">
        <v>0.29699999999999999</v>
      </c>
      <c r="F2132" s="31">
        <v>22.2395</v>
      </c>
      <c r="G2132" s="34">
        <f>IF(ISNUMBER(F2132),E2132*F2132,"")</f>
        <v>6.6051314999999997</v>
      </c>
      <c r="H2132" s="39">
        <f>SUM(G2132:G2134)</f>
        <v>68.760733999999985</v>
      </c>
      <c r="I2132" s="40"/>
      <c r="J2132" s="155">
        <v>0</v>
      </c>
    </row>
    <row r="2133" spans="1:10" ht="26.25" hidden="1" thickBot="1" x14ac:dyDescent="0.3">
      <c r="A2133" s="200"/>
      <c r="B2133" s="202"/>
      <c r="C2133" s="36" t="s">
        <v>108</v>
      </c>
      <c r="D2133" s="47" t="s">
        <v>12</v>
      </c>
      <c r="E2133" s="37">
        <v>0.29699999999999999</v>
      </c>
      <c r="F2133" s="31">
        <v>17.3185</v>
      </c>
      <c r="G2133" s="34">
        <f>IF(ISNUMBER(F2133),E2133*F2133,"")</f>
        <v>5.1435944999999998</v>
      </c>
      <c r="H2133" s="35"/>
      <c r="I2133" s="31"/>
      <c r="J2133" s="155">
        <v>0</v>
      </c>
    </row>
    <row r="2134" spans="1:10" ht="26.25" hidden="1" thickBot="1" x14ac:dyDescent="0.3">
      <c r="A2134" s="200"/>
      <c r="B2134" s="202"/>
      <c r="C2134" s="36" t="s">
        <v>3612</v>
      </c>
      <c r="D2134" s="47" t="s">
        <v>93</v>
      </c>
      <c r="E2134" s="37">
        <v>1.0389999999999999</v>
      </c>
      <c r="F2134" s="31">
        <v>54.871999999999993</v>
      </c>
      <c r="G2134" s="34">
        <f>IF(ISNUMBER(F2134),E2134*F2134,"")</f>
        <v>57.012007999999987</v>
      </c>
      <c r="H2134" s="35"/>
      <c r="I2134" s="31"/>
      <c r="J2134" s="155">
        <v>0</v>
      </c>
    </row>
    <row r="2135" spans="1:10" ht="15.75" hidden="1" thickBot="1" x14ac:dyDescent="0.3">
      <c r="A2135" s="201"/>
      <c r="B2135" s="188"/>
      <c r="C2135" s="36"/>
      <c r="D2135" s="36"/>
      <c r="E2135" s="37"/>
      <c r="F2135" s="31" t="s">
        <v>558</v>
      </c>
      <c r="G2135" s="31" t="str">
        <f>IF(ISNUMBER(F2135),E2135*F2135,"")</f>
        <v/>
      </c>
      <c r="H2135" s="35"/>
      <c r="I2135" s="31"/>
      <c r="J2135" s="155">
        <v>0</v>
      </c>
    </row>
    <row r="2136" spans="1:10" ht="15.75" hidden="1" thickBot="1" x14ac:dyDescent="0.3">
      <c r="A2136" s="180" t="s">
        <v>706</v>
      </c>
      <c r="B2136" s="186" t="str">
        <f>INDEX(Orçamentária!A:B,MATCH(Composições!A2136,Orçamentária!A:A,0),2)</f>
        <v>Tubo de aço-carbono galvanizado 3/4"</v>
      </c>
      <c r="C2136" s="41"/>
      <c r="D2136" s="26" t="str">
        <f>TRIM(INDEX(Orçamentária!C:C,MATCH(Composições!A2136,Orçamentária!A:A,0),1))</f>
        <v>m</v>
      </c>
      <c r="E2136" s="27"/>
      <c r="F2136" s="42" t="s">
        <v>558</v>
      </c>
      <c r="G2136" s="28" t="str">
        <f>IF(ISNUMBER(F2136),E2136*F2136,"")</f>
        <v/>
      </c>
      <c r="H2136" s="29"/>
      <c r="I2136" s="30"/>
      <c r="J2136" s="155">
        <v>0</v>
      </c>
    </row>
    <row r="2137" spans="1:10" ht="15.75" hidden="1" thickBot="1" x14ac:dyDescent="0.3">
      <c r="A2137" s="200"/>
      <c r="B2137" s="202"/>
      <c r="C2137" s="32"/>
      <c r="D2137" s="32"/>
      <c r="E2137" s="33"/>
      <c r="F2137" s="43" t="s">
        <v>558</v>
      </c>
      <c r="G2137" s="31" t="str">
        <f>IF(ISNUMBER(F2137),E2137*F2137,"")</f>
        <v/>
      </c>
      <c r="H2137" s="35"/>
      <c r="I2137" s="31"/>
      <c r="J2137" s="155">
        <v>0</v>
      </c>
    </row>
    <row r="2138" spans="1:10" ht="15.75" hidden="1" thickBot="1" x14ac:dyDescent="0.3">
      <c r="A2138" s="200"/>
      <c r="B2138" s="202"/>
      <c r="C2138" s="36" t="s">
        <v>39</v>
      </c>
      <c r="D2138" s="47" t="s">
        <v>12</v>
      </c>
      <c r="E2138" s="37">
        <v>0.29699999999999999</v>
      </c>
      <c r="F2138" s="31">
        <v>22.2395</v>
      </c>
      <c r="G2138" s="31">
        <f>IF(ISNUMBER(F2138),E2138*F2138,"")</f>
        <v>6.6051314999999997</v>
      </c>
      <c r="H2138" s="39">
        <f>SUM(G2138:G2140)</f>
        <v>62.40413199999999</v>
      </c>
      <c r="I2138" s="40"/>
      <c r="J2138" s="155">
        <v>0</v>
      </c>
    </row>
    <row r="2139" spans="1:10" ht="26.25" hidden="1" thickBot="1" x14ac:dyDescent="0.3">
      <c r="A2139" s="200"/>
      <c r="B2139" s="202"/>
      <c r="C2139" s="36" t="s">
        <v>108</v>
      </c>
      <c r="D2139" s="47" t="s">
        <v>12</v>
      </c>
      <c r="E2139" s="37">
        <v>0.29699999999999999</v>
      </c>
      <c r="F2139" s="31">
        <v>17.3185</v>
      </c>
      <c r="G2139" s="31">
        <f>IF(ISNUMBER(F2139),E2139*F2139,"")</f>
        <v>5.1435944999999998</v>
      </c>
      <c r="H2139" s="35"/>
      <c r="I2139" s="31"/>
      <c r="J2139" s="155">
        <v>0</v>
      </c>
    </row>
    <row r="2140" spans="1:10" ht="26.25" hidden="1" thickBot="1" x14ac:dyDescent="0.3">
      <c r="A2140" s="200"/>
      <c r="B2140" s="202"/>
      <c r="C2140" s="36" t="s">
        <v>707</v>
      </c>
      <c r="D2140" s="47" t="s">
        <v>93</v>
      </c>
      <c r="E2140" s="37">
        <v>1.0389999999999999</v>
      </c>
      <c r="F2140" s="34">
        <v>48.753999999999998</v>
      </c>
      <c r="G2140" s="31">
        <f>IF(ISNUMBER(F2140),E2140*F2140,"")</f>
        <v>50.655405999999992</v>
      </c>
      <c r="H2140" s="35"/>
      <c r="I2140" s="31"/>
      <c r="J2140" s="155">
        <v>0</v>
      </c>
    </row>
    <row r="2141" spans="1:10" ht="15.75" hidden="1" thickBot="1" x14ac:dyDescent="0.3">
      <c r="A2141" s="201"/>
      <c r="B2141" s="188"/>
      <c r="C2141" s="36"/>
      <c r="D2141" s="36"/>
      <c r="E2141" s="37"/>
      <c r="F2141" s="31" t="s">
        <v>558</v>
      </c>
      <c r="G2141" s="31" t="str">
        <f>IF(ISNUMBER(F2141),E2141*F2141,"")</f>
        <v/>
      </c>
      <c r="H2141" s="35"/>
      <c r="I2141" s="31"/>
      <c r="J2141" s="155">
        <v>0</v>
      </c>
    </row>
    <row r="2142" spans="1:10" ht="15.75" hidden="1" thickBot="1" x14ac:dyDescent="0.3">
      <c r="A2142" s="180" t="s">
        <v>708</v>
      </c>
      <c r="B2142" s="186" t="str">
        <f>INDEX(Orçamentária!A:B,MATCH(Composições!A2142,Orçamentária!A:A,0),2)</f>
        <v>Tubo de cobre de 1/2"</v>
      </c>
      <c r="C2142" s="41"/>
      <c r="D2142" s="26" t="str">
        <f>TRIM(INDEX(Orçamentária!C:C,MATCH(Composições!A2142,Orçamentária!A:A,0),1))</f>
        <v>m</v>
      </c>
      <c r="E2142" s="27"/>
      <c r="F2142" s="42" t="s">
        <v>558</v>
      </c>
      <c r="G2142" s="28" t="str">
        <f>IF(ISNUMBER(F2142),E2142*F2142,"")</f>
        <v/>
      </c>
      <c r="H2142" s="29"/>
      <c r="I2142" s="30"/>
      <c r="J2142" s="155">
        <v>0</v>
      </c>
    </row>
    <row r="2143" spans="1:10" ht="15.75" hidden="1" thickBot="1" x14ac:dyDescent="0.3">
      <c r="A2143" s="200"/>
      <c r="B2143" s="202"/>
      <c r="C2143" s="32"/>
      <c r="D2143" s="32"/>
      <c r="E2143" s="33"/>
      <c r="F2143" s="43" t="s">
        <v>558</v>
      </c>
      <c r="G2143" s="31" t="str">
        <f>IF(ISNUMBER(F2143),E2143*F2143,"")</f>
        <v/>
      </c>
      <c r="H2143" s="35"/>
      <c r="I2143" s="31"/>
      <c r="J2143" s="155">
        <v>0</v>
      </c>
    </row>
    <row r="2144" spans="1:10" ht="26.25" hidden="1" thickBot="1" x14ac:dyDescent="0.3">
      <c r="A2144" s="200"/>
      <c r="B2144" s="202"/>
      <c r="C2144" s="36" t="s">
        <v>709</v>
      </c>
      <c r="D2144" s="47" t="s">
        <v>93</v>
      </c>
      <c r="E2144" s="37">
        <v>1.0210999999999999</v>
      </c>
      <c r="F2144" s="34">
        <v>40.0045</v>
      </c>
      <c r="G2144" s="34">
        <f>IF(ISNUMBER(F2144),E2144*F2144,"")</f>
        <v>40.848594949999999</v>
      </c>
      <c r="H2144" s="39">
        <f>SUM(G2144:G2146)</f>
        <v>42.537721550000001</v>
      </c>
      <c r="I2144" s="40"/>
      <c r="J2144" s="155">
        <v>0</v>
      </c>
    </row>
    <row r="2145" spans="1:10" ht="26.25" hidden="1" thickBot="1" x14ac:dyDescent="0.3">
      <c r="A2145" s="200"/>
      <c r="B2145" s="202"/>
      <c r="C2145" s="36" t="s">
        <v>108</v>
      </c>
      <c r="D2145" s="47" t="s">
        <v>12</v>
      </c>
      <c r="E2145" s="37">
        <f>0.061*0.7</f>
        <v>4.2699999999999995E-2</v>
      </c>
      <c r="F2145" s="31">
        <v>17.3185</v>
      </c>
      <c r="G2145" s="34">
        <f>IF(ISNUMBER(F2145),E2145*F2145,"")</f>
        <v>0.73949994999999991</v>
      </c>
      <c r="H2145" s="35"/>
      <c r="I2145" s="31"/>
      <c r="J2145" s="155">
        <v>0</v>
      </c>
    </row>
    <row r="2146" spans="1:10" ht="15.75" hidden="1" thickBot="1" x14ac:dyDescent="0.3">
      <c r="A2146" s="200"/>
      <c r="B2146" s="202"/>
      <c r="C2146" s="36" t="s">
        <v>39</v>
      </c>
      <c r="D2146" s="47" t="s">
        <v>12</v>
      </c>
      <c r="E2146" s="37">
        <f>0.061*0.7</f>
        <v>4.2699999999999995E-2</v>
      </c>
      <c r="F2146" s="31">
        <v>22.2395</v>
      </c>
      <c r="G2146" s="34">
        <f>IF(ISNUMBER(F2146),E2146*F2146,"")</f>
        <v>0.94962664999999991</v>
      </c>
      <c r="H2146" s="35"/>
      <c r="I2146" s="31"/>
      <c r="J2146" s="155">
        <v>0</v>
      </c>
    </row>
    <row r="2147" spans="1:10" ht="15.75" hidden="1" thickBot="1" x14ac:dyDescent="0.3">
      <c r="A2147" s="200"/>
      <c r="B2147" s="202"/>
      <c r="C2147" s="36"/>
      <c r="D2147" s="47"/>
      <c r="E2147" s="37"/>
      <c r="F2147" s="31" t="s">
        <v>558</v>
      </c>
      <c r="G2147" s="34" t="str">
        <f>IF(ISNUMBER(F2147),E2147*F2147,"")</f>
        <v/>
      </c>
      <c r="H2147" s="35"/>
      <c r="I2147" s="31"/>
      <c r="J2147" s="155">
        <v>0</v>
      </c>
    </row>
    <row r="2148" spans="1:10" ht="39" hidden="1" thickBot="1" x14ac:dyDescent="0.3">
      <c r="A2148" s="200"/>
      <c r="B2148" s="202"/>
      <c r="C2148" s="52" t="s">
        <v>679</v>
      </c>
      <c r="D2148" s="47"/>
      <c r="E2148" s="37"/>
      <c r="F2148" s="31" t="s">
        <v>558</v>
      </c>
      <c r="G2148" s="34" t="str">
        <f>IF(ISNUMBER(F2148),E2148*F2148,"")</f>
        <v/>
      </c>
      <c r="H2148" s="35"/>
      <c r="I2148" s="31"/>
      <c r="J2148" s="155">
        <v>0</v>
      </c>
    </row>
    <row r="2149" spans="1:10" ht="15.75" hidden="1" thickBot="1" x14ac:dyDescent="0.3">
      <c r="A2149" s="201"/>
      <c r="B2149" s="188"/>
      <c r="C2149" s="36"/>
      <c r="D2149" s="36"/>
      <c r="E2149" s="37"/>
      <c r="F2149" s="31" t="s">
        <v>558</v>
      </c>
      <c r="G2149" s="31" t="str">
        <f>IF(ISNUMBER(F2149),E2149*F2149,"")</f>
        <v/>
      </c>
      <c r="H2149" s="35"/>
      <c r="I2149" s="31"/>
      <c r="J2149" s="155">
        <v>0</v>
      </c>
    </row>
    <row r="2150" spans="1:10" ht="15.75" hidden="1" thickBot="1" x14ac:dyDescent="0.3">
      <c r="A2150" s="180" t="s">
        <v>710</v>
      </c>
      <c r="B2150" s="186" t="str">
        <f>INDEX(Orçamentária!A:B,MATCH(Composições!A2150,Orçamentária!A:A,0),2)</f>
        <v>Tubo de cobre de 1/4"</v>
      </c>
      <c r="C2150" s="41"/>
      <c r="D2150" s="26" t="str">
        <f>TRIM(INDEX(Orçamentária!C:C,MATCH(Composições!A2150,Orçamentária!A:A,0),1))</f>
        <v>m</v>
      </c>
      <c r="E2150" s="27"/>
      <c r="F2150" s="42" t="s">
        <v>558</v>
      </c>
      <c r="G2150" s="28" t="str">
        <f>IF(ISNUMBER(F2150),E2150*F2150,"")</f>
        <v/>
      </c>
      <c r="H2150" s="29"/>
      <c r="I2150" s="30"/>
      <c r="J2150" s="155">
        <v>0</v>
      </c>
    </row>
    <row r="2151" spans="1:10" ht="15.75" hidden="1" thickBot="1" x14ac:dyDescent="0.3">
      <c r="A2151" s="200"/>
      <c r="B2151" s="202"/>
      <c r="C2151" s="32"/>
      <c r="D2151" s="32"/>
      <c r="E2151" s="33"/>
      <c r="F2151" s="43" t="s">
        <v>558</v>
      </c>
      <c r="G2151" s="31" t="str">
        <f>IF(ISNUMBER(F2151),E2151*F2151,"")</f>
        <v/>
      </c>
      <c r="H2151" s="35"/>
      <c r="I2151" s="31"/>
      <c r="J2151" s="155">
        <v>0</v>
      </c>
    </row>
    <row r="2152" spans="1:10" ht="26.25" hidden="1" thickBot="1" x14ac:dyDescent="0.3">
      <c r="A2152" s="200"/>
      <c r="B2152" s="202"/>
      <c r="C2152" s="36" t="s">
        <v>711</v>
      </c>
      <c r="D2152" s="47" t="s">
        <v>93</v>
      </c>
      <c r="E2152" s="37">
        <v>1.0210999999999999</v>
      </c>
      <c r="F2152" s="34">
        <v>19.170999999999999</v>
      </c>
      <c r="G2152" s="34">
        <f>IF(ISNUMBER(F2152),E2152*F2152,"")</f>
        <v>19.575508099999997</v>
      </c>
      <c r="H2152" s="39">
        <f>SUM(G2152:G2154)</f>
        <v>21.015419299999994</v>
      </c>
      <c r="I2152" s="40"/>
      <c r="J2152" s="155">
        <v>0</v>
      </c>
    </row>
    <row r="2153" spans="1:10" ht="26.25" hidden="1" thickBot="1" x14ac:dyDescent="0.3">
      <c r="A2153" s="200"/>
      <c r="B2153" s="202"/>
      <c r="C2153" s="36" t="s">
        <v>108</v>
      </c>
      <c r="D2153" s="47" t="s">
        <v>12</v>
      </c>
      <c r="E2153" s="37">
        <f>0.052*0.7</f>
        <v>3.6399999999999995E-2</v>
      </c>
      <c r="F2153" s="31">
        <v>17.3185</v>
      </c>
      <c r="G2153" s="34">
        <f>IF(ISNUMBER(F2153),E2153*F2153,"")</f>
        <v>0.63039339999999988</v>
      </c>
      <c r="H2153" s="35"/>
      <c r="I2153" s="31"/>
      <c r="J2153" s="155">
        <v>0</v>
      </c>
    </row>
    <row r="2154" spans="1:10" ht="15.75" hidden="1" thickBot="1" x14ac:dyDescent="0.3">
      <c r="A2154" s="200"/>
      <c r="B2154" s="202"/>
      <c r="C2154" s="36" t="s">
        <v>39</v>
      </c>
      <c r="D2154" s="47" t="s">
        <v>12</v>
      </c>
      <c r="E2154" s="37">
        <f>0.052*0.7</f>
        <v>3.6399999999999995E-2</v>
      </c>
      <c r="F2154" s="31">
        <v>22.2395</v>
      </c>
      <c r="G2154" s="34">
        <f>IF(ISNUMBER(F2154),E2154*F2154,"")</f>
        <v>0.80951779999999984</v>
      </c>
      <c r="H2154" s="35"/>
      <c r="I2154" s="31"/>
      <c r="J2154" s="155">
        <v>0</v>
      </c>
    </row>
    <row r="2155" spans="1:10" ht="15.75" hidden="1" thickBot="1" x14ac:dyDescent="0.3">
      <c r="A2155" s="200"/>
      <c r="B2155" s="202"/>
      <c r="C2155" s="36"/>
      <c r="D2155" s="47"/>
      <c r="E2155" s="37"/>
      <c r="F2155" s="34" t="s">
        <v>558</v>
      </c>
      <c r="G2155" s="34" t="str">
        <f>IF(ISNUMBER(F2155),E2155*F2155,"")</f>
        <v/>
      </c>
      <c r="H2155" s="35"/>
      <c r="I2155" s="31"/>
      <c r="J2155" s="155">
        <v>0</v>
      </c>
    </row>
    <row r="2156" spans="1:10" ht="39" hidden="1" thickBot="1" x14ac:dyDescent="0.3">
      <c r="A2156" s="200"/>
      <c r="B2156" s="202"/>
      <c r="C2156" s="52" t="s">
        <v>679</v>
      </c>
      <c r="D2156" s="47"/>
      <c r="E2156" s="37"/>
      <c r="F2156" s="34" t="s">
        <v>558</v>
      </c>
      <c r="G2156" s="34" t="str">
        <f>IF(ISNUMBER(F2156),E2156*F2156,"")</f>
        <v/>
      </c>
      <c r="H2156" s="35"/>
      <c r="I2156" s="31"/>
      <c r="J2156" s="155">
        <v>0</v>
      </c>
    </row>
    <row r="2157" spans="1:10" ht="15.75" hidden="1" thickBot="1" x14ac:dyDescent="0.3">
      <c r="A2157" s="201"/>
      <c r="B2157" s="188"/>
      <c r="C2157" s="36"/>
      <c r="D2157" s="36"/>
      <c r="E2157" s="37"/>
      <c r="F2157" s="31" t="s">
        <v>558</v>
      </c>
      <c r="G2157" s="31" t="str">
        <f>IF(ISNUMBER(F2157),E2157*F2157,"")</f>
        <v/>
      </c>
      <c r="H2157" s="35"/>
      <c r="I2157" s="31"/>
      <c r="J2157" s="155">
        <v>0</v>
      </c>
    </row>
    <row r="2158" spans="1:10" ht="15.75" hidden="1" thickBot="1" x14ac:dyDescent="0.3">
      <c r="A2158" s="180" t="s">
        <v>712</v>
      </c>
      <c r="B2158" s="186" t="str">
        <f>INDEX(Orçamentária!A:B,MATCH(Composições!A2158,Orçamentária!A:A,0),2)</f>
        <v>Tubo de cobre de 3/4"</v>
      </c>
      <c r="C2158" s="41"/>
      <c r="D2158" s="26" t="str">
        <f>TRIM(INDEX(Orçamentária!C:C,MATCH(Composições!A2158,Orçamentária!A:A,0),1))</f>
        <v>m</v>
      </c>
      <c r="E2158" s="27"/>
      <c r="F2158" s="42" t="s">
        <v>558</v>
      </c>
      <c r="G2158" s="28" t="str">
        <f>IF(ISNUMBER(F2158),E2158*F2158,"")</f>
        <v/>
      </c>
      <c r="H2158" s="29"/>
      <c r="I2158" s="30"/>
      <c r="J2158" s="155">
        <v>0</v>
      </c>
    </row>
    <row r="2159" spans="1:10" ht="15.75" hidden="1" thickBot="1" x14ac:dyDescent="0.3">
      <c r="A2159" s="200"/>
      <c r="B2159" s="202"/>
      <c r="C2159" s="32"/>
      <c r="D2159" s="32"/>
      <c r="E2159" s="33"/>
      <c r="F2159" s="43" t="s">
        <v>558</v>
      </c>
      <c r="G2159" s="31" t="str">
        <f>IF(ISNUMBER(F2159),E2159*F2159,"")</f>
        <v/>
      </c>
      <c r="H2159" s="35"/>
      <c r="I2159" s="31"/>
      <c r="J2159" s="155">
        <v>0</v>
      </c>
    </row>
    <row r="2160" spans="1:10" ht="26.25" hidden="1" thickBot="1" x14ac:dyDescent="0.3">
      <c r="A2160" s="200"/>
      <c r="B2160" s="202"/>
      <c r="C2160" s="36" t="s">
        <v>713</v>
      </c>
      <c r="D2160" s="47" t="s">
        <v>93</v>
      </c>
      <c r="E2160" s="37">
        <v>1.0210999999999999</v>
      </c>
      <c r="F2160" s="34">
        <v>60.173000000000002</v>
      </c>
      <c r="G2160" s="34">
        <f>IF(ISNUMBER(F2160),E2160*F2160,"")</f>
        <v>61.442650299999997</v>
      </c>
      <c r="H2160" s="39">
        <f>SUM(G2160:G2162)</f>
        <v>63.214848699999997</v>
      </c>
      <c r="I2160" s="40"/>
      <c r="J2160" s="155">
        <v>0</v>
      </c>
    </row>
    <row r="2161" spans="1:10" ht="26.25" hidden="1" thickBot="1" x14ac:dyDescent="0.3">
      <c r="A2161" s="200"/>
      <c r="B2161" s="202"/>
      <c r="C2161" s="36" t="s">
        <v>108</v>
      </c>
      <c r="D2161" s="47" t="s">
        <v>12</v>
      </c>
      <c r="E2161" s="37">
        <f>0.064*0.7</f>
        <v>4.48E-2</v>
      </c>
      <c r="F2161" s="31">
        <v>17.3185</v>
      </c>
      <c r="G2161" s="34">
        <f>IF(ISNUMBER(F2161),E2161*F2161,"")</f>
        <v>0.77586880000000003</v>
      </c>
      <c r="H2161" s="35"/>
      <c r="I2161" s="31"/>
      <c r="J2161" s="155">
        <v>0</v>
      </c>
    </row>
    <row r="2162" spans="1:10" ht="15.75" hidden="1" thickBot="1" x14ac:dyDescent="0.3">
      <c r="A2162" s="200"/>
      <c r="B2162" s="202"/>
      <c r="C2162" s="36" t="s">
        <v>39</v>
      </c>
      <c r="D2162" s="47" t="s">
        <v>12</v>
      </c>
      <c r="E2162" s="37">
        <f>0.064*0.7</f>
        <v>4.48E-2</v>
      </c>
      <c r="F2162" s="31">
        <v>22.2395</v>
      </c>
      <c r="G2162" s="34">
        <f>IF(ISNUMBER(F2162),E2162*F2162,"")</f>
        <v>0.99632959999999993</v>
      </c>
      <c r="H2162" s="35"/>
      <c r="I2162" s="31"/>
      <c r="J2162" s="155">
        <v>0</v>
      </c>
    </row>
    <row r="2163" spans="1:10" ht="15.75" hidden="1" thickBot="1" x14ac:dyDescent="0.3">
      <c r="A2163" s="200"/>
      <c r="B2163" s="202"/>
      <c r="C2163" s="36"/>
      <c r="D2163" s="47"/>
      <c r="E2163" s="37"/>
      <c r="F2163" s="34" t="s">
        <v>558</v>
      </c>
      <c r="G2163" s="34" t="str">
        <f>IF(ISNUMBER(F2163),E2163*F2163,"")</f>
        <v/>
      </c>
      <c r="H2163" s="35"/>
      <c r="I2163" s="31"/>
      <c r="J2163" s="155">
        <v>0</v>
      </c>
    </row>
    <row r="2164" spans="1:10" ht="39" hidden="1" thickBot="1" x14ac:dyDescent="0.3">
      <c r="A2164" s="200"/>
      <c r="B2164" s="202"/>
      <c r="C2164" s="52" t="s">
        <v>679</v>
      </c>
      <c r="D2164" s="47"/>
      <c r="E2164" s="37"/>
      <c r="F2164" s="34" t="s">
        <v>558</v>
      </c>
      <c r="G2164" s="34" t="str">
        <f>IF(ISNUMBER(F2164),E2164*F2164,"")</f>
        <v/>
      </c>
      <c r="H2164" s="35"/>
      <c r="I2164" s="31"/>
      <c r="J2164" s="155">
        <v>0</v>
      </c>
    </row>
    <row r="2165" spans="1:10" ht="15.75" hidden="1" thickBot="1" x14ac:dyDescent="0.3">
      <c r="A2165" s="201"/>
      <c r="B2165" s="188"/>
      <c r="C2165" s="36"/>
      <c r="D2165" s="36"/>
      <c r="E2165" s="37"/>
      <c r="F2165" s="31" t="s">
        <v>558</v>
      </c>
      <c r="G2165" s="31" t="str">
        <f>IF(ISNUMBER(F2165),E2165*F2165,"")</f>
        <v/>
      </c>
      <c r="H2165" s="35"/>
      <c r="I2165" s="31"/>
      <c r="J2165" s="155">
        <v>0</v>
      </c>
    </row>
    <row r="2166" spans="1:10" ht="15.75" hidden="1" thickBot="1" x14ac:dyDescent="0.3">
      <c r="A2166" s="180" t="s">
        <v>714</v>
      </c>
      <c r="B2166" s="186" t="str">
        <f>INDEX(Orçamentária!A:B,MATCH(Composições!A2166,Orçamentária!A:A,0),2)</f>
        <v>Tubo de cobre de 3/8"</v>
      </c>
      <c r="C2166" s="41"/>
      <c r="D2166" s="26" t="str">
        <f>TRIM(INDEX(Orçamentária!C:C,MATCH(Composições!A2166,Orçamentária!A:A,0),1))</f>
        <v>m</v>
      </c>
      <c r="E2166" s="27"/>
      <c r="F2166" s="42" t="s">
        <v>558</v>
      </c>
      <c r="G2166" s="28" t="str">
        <f>IF(ISNUMBER(F2166),E2166*F2166,"")</f>
        <v/>
      </c>
      <c r="H2166" s="29"/>
      <c r="I2166" s="30"/>
      <c r="J2166" s="155">
        <v>0</v>
      </c>
    </row>
    <row r="2167" spans="1:10" ht="15.75" hidden="1" thickBot="1" x14ac:dyDescent="0.3">
      <c r="A2167" s="200"/>
      <c r="B2167" s="202"/>
      <c r="C2167" s="32"/>
      <c r="D2167" s="32"/>
      <c r="E2167" s="33"/>
      <c r="F2167" s="43" t="s">
        <v>558</v>
      </c>
      <c r="G2167" s="31" t="str">
        <f>IF(ISNUMBER(F2167),E2167*F2167,"")</f>
        <v/>
      </c>
      <c r="H2167" s="35"/>
      <c r="I2167" s="31"/>
      <c r="J2167" s="155">
        <v>0</v>
      </c>
    </row>
    <row r="2168" spans="1:10" ht="26.25" hidden="1" thickBot="1" x14ac:dyDescent="0.3">
      <c r="A2168" s="200"/>
      <c r="B2168" s="202"/>
      <c r="C2168" s="36" t="s">
        <v>715</v>
      </c>
      <c r="D2168" s="47" t="s">
        <v>93</v>
      </c>
      <c r="E2168" s="37">
        <v>1.0210999999999999</v>
      </c>
      <c r="F2168" s="34">
        <v>29.488</v>
      </c>
      <c r="G2168" s="34">
        <f>IF(ISNUMBER(F2168),E2168*F2168,"")</f>
        <v>30.110196799999997</v>
      </c>
      <c r="H2168" s="39">
        <f>SUM(G2168:G2170)</f>
        <v>31.688560999999996</v>
      </c>
      <c r="I2168" s="40"/>
      <c r="J2168" s="155">
        <v>0</v>
      </c>
    </row>
    <row r="2169" spans="1:10" ht="26.25" hidden="1" thickBot="1" x14ac:dyDescent="0.3">
      <c r="A2169" s="200"/>
      <c r="B2169" s="202"/>
      <c r="C2169" s="36" t="s">
        <v>108</v>
      </c>
      <c r="D2169" s="47" t="s">
        <v>12</v>
      </c>
      <c r="E2169" s="37">
        <f>0.057*0.7</f>
        <v>3.9899999999999998E-2</v>
      </c>
      <c r="F2169" s="31">
        <v>17.3185</v>
      </c>
      <c r="G2169" s="34">
        <f>IF(ISNUMBER(F2169),E2169*F2169,"")</f>
        <v>0.69100814999999993</v>
      </c>
      <c r="H2169" s="35"/>
      <c r="I2169" s="31"/>
      <c r="J2169" s="155">
        <v>0</v>
      </c>
    </row>
    <row r="2170" spans="1:10" ht="15.75" hidden="1" thickBot="1" x14ac:dyDescent="0.3">
      <c r="A2170" s="200"/>
      <c r="B2170" s="202"/>
      <c r="C2170" s="36" t="s">
        <v>39</v>
      </c>
      <c r="D2170" s="47" t="s">
        <v>12</v>
      </c>
      <c r="E2170" s="37">
        <f>0.057*0.7</f>
        <v>3.9899999999999998E-2</v>
      </c>
      <c r="F2170" s="31">
        <v>22.2395</v>
      </c>
      <c r="G2170" s="34">
        <f>IF(ISNUMBER(F2170),E2170*F2170,"")</f>
        <v>0.88735604999999995</v>
      </c>
      <c r="H2170" s="35"/>
      <c r="I2170" s="31"/>
      <c r="J2170" s="155">
        <v>0</v>
      </c>
    </row>
    <row r="2171" spans="1:10" ht="15.75" hidden="1" thickBot="1" x14ac:dyDescent="0.3">
      <c r="A2171" s="200"/>
      <c r="B2171" s="202"/>
      <c r="C2171" s="36"/>
      <c r="D2171" s="47"/>
      <c r="E2171" s="37"/>
      <c r="F2171" s="34" t="s">
        <v>558</v>
      </c>
      <c r="G2171" s="34" t="str">
        <f>IF(ISNUMBER(F2171),E2171*F2171,"")</f>
        <v/>
      </c>
      <c r="H2171" s="35"/>
      <c r="I2171" s="31"/>
      <c r="J2171" s="155">
        <v>0</v>
      </c>
    </row>
    <row r="2172" spans="1:10" ht="39" hidden="1" thickBot="1" x14ac:dyDescent="0.3">
      <c r="A2172" s="200"/>
      <c r="B2172" s="202"/>
      <c r="C2172" s="52" t="s">
        <v>679</v>
      </c>
      <c r="D2172" s="47"/>
      <c r="E2172" s="37"/>
      <c r="F2172" s="34" t="s">
        <v>558</v>
      </c>
      <c r="G2172" s="34" t="str">
        <f>IF(ISNUMBER(F2172),E2172*F2172,"")</f>
        <v/>
      </c>
      <c r="H2172" s="35"/>
      <c r="I2172" s="31"/>
      <c r="J2172" s="155">
        <v>0</v>
      </c>
    </row>
    <row r="2173" spans="1:10" ht="15.75" hidden="1" thickBot="1" x14ac:dyDescent="0.3">
      <c r="A2173" s="201"/>
      <c r="B2173" s="188"/>
      <c r="C2173" s="36"/>
      <c r="D2173" s="36"/>
      <c r="E2173" s="37"/>
      <c r="F2173" s="31" t="s">
        <v>558</v>
      </c>
      <c r="G2173" s="31" t="str">
        <f>IF(ISNUMBER(F2173),E2173*F2173,"")</f>
        <v/>
      </c>
      <c r="H2173" s="35"/>
      <c r="I2173" s="31"/>
      <c r="J2173" s="155">
        <v>0</v>
      </c>
    </row>
    <row r="2174" spans="1:10" ht="15.75" hidden="1" thickBot="1" x14ac:dyDescent="0.3">
      <c r="A2174" s="180" t="s">
        <v>716</v>
      </c>
      <c r="B2174" s="186" t="str">
        <f>INDEX(Orçamentária!A:B,MATCH(Composições!A2174,Orçamentária!A:A,0),2)</f>
        <v>Tubo de cobre de 5/8"</v>
      </c>
      <c r="C2174" s="41"/>
      <c r="D2174" s="26" t="str">
        <f>TRIM(INDEX(Orçamentária!C:C,MATCH(Composições!A2174,Orçamentária!A:A,0),1))</f>
        <v>m</v>
      </c>
      <c r="E2174" s="27"/>
      <c r="F2174" s="42" t="s">
        <v>558</v>
      </c>
      <c r="G2174" s="28" t="str">
        <f>IF(ISNUMBER(F2174),E2174*F2174,"")</f>
        <v/>
      </c>
      <c r="H2174" s="29"/>
      <c r="I2174" s="30"/>
      <c r="J2174" s="155">
        <v>0</v>
      </c>
    </row>
    <row r="2175" spans="1:10" ht="15.75" hidden="1" thickBot="1" x14ac:dyDescent="0.3">
      <c r="A2175" s="200"/>
      <c r="B2175" s="202"/>
      <c r="C2175" s="32"/>
      <c r="D2175" s="32"/>
      <c r="E2175" s="33"/>
      <c r="F2175" s="43" t="s">
        <v>558</v>
      </c>
      <c r="G2175" s="31" t="str">
        <f>IF(ISNUMBER(F2175),E2175*F2175,"")</f>
        <v/>
      </c>
      <c r="H2175" s="35"/>
      <c r="I2175" s="31"/>
      <c r="J2175" s="155">
        <v>0</v>
      </c>
    </row>
    <row r="2176" spans="1:10" ht="26.25" hidden="1" thickBot="1" x14ac:dyDescent="0.3">
      <c r="A2176" s="200"/>
      <c r="B2176" s="202"/>
      <c r="C2176" s="36" t="s">
        <v>717</v>
      </c>
      <c r="D2176" s="47" t="s">
        <v>93</v>
      </c>
      <c r="E2176" s="37">
        <v>1.0210999999999999</v>
      </c>
      <c r="F2176" s="34">
        <v>49.751499999999993</v>
      </c>
      <c r="G2176" s="34">
        <f>IF(ISNUMBER(F2176),E2176*F2176,"")</f>
        <v>50.801256649999985</v>
      </c>
      <c r="H2176" s="39">
        <f>SUM(G2176:G2178)</f>
        <v>52.573455049999986</v>
      </c>
      <c r="I2176" s="40"/>
      <c r="J2176" s="155">
        <v>0</v>
      </c>
    </row>
    <row r="2177" spans="1:10" ht="26.25" hidden="1" thickBot="1" x14ac:dyDescent="0.3">
      <c r="A2177" s="200"/>
      <c r="B2177" s="202"/>
      <c r="C2177" s="36" t="s">
        <v>108</v>
      </c>
      <c r="D2177" s="47" t="s">
        <v>12</v>
      </c>
      <c r="E2177" s="37">
        <f>0.064*0.7</f>
        <v>4.48E-2</v>
      </c>
      <c r="F2177" s="31">
        <v>17.3185</v>
      </c>
      <c r="G2177" s="34">
        <f>IF(ISNUMBER(F2177),E2177*F2177,"")</f>
        <v>0.77586880000000003</v>
      </c>
      <c r="H2177" s="35"/>
      <c r="I2177" s="31"/>
      <c r="J2177" s="155">
        <v>0</v>
      </c>
    </row>
    <row r="2178" spans="1:10" ht="15.75" hidden="1" thickBot="1" x14ac:dyDescent="0.3">
      <c r="A2178" s="200"/>
      <c r="B2178" s="202"/>
      <c r="C2178" s="36" t="s">
        <v>39</v>
      </c>
      <c r="D2178" s="47" t="s">
        <v>12</v>
      </c>
      <c r="E2178" s="37">
        <f>0.064*0.7</f>
        <v>4.48E-2</v>
      </c>
      <c r="F2178" s="31">
        <v>22.2395</v>
      </c>
      <c r="G2178" s="34">
        <f>IF(ISNUMBER(F2178),E2178*F2178,"")</f>
        <v>0.99632959999999993</v>
      </c>
      <c r="H2178" s="35"/>
      <c r="I2178" s="31"/>
      <c r="J2178" s="155">
        <v>0</v>
      </c>
    </row>
    <row r="2179" spans="1:10" ht="15.75" hidden="1" thickBot="1" x14ac:dyDescent="0.3">
      <c r="A2179" s="200"/>
      <c r="B2179" s="202"/>
      <c r="C2179" s="36"/>
      <c r="D2179" s="47"/>
      <c r="E2179" s="37"/>
      <c r="F2179" s="34" t="s">
        <v>558</v>
      </c>
      <c r="G2179" s="34" t="str">
        <f>IF(ISNUMBER(F2179),E2179*F2179,"")</f>
        <v/>
      </c>
      <c r="H2179" s="35"/>
      <c r="I2179" s="31"/>
      <c r="J2179" s="155">
        <v>0</v>
      </c>
    </row>
    <row r="2180" spans="1:10" ht="39" hidden="1" thickBot="1" x14ac:dyDescent="0.3">
      <c r="A2180" s="200"/>
      <c r="B2180" s="202"/>
      <c r="C2180" s="52" t="s">
        <v>679</v>
      </c>
      <c r="D2180" s="47"/>
      <c r="E2180" s="37"/>
      <c r="F2180" s="34" t="s">
        <v>558</v>
      </c>
      <c r="G2180" s="34" t="str">
        <f>IF(ISNUMBER(F2180),E2180*F2180,"")</f>
        <v/>
      </c>
      <c r="H2180" s="35"/>
      <c r="I2180" s="31"/>
      <c r="J2180" s="155">
        <v>0</v>
      </c>
    </row>
    <row r="2181" spans="1:10" ht="15.75" hidden="1" thickBot="1" x14ac:dyDescent="0.3">
      <c r="A2181" s="201"/>
      <c r="B2181" s="188"/>
      <c r="C2181" s="36"/>
      <c r="D2181" s="36"/>
      <c r="E2181" s="37"/>
      <c r="F2181" s="31" t="s">
        <v>558</v>
      </c>
      <c r="G2181" s="31" t="str">
        <f>IF(ISNUMBER(F2181),E2181*F2181,"")</f>
        <v/>
      </c>
      <c r="H2181" s="35"/>
      <c r="I2181" s="31"/>
      <c r="J2181" s="155">
        <v>0</v>
      </c>
    </row>
    <row r="2182" spans="1:10" ht="15.75" hidden="1" thickBot="1" x14ac:dyDescent="0.3">
      <c r="A2182" s="180" t="s">
        <v>718</v>
      </c>
      <c r="B2182" s="186" t="str">
        <f>INDEX(Orçamentária!A:B,MATCH(Composições!A2182,Orçamentária!A:A,0),2)</f>
        <v>Tubo de cobre de 7/8"</v>
      </c>
      <c r="C2182" s="41"/>
      <c r="D2182" s="26" t="str">
        <f>TRIM(INDEX(Orçamentária!C:C,MATCH(Composições!A2182,Orçamentária!A:A,0),1))</f>
        <v>m</v>
      </c>
      <c r="E2182" s="27"/>
      <c r="F2182" s="42" t="s">
        <v>558</v>
      </c>
      <c r="G2182" s="28" t="str">
        <f>IF(ISNUMBER(F2182),E2182*F2182,"")</f>
        <v/>
      </c>
      <c r="H2182" s="29"/>
      <c r="I2182" s="30"/>
      <c r="J2182" s="155">
        <v>0</v>
      </c>
    </row>
    <row r="2183" spans="1:10" ht="15.75" hidden="1" thickBot="1" x14ac:dyDescent="0.3">
      <c r="A2183" s="200"/>
      <c r="B2183" s="202"/>
      <c r="C2183" s="32"/>
      <c r="D2183" s="32"/>
      <c r="E2183" s="33"/>
      <c r="F2183" s="43" t="s">
        <v>558</v>
      </c>
      <c r="G2183" s="31" t="str">
        <f>IF(ISNUMBER(F2183),E2183*F2183,"")</f>
        <v/>
      </c>
      <c r="H2183" s="35"/>
      <c r="I2183" s="31"/>
      <c r="J2183" s="155">
        <v>0</v>
      </c>
    </row>
    <row r="2184" spans="1:10" ht="26.25" hidden="1" thickBot="1" x14ac:dyDescent="0.3">
      <c r="A2184" s="200"/>
      <c r="B2184" s="202"/>
      <c r="C2184" s="36" t="s">
        <v>719</v>
      </c>
      <c r="D2184" s="47" t="s">
        <v>93</v>
      </c>
      <c r="E2184" s="37">
        <v>1.0210999999999999</v>
      </c>
      <c r="F2184" s="34">
        <v>0</v>
      </c>
      <c r="G2184" s="34">
        <f>IF(ISNUMBER(F2184),E2184*F2184,"")</f>
        <v>0</v>
      </c>
      <c r="H2184" s="39">
        <f>SUM(G2184:G2186)</f>
        <v>1.7721984</v>
      </c>
      <c r="I2184" s="40"/>
      <c r="J2184" s="155">
        <v>0</v>
      </c>
    </row>
    <row r="2185" spans="1:10" ht="26.25" hidden="1" thickBot="1" x14ac:dyDescent="0.3">
      <c r="A2185" s="200"/>
      <c r="B2185" s="202"/>
      <c r="C2185" s="36" t="s">
        <v>108</v>
      </c>
      <c r="D2185" s="47" t="s">
        <v>12</v>
      </c>
      <c r="E2185" s="37">
        <f>0.064*0.7</f>
        <v>4.48E-2</v>
      </c>
      <c r="F2185" s="31">
        <v>17.3185</v>
      </c>
      <c r="G2185" s="34">
        <f>IF(ISNUMBER(F2185),E2185*F2185,"")</f>
        <v>0.77586880000000003</v>
      </c>
      <c r="H2185" s="35"/>
      <c r="I2185" s="31"/>
      <c r="J2185" s="155">
        <v>0</v>
      </c>
    </row>
    <row r="2186" spans="1:10" ht="15.75" hidden="1" thickBot="1" x14ac:dyDescent="0.3">
      <c r="A2186" s="200"/>
      <c r="B2186" s="202"/>
      <c r="C2186" s="36" t="s">
        <v>39</v>
      </c>
      <c r="D2186" s="47" t="s">
        <v>12</v>
      </c>
      <c r="E2186" s="37">
        <f>0.064*0.7</f>
        <v>4.48E-2</v>
      </c>
      <c r="F2186" s="31">
        <v>22.2395</v>
      </c>
      <c r="G2186" s="34">
        <f>IF(ISNUMBER(F2186),E2186*F2186,"")</f>
        <v>0.99632959999999993</v>
      </c>
      <c r="H2186" s="35"/>
      <c r="I2186" s="31"/>
      <c r="J2186" s="155">
        <v>0</v>
      </c>
    </row>
    <row r="2187" spans="1:10" ht="15.75" hidden="1" thickBot="1" x14ac:dyDescent="0.3">
      <c r="A2187" s="200"/>
      <c r="B2187" s="202"/>
      <c r="C2187" s="36"/>
      <c r="D2187" s="47"/>
      <c r="E2187" s="37"/>
      <c r="F2187" s="34" t="s">
        <v>558</v>
      </c>
      <c r="G2187" s="34" t="str">
        <f>IF(ISNUMBER(F2187),E2187*F2187,"")</f>
        <v/>
      </c>
      <c r="H2187" s="35"/>
      <c r="I2187" s="31"/>
      <c r="J2187" s="155">
        <v>0</v>
      </c>
    </row>
    <row r="2188" spans="1:10" ht="39" hidden="1" thickBot="1" x14ac:dyDescent="0.3">
      <c r="A2188" s="200"/>
      <c r="B2188" s="202"/>
      <c r="C2188" s="52" t="s">
        <v>679</v>
      </c>
      <c r="D2188" s="47"/>
      <c r="E2188" s="37"/>
      <c r="F2188" s="34" t="s">
        <v>558</v>
      </c>
      <c r="G2188" s="34" t="str">
        <f>IF(ISNUMBER(F2188),E2188*F2188,"")</f>
        <v/>
      </c>
      <c r="H2188" s="35"/>
      <c r="I2188" s="31"/>
      <c r="J2188" s="155">
        <v>0</v>
      </c>
    </row>
    <row r="2189" spans="1:10" ht="15.75" hidden="1" thickBot="1" x14ac:dyDescent="0.3">
      <c r="A2189" s="201"/>
      <c r="B2189" s="188"/>
      <c r="C2189" s="36"/>
      <c r="D2189" s="36"/>
      <c r="E2189" s="37"/>
      <c r="F2189" s="31" t="s">
        <v>558</v>
      </c>
      <c r="G2189" s="31" t="str">
        <f>IF(ISNUMBER(F2189),E2189*F2189,"")</f>
        <v/>
      </c>
      <c r="H2189" s="35"/>
      <c r="I2189" s="31"/>
      <c r="J2189" s="155">
        <v>0</v>
      </c>
    </row>
    <row r="2190" spans="1:10" ht="15.75" hidden="1" thickBot="1" x14ac:dyDescent="0.3">
      <c r="A2190" s="180" t="s">
        <v>720</v>
      </c>
      <c r="B2190" s="186" t="str">
        <f>INDEX(Orçamentária!A:B,MATCH(Composições!A2190,Orçamentária!A:A,0),2)</f>
        <v>Tubo de cobre de 1"</v>
      </c>
      <c r="C2190" s="41"/>
      <c r="D2190" s="26" t="str">
        <f>TRIM(INDEX(Orçamentária!C:C,MATCH(Composições!A2190,Orçamentária!A:A,0),1))</f>
        <v>m</v>
      </c>
      <c r="E2190" s="27"/>
      <c r="F2190" s="42" t="s">
        <v>558</v>
      </c>
      <c r="G2190" s="28" t="str">
        <f>IF(ISNUMBER(F2190),E2190*F2190,"")</f>
        <v/>
      </c>
      <c r="H2190" s="29"/>
      <c r="I2190" s="30"/>
      <c r="J2190" s="155">
        <v>0</v>
      </c>
    </row>
    <row r="2191" spans="1:10" ht="15.75" hidden="1" thickBot="1" x14ac:dyDescent="0.3">
      <c r="A2191" s="200"/>
      <c r="B2191" s="202"/>
      <c r="C2191" s="32"/>
      <c r="D2191" s="32"/>
      <c r="E2191" s="33"/>
      <c r="F2191" s="43" t="s">
        <v>558</v>
      </c>
      <c r="G2191" s="31" t="str">
        <f>IF(ISNUMBER(F2191),E2191*F2191,"")</f>
        <v/>
      </c>
      <c r="H2191" s="35"/>
      <c r="I2191" s="31"/>
      <c r="J2191" s="155">
        <v>0</v>
      </c>
    </row>
    <row r="2192" spans="1:10" ht="26.25" hidden="1" thickBot="1" x14ac:dyDescent="0.3">
      <c r="A2192" s="200"/>
      <c r="B2192" s="202"/>
      <c r="C2192" s="36" t="s">
        <v>721</v>
      </c>
      <c r="D2192" s="47" t="s">
        <v>93</v>
      </c>
      <c r="E2192" s="37">
        <v>1.0210999999999999</v>
      </c>
      <c r="F2192" s="34">
        <v>0</v>
      </c>
      <c r="G2192" s="34">
        <f>IF(ISNUMBER(F2192),E2192*F2192,"")</f>
        <v>0</v>
      </c>
      <c r="H2192" s="39">
        <f>SUM(G2192:G2194)</f>
        <v>1.7721984</v>
      </c>
      <c r="I2192" s="40"/>
      <c r="J2192" s="155">
        <v>0</v>
      </c>
    </row>
    <row r="2193" spans="1:10" ht="26.25" hidden="1" thickBot="1" x14ac:dyDescent="0.3">
      <c r="A2193" s="200"/>
      <c r="B2193" s="202"/>
      <c r="C2193" s="36" t="s">
        <v>108</v>
      </c>
      <c r="D2193" s="47" t="s">
        <v>12</v>
      </c>
      <c r="E2193" s="37">
        <f>0.064*0.7</f>
        <v>4.48E-2</v>
      </c>
      <c r="F2193" s="31">
        <v>17.3185</v>
      </c>
      <c r="G2193" s="34">
        <f>IF(ISNUMBER(F2193),E2193*F2193,"")</f>
        <v>0.77586880000000003</v>
      </c>
      <c r="H2193" s="35"/>
      <c r="I2193" s="31"/>
      <c r="J2193" s="155">
        <v>0</v>
      </c>
    </row>
    <row r="2194" spans="1:10" ht="15.75" hidden="1" thickBot="1" x14ac:dyDescent="0.3">
      <c r="A2194" s="200"/>
      <c r="B2194" s="202"/>
      <c r="C2194" s="36" t="s">
        <v>39</v>
      </c>
      <c r="D2194" s="47" t="s">
        <v>12</v>
      </c>
      <c r="E2194" s="37">
        <f>0.064*0.7</f>
        <v>4.48E-2</v>
      </c>
      <c r="F2194" s="31">
        <v>22.2395</v>
      </c>
      <c r="G2194" s="34">
        <f>IF(ISNUMBER(F2194),E2194*F2194,"")</f>
        <v>0.99632959999999993</v>
      </c>
      <c r="H2194" s="35"/>
      <c r="I2194" s="31"/>
      <c r="J2194" s="155">
        <v>0</v>
      </c>
    </row>
    <row r="2195" spans="1:10" ht="15.75" hidden="1" thickBot="1" x14ac:dyDescent="0.3">
      <c r="A2195" s="200"/>
      <c r="B2195" s="202"/>
      <c r="C2195" s="36"/>
      <c r="D2195" s="47"/>
      <c r="E2195" s="37"/>
      <c r="F2195" s="34" t="s">
        <v>558</v>
      </c>
      <c r="G2195" s="34" t="str">
        <f>IF(ISNUMBER(F2195),E2195*F2195,"")</f>
        <v/>
      </c>
      <c r="H2195" s="35"/>
      <c r="I2195" s="31"/>
      <c r="J2195" s="155">
        <v>0</v>
      </c>
    </row>
    <row r="2196" spans="1:10" ht="39" hidden="1" thickBot="1" x14ac:dyDescent="0.3">
      <c r="A2196" s="200"/>
      <c r="B2196" s="202"/>
      <c r="C2196" s="52" t="s">
        <v>679</v>
      </c>
      <c r="D2196" s="47"/>
      <c r="E2196" s="37"/>
      <c r="F2196" s="34" t="s">
        <v>558</v>
      </c>
      <c r="G2196" s="34" t="str">
        <f>IF(ISNUMBER(F2196),E2196*F2196,"")</f>
        <v/>
      </c>
      <c r="H2196" s="35"/>
      <c r="I2196" s="31"/>
      <c r="J2196" s="155">
        <v>0</v>
      </c>
    </row>
    <row r="2197" spans="1:10" ht="15.75" hidden="1" thickBot="1" x14ac:dyDescent="0.3">
      <c r="A2197" s="201"/>
      <c r="B2197" s="188"/>
      <c r="C2197" s="36"/>
      <c r="D2197" s="36"/>
      <c r="E2197" s="37"/>
      <c r="F2197" s="31" t="s">
        <v>558</v>
      </c>
      <c r="G2197" s="31" t="str">
        <f>IF(ISNUMBER(F2197),E2197*F2197,"")</f>
        <v/>
      </c>
      <c r="H2197" s="35"/>
      <c r="I2197" s="31"/>
      <c r="J2197" s="155">
        <v>0</v>
      </c>
    </row>
    <row r="2198" spans="1:10" ht="15.75" hidden="1" thickBot="1" x14ac:dyDescent="0.3">
      <c r="A2198" s="180" t="s">
        <v>722</v>
      </c>
      <c r="B2198" s="186" t="str">
        <f>INDEX(Orçamentária!A:B,MATCH(Composições!A2198,Orçamentária!A:A,0),2)</f>
        <v>Tubo de cobre de 1 1/8"</v>
      </c>
      <c r="C2198" s="41"/>
      <c r="D2198" s="26" t="str">
        <f>TRIM(INDEX(Orçamentária!C:C,MATCH(Composições!A2198,Orçamentária!A:A,0),1))</f>
        <v>m</v>
      </c>
      <c r="E2198" s="27"/>
      <c r="F2198" s="42" t="s">
        <v>558</v>
      </c>
      <c r="G2198" s="28" t="str">
        <f>IF(ISNUMBER(F2198),E2198*F2198,"")</f>
        <v/>
      </c>
      <c r="H2198" s="29"/>
      <c r="I2198" s="30"/>
      <c r="J2198" s="155">
        <v>0</v>
      </c>
    </row>
    <row r="2199" spans="1:10" ht="15.75" hidden="1" thickBot="1" x14ac:dyDescent="0.3">
      <c r="A2199" s="200"/>
      <c r="B2199" s="202"/>
      <c r="C2199" s="32"/>
      <c r="D2199" s="32"/>
      <c r="E2199" s="33"/>
      <c r="F2199" s="43" t="s">
        <v>558</v>
      </c>
      <c r="G2199" s="31" t="str">
        <f>IF(ISNUMBER(F2199),E2199*F2199,"")</f>
        <v/>
      </c>
      <c r="H2199" s="35"/>
      <c r="I2199" s="31"/>
      <c r="J2199" s="155">
        <v>0</v>
      </c>
    </row>
    <row r="2200" spans="1:10" ht="26.25" hidden="1" thickBot="1" x14ac:dyDescent="0.3">
      <c r="A2200" s="200"/>
      <c r="B2200" s="202"/>
      <c r="C2200" s="36" t="s">
        <v>723</v>
      </c>
      <c r="D2200" s="47" t="s">
        <v>93</v>
      </c>
      <c r="E2200" s="37">
        <v>1.0210999999999999</v>
      </c>
      <c r="F2200" s="34">
        <v>0</v>
      </c>
      <c r="G2200" s="34">
        <f>IF(ISNUMBER(F2200),E2200*F2200,"")</f>
        <v>0</v>
      </c>
      <c r="H2200" s="39">
        <f>SUM(G2200:G2202)</f>
        <v>1.7721984</v>
      </c>
      <c r="I2200" s="40"/>
      <c r="J2200" s="155">
        <v>0</v>
      </c>
    </row>
    <row r="2201" spans="1:10" ht="26.25" hidden="1" thickBot="1" x14ac:dyDescent="0.3">
      <c r="A2201" s="200"/>
      <c r="B2201" s="202"/>
      <c r="C2201" s="36" t="s">
        <v>108</v>
      </c>
      <c r="D2201" s="47" t="s">
        <v>12</v>
      </c>
      <c r="E2201" s="37">
        <f>0.064*0.7</f>
        <v>4.48E-2</v>
      </c>
      <c r="F2201" s="31">
        <v>17.3185</v>
      </c>
      <c r="G2201" s="34">
        <f>IF(ISNUMBER(F2201),E2201*F2201,"")</f>
        <v>0.77586880000000003</v>
      </c>
      <c r="H2201" s="35"/>
      <c r="I2201" s="31"/>
      <c r="J2201" s="155">
        <v>0</v>
      </c>
    </row>
    <row r="2202" spans="1:10" ht="15.75" hidden="1" thickBot="1" x14ac:dyDescent="0.3">
      <c r="A2202" s="200"/>
      <c r="B2202" s="202"/>
      <c r="C2202" s="36" t="s">
        <v>39</v>
      </c>
      <c r="D2202" s="47" t="s">
        <v>12</v>
      </c>
      <c r="E2202" s="37">
        <f>0.064*0.7</f>
        <v>4.48E-2</v>
      </c>
      <c r="F2202" s="31">
        <v>22.2395</v>
      </c>
      <c r="G2202" s="34">
        <f>IF(ISNUMBER(F2202),E2202*F2202,"")</f>
        <v>0.99632959999999993</v>
      </c>
      <c r="H2202" s="35"/>
      <c r="I2202" s="31"/>
      <c r="J2202" s="155">
        <v>0</v>
      </c>
    </row>
    <row r="2203" spans="1:10" ht="15.75" hidden="1" thickBot="1" x14ac:dyDescent="0.3">
      <c r="A2203" s="200"/>
      <c r="B2203" s="202"/>
      <c r="C2203" s="36"/>
      <c r="D2203" s="47"/>
      <c r="E2203" s="37"/>
      <c r="F2203" s="34" t="s">
        <v>558</v>
      </c>
      <c r="G2203" s="34" t="str">
        <f>IF(ISNUMBER(F2203),E2203*F2203,"")</f>
        <v/>
      </c>
      <c r="H2203" s="35"/>
      <c r="I2203" s="31"/>
      <c r="J2203" s="155">
        <v>0</v>
      </c>
    </row>
    <row r="2204" spans="1:10" ht="39" hidden="1" thickBot="1" x14ac:dyDescent="0.3">
      <c r="A2204" s="200"/>
      <c r="B2204" s="202"/>
      <c r="C2204" s="52" t="s">
        <v>679</v>
      </c>
      <c r="D2204" s="47"/>
      <c r="E2204" s="37"/>
      <c r="F2204" s="34" t="s">
        <v>558</v>
      </c>
      <c r="G2204" s="34" t="str">
        <f>IF(ISNUMBER(F2204),E2204*F2204,"")</f>
        <v/>
      </c>
      <c r="H2204" s="35"/>
      <c r="I2204" s="31"/>
      <c r="J2204" s="155">
        <v>0</v>
      </c>
    </row>
    <row r="2205" spans="1:10" ht="15.75" hidden="1" thickBot="1" x14ac:dyDescent="0.3">
      <c r="A2205" s="201"/>
      <c r="B2205" s="188"/>
      <c r="C2205" s="36"/>
      <c r="D2205" s="36"/>
      <c r="E2205" s="37"/>
      <c r="F2205" s="31" t="s">
        <v>558</v>
      </c>
      <c r="G2205" s="31" t="str">
        <f>IF(ISNUMBER(F2205),E2205*F2205,"")</f>
        <v/>
      </c>
      <c r="H2205" s="35"/>
      <c r="I2205" s="31"/>
      <c r="J2205" s="155">
        <v>0</v>
      </c>
    </row>
    <row r="2206" spans="1:10" ht="15.75" hidden="1" thickBot="1" x14ac:dyDescent="0.3">
      <c r="A2206" s="180" t="s">
        <v>724</v>
      </c>
      <c r="B2206" s="186" t="str">
        <f>INDEX(Orçamentária!A:B,MATCH(Composições!A2206,Orçamentária!A:A,0),2)</f>
        <v>Instalação de armários reaproveitados</v>
      </c>
      <c r="C2206" s="41"/>
      <c r="D2206" s="26" t="str">
        <f>TRIM(INDEX(Orçamentária!C:C,MATCH(Composições!A2206,Orçamentária!A:A,0),1))</f>
        <v>m2</v>
      </c>
      <c r="E2206" s="27"/>
      <c r="F2206" s="42" t="s">
        <v>558</v>
      </c>
      <c r="G2206" s="28" t="str">
        <f>IF(ISNUMBER(F2206),E2206*F2206,"")</f>
        <v/>
      </c>
      <c r="H2206" s="29"/>
      <c r="I2206" s="30"/>
      <c r="J2206" s="155">
        <v>0</v>
      </c>
    </row>
    <row r="2207" spans="1:10" ht="15.75" hidden="1" thickBot="1" x14ac:dyDescent="0.3">
      <c r="A2207" s="200"/>
      <c r="B2207" s="202"/>
      <c r="C2207" s="32"/>
      <c r="D2207" s="32"/>
      <c r="E2207" s="33"/>
      <c r="F2207" s="43" t="s">
        <v>558</v>
      </c>
      <c r="G2207" s="31" t="str">
        <f>IF(ISNUMBER(F2207),E2207*F2207,"")</f>
        <v/>
      </c>
      <c r="H2207" s="35"/>
      <c r="I2207" s="31"/>
      <c r="J2207" s="155">
        <v>0</v>
      </c>
    </row>
    <row r="2208" spans="1:10" ht="15.75" hidden="1" thickBot="1" x14ac:dyDescent="0.3">
      <c r="A2208" s="200"/>
      <c r="B2208" s="202"/>
      <c r="C2208" s="36" t="s">
        <v>643</v>
      </c>
      <c r="D2208" s="36" t="s">
        <v>12</v>
      </c>
      <c r="E2208" s="37">
        <v>1.8</v>
      </c>
      <c r="F2208" s="31">
        <v>22.895</v>
      </c>
      <c r="G2208" s="31">
        <f>IF(ISNUMBER(F2208),E2208*F2208,"")</f>
        <v>41.210999999999999</v>
      </c>
      <c r="H2208" s="39">
        <f>SUM(G2208:G2209)</f>
        <v>100.9413</v>
      </c>
      <c r="I2208" s="40"/>
      <c r="J2208" s="155">
        <v>0</v>
      </c>
    </row>
    <row r="2209" spans="1:10" ht="15.75" hidden="1" thickBot="1" x14ac:dyDescent="0.3">
      <c r="A2209" s="200"/>
      <c r="B2209" s="202"/>
      <c r="C2209" s="36" t="s">
        <v>130</v>
      </c>
      <c r="D2209" s="36" t="s">
        <v>12</v>
      </c>
      <c r="E2209" s="37">
        <v>3.15</v>
      </c>
      <c r="F2209" s="31">
        <v>18.962</v>
      </c>
      <c r="G2209" s="31">
        <f>IF(ISNUMBER(F2209),E2209*F2209,"")</f>
        <v>59.7303</v>
      </c>
      <c r="H2209" s="35"/>
      <c r="I2209" s="31"/>
      <c r="J2209" s="155">
        <v>0</v>
      </c>
    </row>
    <row r="2210" spans="1:10" ht="15.75" hidden="1" thickBot="1" x14ac:dyDescent="0.3">
      <c r="A2210" s="201"/>
      <c r="B2210" s="188"/>
      <c r="C2210" s="36"/>
      <c r="D2210" s="36"/>
      <c r="E2210" s="37"/>
      <c r="F2210" s="31" t="s">
        <v>558</v>
      </c>
      <c r="G2210" s="31" t="str">
        <f>IF(ISNUMBER(F2210),E2210*F2210,"")</f>
        <v/>
      </c>
      <c r="H2210" s="35"/>
      <c r="I2210" s="31"/>
      <c r="J2210" s="155">
        <v>0</v>
      </c>
    </row>
    <row r="2211" spans="1:10" ht="15.75" hidden="1" thickBot="1" x14ac:dyDescent="0.3">
      <c r="A2211" s="180" t="s">
        <v>725</v>
      </c>
      <c r="B2211" s="186" t="str">
        <f>INDEX(Orçamentária!A:B,MATCH(Composições!A2211,Orçamentária!A:A,0),2)</f>
        <v>Mesa/tampo de MDF, fixada em parede com mão-francesa</v>
      </c>
      <c r="C2211" s="41"/>
      <c r="D2211" s="26" t="str">
        <f>TRIM(INDEX(Orçamentária!C:C,MATCH(Composições!A2211,Orçamentária!A:A,0),1))</f>
        <v>m2</v>
      </c>
      <c r="E2211" s="27"/>
      <c r="F2211" s="42" t="s">
        <v>558</v>
      </c>
      <c r="G2211" s="28" t="str">
        <f>IF(ISNUMBER(F2211),E2211*F2211,"")</f>
        <v/>
      </c>
      <c r="H2211" s="29"/>
      <c r="I2211" s="30"/>
      <c r="J2211" s="155">
        <v>0</v>
      </c>
    </row>
    <row r="2212" spans="1:10" ht="15.75" hidden="1" thickBot="1" x14ac:dyDescent="0.3">
      <c r="A2212" s="200"/>
      <c r="B2212" s="202"/>
      <c r="C2212" s="32"/>
      <c r="D2212" s="32"/>
      <c r="E2212" s="33"/>
      <c r="F2212" s="43" t="s">
        <v>558</v>
      </c>
      <c r="G2212" s="31" t="str">
        <f>IF(ISNUMBER(F2212),E2212*F2212,"")</f>
        <v/>
      </c>
      <c r="H2212" s="35"/>
      <c r="I2212" s="31"/>
      <c r="J2212" s="155">
        <v>0</v>
      </c>
    </row>
    <row r="2213" spans="1:10" ht="15.75" hidden="1" thickBot="1" x14ac:dyDescent="0.3">
      <c r="A2213" s="200"/>
      <c r="B2213" s="202"/>
      <c r="C2213" s="36" t="s">
        <v>643</v>
      </c>
      <c r="D2213" s="36" t="s">
        <v>12</v>
      </c>
      <c r="E2213" s="37">
        <v>1.8</v>
      </c>
      <c r="F2213" s="31">
        <v>22.895</v>
      </c>
      <c r="G2213" s="31">
        <f>IF(ISNUMBER(F2213),E2213*F2213,"")</f>
        <v>41.210999999999999</v>
      </c>
      <c r="H2213" s="39">
        <f>SUM(G2213:G2216)</f>
        <v>196.96064999999999</v>
      </c>
      <c r="I2213" s="40"/>
      <c r="J2213" s="155">
        <v>0</v>
      </c>
    </row>
    <row r="2214" spans="1:10" ht="15.75" hidden="1" thickBot="1" x14ac:dyDescent="0.3">
      <c r="A2214" s="200"/>
      <c r="B2214" s="202"/>
      <c r="C2214" s="36" t="s">
        <v>130</v>
      </c>
      <c r="D2214" s="36" t="s">
        <v>12</v>
      </c>
      <c r="E2214" s="37">
        <f>3.15/2</f>
        <v>1.575</v>
      </c>
      <c r="F2214" s="31">
        <v>18.962</v>
      </c>
      <c r="G2214" s="34">
        <f>IF(ISNUMBER(F2214),E2214*F2214,"")</f>
        <v>29.86515</v>
      </c>
      <c r="H2214" s="44"/>
      <c r="I2214" s="40"/>
      <c r="J2214" s="155">
        <v>0</v>
      </c>
    </row>
    <row r="2215" spans="1:10" ht="26.25" hidden="1" thickBot="1" x14ac:dyDescent="0.3">
      <c r="A2215" s="200"/>
      <c r="B2215" s="202"/>
      <c r="C2215" s="36" t="s">
        <v>726</v>
      </c>
      <c r="D2215" s="36" t="s">
        <v>20</v>
      </c>
      <c r="E2215" s="37">
        <v>2</v>
      </c>
      <c r="F2215" s="34">
        <v>23.065999999999999</v>
      </c>
      <c r="G2215" s="31">
        <f>IF(ISNUMBER(F2215),E2215*F2215,"")</f>
        <v>46.131999999999998</v>
      </c>
      <c r="H2215" s="44"/>
      <c r="I2215" s="40"/>
      <c r="J2215" s="155">
        <v>0</v>
      </c>
    </row>
    <row r="2216" spans="1:10" ht="15.75" hidden="1" thickBot="1" x14ac:dyDescent="0.3">
      <c r="A2216" s="200"/>
      <c r="B2216" s="202"/>
      <c r="C2216" s="36" t="s">
        <v>727</v>
      </c>
      <c r="D2216" s="36" t="s">
        <v>95</v>
      </c>
      <c r="E2216" s="37">
        <v>1</v>
      </c>
      <c r="F2216" s="34">
        <v>79.752499999999998</v>
      </c>
      <c r="G2216" s="31">
        <f>IF(ISNUMBER(F2216),E2216*F2216,"")</f>
        <v>79.752499999999998</v>
      </c>
      <c r="H2216" s="35"/>
      <c r="I2216" s="31"/>
      <c r="J2216" s="155">
        <v>0</v>
      </c>
    </row>
    <row r="2217" spans="1:10" ht="15.75" hidden="1" thickBot="1" x14ac:dyDescent="0.3">
      <c r="A2217" s="201"/>
      <c r="B2217" s="188"/>
      <c r="C2217" s="36"/>
      <c r="D2217" s="36"/>
      <c r="E2217" s="37"/>
      <c r="F2217" s="31" t="s">
        <v>558</v>
      </c>
      <c r="G2217" s="31" t="str">
        <f>IF(ISNUMBER(F2217),E2217*F2217,"")</f>
        <v/>
      </c>
      <c r="H2217" s="35"/>
      <c r="I2217" s="31"/>
      <c r="J2217" s="155">
        <v>0</v>
      </c>
    </row>
    <row r="2218" spans="1:10" ht="15.75" hidden="1" thickBot="1" x14ac:dyDescent="0.3">
      <c r="A2218" s="180" t="s">
        <v>728</v>
      </c>
      <c r="B2218" s="186" t="str">
        <f>INDEX(Orçamentária!A:B,MATCH(Composições!A2218,Orçamentária!A:A,0),2)</f>
        <v>Painel de TV em compensado - linha residencial</v>
      </c>
      <c r="C2218" s="41"/>
      <c r="D2218" s="26" t="str">
        <f>TRIM(INDEX(Orçamentária!C:C,MATCH(Composições!A2218,Orçamentária!A:A,0),1))</f>
        <v>m2</v>
      </c>
      <c r="E2218" s="27"/>
      <c r="F2218" s="42" t="s">
        <v>558</v>
      </c>
      <c r="G2218" s="28" t="str">
        <f>IF(ISNUMBER(F2218),E2218*F2218,"")</f>
        <v/>
      </c>
      <c r="H2218" s="29"/>
      <c r="I2218" s="30"/>
      <c r="J2218" s="155">
        <v>0</v>
      </c>
    </row>
    <row r="2219" spans="1:10" ht="15.75" hidden="1" thickBot="1" x14ac:dyDescent="0.3">
      <c r="A2219" s="200"/>
      <c r="B2219" s="202"/>
      <c r="C2219" s="32"/>
      <c r="D2219" s="32"/>
      <c r="E2219" s="33"/>
      <c r="F2219" s="43" t="s">
        <v>558</v>
      </c>
      <c r="G2219" s="31" t="str">
        <f>IF(ISNUMBER(F2219),E2219*F2219,"")</f>
        <v/>
      </c>
      <c r="H2219" s="35"/>
      <c r="I2219" s="31"/>
      <c r="J2219" s="155">
        <v>0</v>
      </c>
    </row>
    <row r="2220" spans="1:10" ht="15.75" hidden="1" thickBot="1" x14ac:dyDescent="0.3">
      <c r="A2220" s="200"/>
      <c r="B2220" s="202"/>
      <c r="C2220" s="36" t="s">
        <v>643</v>
      </c>
      <c r="D2220" s="36" t="s">
        <v>12</v>
      </c>
      <c r="E2220" s="37">
        <v>1</v>
      </c>
      <c r="F2220" s="31">
        <v>22.895</v>
      </c>
      <c r="G2220" s="34">
        <f>IF(ISNUMBER(F2220),E2220*F2220,"")</f>
        <v>22.895</v>
      </c>
      <c r="H2220" s="39">
        <f>SUM(G2220:G2222)</f>
        <v>41.856999999999999</v>
      </c>
      <c r="I2220" s="40"/>
      <c r="J2220" s="155">
        <v>0</v>
      </c>
    </row>
    <row r="2221" spans="1:10" ht="15.75" hidden="1" thickBot="1" x14ac:dyDescent="0.3">
      <c r="A2221" s="200"/>
      <c r="B2221" s="202"/>
      <c r="C2221" s="36" t="s">
        <v>130</v>
      </c>
      <c r="D2221" s="36" t="s">
        <v>12</v>
      </c>
      <c r="E2221" s="37">
        <v>1</v>
      </c>
      <c r="F2221" s="31">
        <v>18.962</v>
      </c>
      <c r="G2221" s="34">
        <f>IF(ISNUMBER(F2221),E2221*F2221,"")</f>
        <v>18.962</v>
      </c>
      <c r="H2221" s="44"/>
      <c r="I2221" s="40"/>
      <c r="J2221" s="155">
        <v>0</v>
      </c>
    </row>
    <row r="2222" spans="1:10" ht="15.75" hidden="1" thickBot="1" x14ac:dyDescent="0.3">
      <c r="A2222" s="200"/>
      <c r="B2222" s="202"/>
      <c r="C2222" s="171" t="s">
        <v>729</v>
      </c>
      <c r="D2222" s="36" t="s">
        <v>20</v>
      </c>
      <c r="E2222" s="37">
        <v>1</v>
      </c>
      <c r="F2222" s="34" t="s">
        <v>558</v>
      </c>
      <c r="G2222" s="31" t="str">
        <f>IF(ISNUMBER(F2222),E2222*F2222,"")</f>
        <v/>
      </c>
      <c r="H2222" s="35"/>
      <c r="I2222" s="31"/>
      <c r="J2222" s="155">
        <v>0</v>
      </c>
    </row>
    <row r="2223" spans="1:10" ht="15.75" hidden="1" thickBot="1" x14ac:dyDescent="0.3">
      <c r="A2223" s="201"/>
      <c r="B2223" s="188"/>
      <c r="C2223" s="36"/>
      <c r="D2223" s="36"/>
      <c r="E2223" s="37"/>
      <c r="F2223" s="31" t="s">
        <v>558</v>
      </c>
      <c r="G2223" s="31" t="str">
        <f>IF(ISNUMBER(F2223),E2223*F2223,"")</f>
        <v/>
      </c>
      <c r="H2223" s="35"/>
      <c r="I2223" s="31"/>
      <c r="J2223" s="155">
        <v>0</v>
      </c>
    </row>
    <row r="2224" spans="1:10" ht="15.75" hidden="1" thickBot="1" x14ac:dyDescent="0.3">
      <c r="A2224" s="180" t="s">
        <v>730</v>
      </c>
      <c r="B2224" s="186" t="str">
        <f>INDEX(Orçamentária!A:B,MATCH(Composições!A2224,Orçamentária!A:A,0),2)</f>
        <v>Painel de TV em MDF</v>
      </c>
      <c r="C2224" s="41"/>
      <c r="D2224" s="26" t="str">
        <f>TRIM(INDEX(Orçamentária!C:C,MATCH(Composições!A2224,Orçamentária!A:A,0),1))</f>
        <v>m2</v>
      </c>
      <c r="E2224" s="27"/>
      <c r="F2224" s="42" t="s">
        <v>558</v>
      </c>
      <c r="G2224" s="28" t="str">
        <f>IF(ISNUMBER(F2224),E2224*F2224,"")</f>
        <v/>
      </c>
      <c r="H2224" s="29"/>
      <c r="I2224" s="30"/>
      <c r="J2224" s="155">
        <v>0</v>
      </c>
    </row>
    <row r="2225" spans="1:10" ht="15.75" hidden="1" thickBot="1" x14ac:dyDescent="0.3">
      <c r="A2225" s="200"/>
      <c r="B2225" s="202"/>
      <c r="C2225" s="32"/>
      <c r="D2225" s="32"/>
      <c r="E2225" s="33"/>
      <c r="F2225" s="43" t="s">
        <v>558</v>
      </c>
      <c r="G2225" s="31" t="str">
        <f>IF(ISNUMBER(F2225),E2225*F2225,"")</f>
        <v/>
      </c>
      <c r="H2225" s="35"/>
      <c r="I2225" s="31"/>
      <c r="J2225" s="155">
        <v>0</v>
      </c>
    </row>
    <row r="2226" spans="1:10" ht="15.75" hidden="1" thickBot="1" x14ac:dyDescent="0.3">
      <c r="A2226" s="200"/>
      <c r="B2226" s="202"/>
      <c r="C2226" s="36" t="s">
        <v>643</v>
      </c>
      <c r="D2226" s="36" t="s">
        <v>12</v>
      </c>
      <c r="E2226" s="37">
        <v>1</v>
      </c>
      <c r="F2226" s="31">
        <v>22.895</v>
      </c>
      <c r="G2226" s="34">
        <f>IF(ISNUMBER(F2226),E2226*F2226,"")</f>
        <v>22.895</v>
      </c>
      <c r="H2226" s="39">
        <f>SUM(G2226:G2228)</f>
        <v>41.856999999999999</v>
      </c>
      <c r="I2226" s="40"/>
      <c r="J2226" s="155">
        <v>0</v>
      </c>
    </row>
    <row r="2227" spans="1:10" ht="15.75" hidden="1" thickBot="1" x14ac:dyDescent="0.3">
      <c r="A2227" s="200"/>
      <c r="B2227" s="202"/>
      <c r="C2227" s="36" t="s">
        <v>130</v>
      </c>
      <c r="D2227" s="36" t="s">
        <v>12</v>
      </c>
      <c r="E2227" s="37">
        <v>1</v>
      </c>
      <c r="F2227" s="31">
        <v>18.962</v>
      </c>
      <c r="G2227" s="34">
        <f>IF(ISNUMBER(F2227),E2227*F2227,"")</f>
        <v>18.962</v>
      </c>
      <c r="H2227" s="35"/>
      <c r="I2227" s="31"/>
      <c r="J2227" s="155">
        <v>0</v>
      </c>
    </row>
    <row r="2228" spans="1:10" ht="26.25" hidden="1" thickBot="1" x14ac:dyDescent="0.3">
      <c r="A2228" s="200"/>
      <c r="B2228" s="202"/>
      <c r="C2228" s="171" t="s">
        <v>731</v>
      </c>
      <c r="D2228" s="36" t="s">
        <v>20</v>
      </c>
      <c r="E2228" s="37">
        <v>1</v>
      </c>
      <c r="F2228" s="34" t="s">
        <v>558</v>
      </c>
      <c r="G2228" s="31" t="str">
        <f>IF(ISNUMBER(F2228),E2228*F2228,"")</f>
        <v/>
      </c>
      <c r="H2228" s="35"/>
      <c r="I2228" s="31"/>
      <c r="J2228" s="155">
        <v>0</v>
      </c>
    </row>
    <row r="2229" spans="1:10" ht="15.75" hidden="1" thickBot="1" x14ac:dyDescent="0.3">
      <c r="A2229" s="201"/>
      <c r="B2229" s="188"/>
      <c r="C2229" s="36"/>
      <c r="D2229" s="36"/>
      <c r="E2229" s="37"/>
      <c r="F2229" s="31" t="s">
        <v>558</v>
      </c>
      <c r="G2229" s="31" t="str">
        <f>IF(ISNUMBER(F2229),E2229*F2229,"")</f>
        <v/>
      </c>
      <c r="H2229" s="35"/>
      <c r="I2229" s="31"/>
      <c r="J2229" s="155">
        <v>0</v>
      </c>
    </row>
    <row r="2230" spans="1:10" ht="15.75" hidden="1" thickBot="1" x14ac:dyDescent="0.3">
      <c r="A2230" s="180" t="s">
        <v>732</v>
      </c>
      <c r="B2230" s="186" t="str">
        <f>INDEX(Orçamentária!A:B,MATCH(Composições!A2230,Orçamentária!A:A,0),2)</f>
        <v>Painel para TV de 90 x 120 cm</v>
      </c>
      <c r="C2230" s="41"/>
      <c r="D2230" s="26" t="str">
        <f>TRIM(INDEX(Orçamentária!C:C,MATCH(Composições!A2230,Orçamentária!A:A,0),1))</f>
        <v>un</v>
      </c>
      <c r="E2230" s="27"/>
      <c r="F2230" s="42" t="s">
        <v>558</v>
      </c>
      <c r="G2230" s="28" t="str">
        <f>IF(ISNUMBER(F2230),E2230*F2230,"")</f>
        <v/>
      </c>
      <c r="H2230" s="29"/>
      <c r="I2230" s="30"/>
      <c r="J2230" s="155">
        <v>0</v>
      </c>
    </row>
    <row r="2231" spans="1:10" ht="15.75" hidden="1" thickBot="1" x14ac:dyDescent="0.3">
      <c r="A2231" s="200"/>
      <c r="B2231" s="202"/>
      <c r="C2231" s="32"/>
      <c r="D2231" s="32"/>
      <c r="E2231" s="33"/>
      <c r="F2231" s="43" t="s">
        <v>558</v>
      </c>
      <c r="G2231" s="31" t="str">
        <f>IF(ISNUMBER(F2231),E2231*F2231,"")</f>
        <v/>
      </c>
      <c r="H2231" s="35"/>
      <c r="I2231" s="31"/>
      <c r="J2231" s="155">
        <v>0</v>
      </c>
    </row>
    <row r="2232" spans="1:10" ht="15.75" hidden="1" thickBot="1" x14ac:dyDescent="0.3">
      <c r="A2232" s="200"/>
      <c r="B2232" s="202"/>
      <c r="C2232" s="36" t="s">
        <v>643</v>
      </c>
      <c r="D2232" s="36" t="s">
        <v>12</v>
      </c>
      <c r="E2232" s="37">
        <v>1</v>
      </c>
      <c r="F2232" s="31">
        <v>22.895</v>
      </c>
      <c r="G2232" s="34">
        <f>IF(ISNUMBER(F2232),E2232*F2232,"")</f>
        <v>22.895</v>
      </c>
      <c r="H2232" s="39">
        <f>SUM(G2232:G2234)</f>
        <v>41.856999999999999</v>
      </c>
      <c r="I2232" s="40"/>
      <c r="J2232" s="155">
        <v>0</v>
      </c>
    </row>
    <row r="2233" spans="1:10" ht="15.75" hidden="1" thickBot="1" x14ac:dyDescent="0.3">
      <c r="A2233" s="200"/>
      <c r="B2233" s="202"/>
      <c r="C2233" s="36" t="s">
        <v>130</v>
      </c>
      <c r="D2233" s="36" t="s">
        <v>12</v>
      </c>
      <c r="E2233" s="37">
        <v>1</v>
      </c>
      <c r="F2233" s="31">
        <v>18.962</v>
      </c>
      <c r="G2233" s="34">
        <f>IF(ISNUMBER(F2233),E2233*F2233,"")</f>
        <v>18.962</v>
      </c>
      <c r="H2233" s="35"/>
      <c r="I2233" s="31"/>
      <c r="J2233" s="155">
        <v>0</v>
      </c>
    </row>
    <row r="2234" spans="1:10" ht="26.25" hidden="1" thickBot="1" x14ac:dyDescent="0.3">
      <c r="A2234" s="200"/>
      <c r="B2234" s="202"/>
      <c r="C2234" s="36" t="s">
        <v>733</v>
      </c>
      <c r="D2234" s="36" t="s">
        <v>20</v>
      </c>
      <c r="E2234" s="37">
        <v>1</v>
      </c>
      <c r="F2234" s="34" t="s">
        <v>558</v>
      </c>
      <c r="G2234" s="31" t="str">
        <f>IF(ISNUMBER(F2234),E2234*F2234,"")</f>
        <v/>
      </c>
      <c r="H2234" s="35"/>
      <c r="I2234" s="31"/>
      <c r="J2234" s="155">
        <v>0</v>
      </c>
    </row>
    <row r="2235" spans="1:10" ht="15.75" hidden="1" thickBot="1" x14ac:dyDescent="0.3">
      <c r="A2235" s="201"/>
      <c r="B2235" s="188"/>
      <c r="C2235" s="36"/>
      <c r="D2235" s="36"/>
      <c r="E2235" s="37"/>
      <c r="F2235" s="31" t="s">
        <v>558</v>
      </c>
      <c r="G2235" s="31" t="str">
        <f>IF(ISNUMBER(F2235),E2235*F2235,"")</f>
        <v/>
      </c>
      <c r="H2235" s="35"/>
      <c r="I2235" s="31"/>
      <c r="J2235" s="155">
        <v>0</v>
      </c>
    </row>
    <row r="2236" spans="1:10" ht="15.75" hidden="1" thickBot="1" x14ac:dyDescent="0.3">
      <c r="A2236" s="180" t="s">
        <v>734</v>
      </c>
      <c r="B2236" s="186" t="str">
        <f>INDEX(Orçamentária!A:B,MATCH(Composições!A2236,Orçamentária!A:A,0),2)</f>
        <v>Batentes e guarnições em madeira, com verniz ou esmalte</v>
      </c>
      <c r="C2236" s="41"/>
      <c r="D2236" s="26" t="str">
        <f>TRIM(INDEX(Orçamentária!C:C,MATCH(Composições!A2236,Orçamentária!A:A,0),1))</f>
        <v>un</v>
      </c>
      <c r="E2236" s="27"/>
      <c r="F2236" s="42" t="s">
        <v>558</v>
      </c>
      <c r="G2236" s="28" t="str">
        <f>IF(ISNUMBER(F2236),E2236*F2236,"")</f>
        <v/>
      </c>
      <c r="H2236" s="29"/>
      <c r="I2236" s="30"/>
      <c r="J2236" s="155">
        <v>0</v>
      </c>
    </row>
    <row r="2237" spans="1:10" ht="15.75" hidden="1" thickBot="1" x14ac:dyDescent="0.3">
      <c r="A2237" s="200"/>
      <c r="B2237" s="202"/>
      <c r="C2237" s="32"/>
      <c r="D2237" s="32"/>
      <c r="E2237" s="33"/>
      <c r="F2237" s="43" t="s">
        <v>558</v>
      </c>
      <c r="G2237" s="31" t="str">
        <f>IF(ISNUMBER(F2237),E2237*F2237,"")</f>
        <v/>
      </c>
      <c r="H2237" s="35"/>
      <c r="I2237" s="31"/>
      <c r="J2237" s="155">
        <v>0</v>
      </c>
    </row>
    <row r="2238" spans="1:10" ht="39" hidden="1" thickBot="1" x14ac:dyDescent="0.3">
      <c r="A2238" s="200"/>
      <c r="B2238" s="202"/>
      <c r="C2238" s="36" t="s">
        <v>3325</v>
      </c>
      <c r="D2238" s="47" t="s">
        <v>1516</v>
      </c>
      <c r="E2238" s="37">
        <v>1</v>
      </c>
      <c r="F2238" s="34">
        <v>135.32749999999999</v>
      </c>
      <c r="G2238" s="34">
        <f>IF(ISNUMBER(F2238),E2238*F2238,"")</f>
        <v>135.32749999999999</v>
      </c>
      <c r="H2238" s="39">
        <f>SUM(G2238:G2246)</f>
        <v>281.79867385</v>
      </c>
      <c r="I2238" s="40"/>
      <c r="J2238" s="155">
        <v>0</v>
      </c>
    </row>
    <row r="2239" spans="1:10" ht="15.75" hidden="1" thickBot="1" x14ac:dyDescent="0.3">
      <c r="A2239" s="200"/>
      <c r="B2239" s="202"/>
      <c r="C2239" s="36" t="s">
        <v>1517</v>
      </c>
      <c r="D2239" s="50" t="s">
        <v>938</v>
      </c>
      <c r="E2239" s="37">
        <v>1.0999999999999999E-2</v>
      </c>
      <c r="F2239" s="34">
        <v>25.336500000000001</v>
      </c>
      <c r="G2239" s="34">
        <f>IF(ISNUMBER(F2239),E2239*F2239,"")</f>
        <v>0.27870149999999999</v>
      </c>
      <c r="H2239" s="35"/>
      <c r="I2239" s="31"/>
      <c r="J2239" s="155">
        <v>0</v>
      </c>
    </row>
    <row r="2240" spans="1:10" ht="15.75" hidden="1" thickBot="1" x14ac:dyDescent="0.3">
      <c r="A2240" s="200"/>
      <c r="B2240" s="202"/>
      <c r="C2240" s="36" t="s">
        <v>99</v>
      </c>
      <c r="D2240" s="47" t="s">
        <v>938</v>
      </c>
      <c r="E2240" s="37">
        <v>2.4E-2</v>
      </c>
      <c r="F2240" s="31">
        <v>19.227999999999998</v>
      </c>
      <c r="G2240" s="34">
        <f>IF(ISNUMBER(F2240),E2240*F2240,"")</f>
        <v>0.46147199999999994</v>
      </c>
      <c r="H2240" s="35"/>
      <c r="I2240" s="31"/>
      <c r="J2240" s="155">
        <v>0</v>
      </c>
    </row>
    <row r="2241" spans="1:10" ht="15.75" hidden="1" thickBot="1" x14ac:dyDescent="0.3">
      <c r="A2241" s="200"/>
      <c r="B2241" s="202"/>
      <c r="C2241" s="36" t="s">
        <v>741</v>
      </c>
      <c r="D2241" s="47" t="s">
        <v>742</v>
      </c>
      <c r="E2241" s="37">
        <f>2.741+0.068</f>
        <v>2.8090000000000002</v>
      </c>
      <c r="F2241" s="31">
        <v>22.533999999999999</v>
      </c>
      <c r="G2241" s="34">
        <f>IF(ISNUMBER(F2241),E2241*F2241,"")</f>
        <v>63.298006000000001</v>
      </c>
      <c r="H2241" s="35"/>
      <c r="I2241" s="31"/>
      <c r="J2241" s="155">
        <v>0</v>
      </c>
    </row>
    <row r="2242" spans="1:10" ht="15.75" hidden="1" thickBot="1" x14ac:dyDescent="0.3">
      <c r="A2242" s="200"/>
      <c r="B2242" s="202"/>
      <c r="C2242" s="36" t="s">
        <v>743</v>
      </c>
      <c r="D2242" s="47" t="s">
        <v>742</v>
      </c>
      <c r="E2242" s="37">
        <f>1.375+0.034</f>
        <v>1.409</v>
      </c>
      <c r="F2242" s="31">
        <v>16.729499999999998</v>
      </c>
      <c r="G2242" s="34">
        <f>IF(ISNUMBER(F2242),E2242*F2242,"")</f>
        <v>23.571865499999998</v>
      </c>
      <c r="H2242" s="35"/>
      <c r="I2242" s="31"/>
      <c r="J2242" s="155">
        <v>0</v>
      </c>
    </row>
    <row r="2243" spans="1:10" ht="15.75" hidden="1" thickBot="1" x14ac:dyDescent="0.3">
      <c r="A2243" s="200"/>
      <c r="B2243" s="202"/>
      <c r="C2243" s="36" t="s">
        <v>3439</v>
      </c>
      <c r="D2243" s="47" t="s">
        <v>938</v>
      </c>
      <c r="E2243" s="37">
        <v>6.0000000000000001E-3</v>
      </c>
      <c r="F2243" s="31">
        <v>21.622</v>
      </c>
      <c r="G2243" s="34">
        <f>IF(ISNUMBER(F2243),E2243*F2243,"")</f>
        <v>0.12973200000000001</v>
      </c>
      <c r="H2243" s="35"/>
      <c r="I2243" s="31"/>
      <c r="J2243" s="155">
        <v>0</v>
      </c>
    </row>
    <row r="2244" spans="1:10" ht="39" hidden="1" thickBot="1" x14ac:dyDescent="0.3">
      <c r="A2244" s="200"/>
      <c r="B2244" s="202"/>
      <c r="C2244" s="36" t="s">
        <v>3408</v>
      </c>
      <c r="D2244" s="47" t="s">
        <v>513</v>
      </c>
      <c r="E2244" s="37">
        <f>(2.1*2+0.8)*1.163</f>
        <v>5.8150000000000004</v>
      </c>
      <c r="F2244" s="34">
        <v>7.9419999999999993</v>
      </c>
      <c r="G2244" s="34">
        <f>IF(ISNUMBER(F2244),E2244*F2244,"")</f>
        <v>46.182729999999999</v>
      </c>
      <c r="H2244" s="35"/>
      <c r="I2244" s="31"/>
      <c r="J2244" s="155">
        <v>0</v>
      </c>
    </row>
    <row r="2245" spans="1:10" ht="15.75" hidden="1" thickBot="1" x14ac:dyDescent="0.3">
      <c r="A2245" s="200"/>
      <c r="B2245" s="202"/>
      <c r="C2245" s="36" t="s">
        <v>214</v>
      </c>
      <c r="D2245" s="50" t="s">
        <v>103</v>
      </c>
      <c r="E2245" s="37">
        <f>ROUND(0.108*0.15*(2*2.1+0.8),4)</f>
        <v>8.1000000000000003E-2</v>
      </c>
      <c r="F2245" s="34" t="s">
        <v>558</v>
      </c>
      <c r="G2245" s="31" t="str">
        <f>IF(ISNUMBER(F2245),E2245*F2245,"")</f>
        <v/>
      </c>
      <c r="H2245" s="35"/>
      <c r="I2245" s="31"/>
      <c r="J2245" s="155">
        <v>0</v>
      </c>
    </row>
    <row r="2246" spans="1:10" ht="15.75" hidden="1" thickBot="1" x14ac:dyDescent="0.3">
      <c r="A2246" s="200"/>
      <c r="B2246" s="202"/>
      <c r="C2246" s="36" t="s">
        <v>101</v>
      </c>
      <c r="D2246" s="36" t="s">
        <v>12</v>
      </c>
      <c r="E2246" s="37">
        <f>ROUND(0.7076*0.15*(2*2.1+0.8),4)</f>
        <v>0.53069999999999995</v>
      </c>
      <c r="F2246" s="31">
        <v>23.645499999999998</v>
      </c>
      <c r="G2246" s="31">
        <f>IF(ISNUMBER(F2246),E2246*F2246,"")</f>
        <v>12.548666849999998</v>
      </c>
      <c r="H2246" s="35"/>
      <c r="I2246" s="31"/>
      <c r="J2246" s="155">
        <v>0</v>
      </c>
    </row>
    <row r="2247" spans="1:10" ht="15.75" hidden="1" thickBot="1" x14ac:dyDescent="0.3">
      <c r="A2247" s="200"/>
      <c r="B2247" s="202"/>
      <c r="C2247" s="36"/>
      <c r="D2247" s="36"/>
      <c r="E2247" s="37"/>
      <c r="F2247" s="31"/>
      <c r="G2247" s="31"/>
      <c r="H2247" s="35"/>
      <c r="I2247" s="31"/>
      <c r="J2247" s="155">
        <v>0</v>
      </c>
    </row>
    <row r="2248" spans="1:10" ht="39" hidden="1" thickBot="1" x14ac:dyDescent="0.3">
      <c r="A2248" s="200"/>
      <c r="B2248" s="202"/>
      <c r="C2248" s="52" t="s">
        <v>3481</v>
      </c>
      <c r="D2248" s="36"/>
      <c r="E2248" s="37"/>
      <c r="F2248" s="31"/>
      <c r="G2248" s="31"/>
      <c r="H2248" s="35"/>
      <c r="I2248" s="31"/>
      <c r="J2248" s="155">
        <v>0</v>
      </c>
    </row>
    <row r="2249" spans="1:10" ht="15.75" hidden="1" thickBot="1" x14ac:dyDescent="0.3">
      <c r="A2249" s="201"/>
      <c r="B2249" s="188"/>
      <c r="C2249" s="36"/>
      <c r="D2249" s="36"/>
      <c r="E2249" s="37"/>
      <c r="F2249" s="31" t="s">
        <v>558</v>
      </c>
      <c r="G2249" s="31" t="str">
        <f>IF(ISNUMBER(F2249),E2249*F2249,"")</f>
        <v/>
      </c>
      <c r="H2249" s="35"/>
      <c r="I2249" s="31"/>
      <c r="J2249" s="155">
        <v>0</v>
      </c>
    </row>
    <row r="2250" spans="1:10" ht="15.75" hidden="1" thickBot="1" x14ac:dyDescent="0.3">
      <c r="A2250" s="180" t="s">
        <v>736</v>
      </c>
      <c r="B2250" s="186" t="str">
        <f>INDEX(Orçamentária!A:B,MATCH(Composições!A2250,Orçamentária!A:A,0),2)</f>
        <v>Chapa de proteção para porta – Linha Acessibilidade</v>
      </c>
      <c r="C2250" s="148"/>
      <c r="D2250" s="26" t="str">
        <f>TRIM(INDEX(Orçamentária!C:C,MATCH(Composições!A2250,Orçamentária!A:A,0),1))</f>
        <v>m2</v>
      </c>
      <c r="E2250" s="27"/>
      <c r="F2250" s="42" t="s">
        <v>558</v>
      </c>
      <c r="G2250" s="28" t="str">
        <f>IF(ISNUMBER(F2250),E2250*F2250,"")</f>
        <v/>
      </c>
      <c r="H2250" s="29"/>
      <c r="I2250" s="30"/>
      <c r="J2250" s="155">
        <v>0</v>
      </c>
    </row>
    <row r="2251" spans="1:10" ht="15.75" hidden="1" thickBot="1" x14ac:dyDescent="0.3">
      <c r="A2251" s="200"/>
      <c r="B2251" s="202"/>
      <c r="C2251" s="32"/>
      <c r="D2251" s="32"/>
      <c r="E2251" s="33"/>
      <c r="F2251" s="43" t="s">
        <v>558</v>
      </c>
      <c r="G2251" s="31" t="str">
        <f>IF(ISNUMBER(F2251),E2251*F2251,"")</f>
        <v/>
      </c>
      <c r="H2251" s="35"/>
      <c r="I2251" s="31"/>
      <c r="J2251" s="155">
        <v>0</v>
      </c>
    </row>
    <row r="2252" spans="1:10" ht="15.75" hidden="1" thickBot="1" x14ac:dyDescent="0.3">
      <c r="A2252" s="200"/>
      <c r="B2252" s="202"/>
      <c r="C2252" s="36" t="s">
        <v>23</v>
      </c>
      <c r="D2252" s="36" t="s">
        <v>12</v>
      </c>
      <c r="E2252" s="37">
        <v>0.3</v>
      </c>
      <c r="F2252" s="31">
        <v>16.729499999999998</v>
      </c>
      <c r="G2252" s="34">
        <f>IF(ISNUMBER(F2252),E2252*F2252,"")</f>
        <v>5.0188499999999996</v>
      </c>
      <c r="H2252" s="39">
        <f>SUM(G2252:G2254)</f>
        <v>11.88735</v>
      </c>
      <c r="I2252" s="40"/>
      <c r="J2252" s="155">
        <v>0</v>
      </c>
    </row>
    <row r="2253" spans="1:10" ht="15.75" hidden="1" thickBot="1" x14ac:dyDescent="0.3">
      <c r="A2253" s="200"/>
      <c r="B2253" s="202"/>
      <c r="C2253" s="36" t="s">
        <v>643</v>
      </c>
      <c r="D2253" s="36" t="s">
        <v>12</v>
      </c>
      <c r="E2253" s="37">
        <v>0.3</v>
      </c>
      <c r="F2253" s="31">
        <v>22.895</v>
      </c>
      <c r="G2253" s="34">
        <f>IF(ISNUMBER(F2253),E2253*F2253,"")</f>
        <v>6.8685</v>
      </c>
      <c r="H2253" s="45"/>
      <c r="I2253" s="46"/>
      <c r="J2253" s="155">
        <v>0</v>
      </c>
    </row>
    <row r="2254" spans="1:10" ht="39" hidden="1" thickBot="1" x14ac:dyDescent="0.3">
      <c r="A2254" s="200"/>
      <c r="B2254" s="202"/>
      <c r="C2254" s="36" t="s">
        <v>737</v>
      </c>
      <c r="D2254" s="47" t="s">
        <v>95</v>
      </c>
      <c r="E2254" s="37">
        <v>1</v>
      </c>
      <c r="F2254" s="34" t="s">
        <v>558</v>
      </c>
      <c r="G2254" s="34" t="str">
        <f>IF(ISNUMBER(F2254),E2254*F2254,"")</f>
        <v/>
      </c>
      <c r="H2254" s="35"/>
      <c r="I2254" s="31"/>
      <c r="J2254" s="155">
        <v>0</v>
      </c>
    </row>
    <row r="2255" spans="1:10" ht="15.75" hidden="1" thickBot="1" x14ac:dyDescent="0.3">
      <c r="A2255" s="201"/>
      <c r="B2255" s="188"/>
      <c r="C2255" s="36"/>
      <c r="D2255" s="36"/>
      <c r="E2255" s="37"/>
      <c r="F2255" s="31" t="s">
        <v>558</v>
      </c>
      <c r="G2255" s="31" t="str">
        <f>IF(ISNUMBER(F2255),E2255*F2255,"")</f>
        <v/>
      </c>
      <c r="H2255" s="35"/>
      <c r="I2255" s="31"/>
      <c r="J2255" s="155">
        <v>0</v>
      </c>
    </row>
    <row r="2256" spans="1:10" ht="15.75" hidden="1" thickBot="1" x14ac:dyDescent="0.3">
      <c r="A2256" s="189" t="s">
        <v>738</v>
      </c>
      <c r="B2256" s="192" t="str">
        <f>INDEX(Orçamentária!A:B,MATCH(Composições!A2256,Orçamentária!A:A,0),2)</f>
        <v>Folha de porta em madeira 2,10x0,60m, pintada</v>
      </c>
      <c r="C2256" s="41"/>
      <c r="D2256" s="26" t="str">
        <f>TRIM(INDEX(Orçamentária!C:C,MATCH(Composições!A2256,Orçamentária!A:A,0),1))</f>
        <v>un</v>
      </c>
      <c r="E2256" s="27"/>
      <c r="F2256" s="42" t="s">
        <v>558</v>
      </c>
      <c r="G2256" s="28" t="str">
        <f>IF(ISNUMBER(F2256),E2256*F2256,"")</f>
        <v/>
      </c>
      <c r="H2256" s="29"/>
      <c r="I2256" s="30"/>
      <c r="J2256" s="155">
        <v>0</v>
      </c>
    </row>
    <row r="2257" spans="1:10" ht="15.75" hidden="1" thickBot="1" x14ac:dyDescent="0.3">
      <c r="A2257" s="190"/>
      <c r="B2257" s="203"/>
      <c r="C2257" s="32"/>
      <c r="D2257" s="32"/>
      <c r="E2257" s="33"/>
      <c r="F2257" s="43" t="s">
        <v>558</v>
      </c>
      <c r="G2257" s="31" t="str">
        <f>IF(ISNUMBER(F2257),E2257*F2257,"")</f>
        <v/>
      </c>
      <c r="H2257" s="35"/>
      <c r="I2257" s="31"/>
      <c r="J2257" s="155">
        <v>0</v>
      </c>
    </row>
    <row r="2258" spans="1:10" ht="51.75" hidden="1" thickBot="1" x14ac:dyDescent="0.3">
      <c r="A2258" s="190"/>
      <c r="B2258" s="203"/>
      <c r="C2258" s="36" t="s">
        <v>3826</v>
      </c>
      <c r="D2258" s="47" t="s">
        <v>292</v>
      </c>
      <c r="E2258" s="37">
        <v>1</v>
      </c>
      <c r="F2258" s="34">
        <v>187.95749999999998</v>
      </c>
      <c r="G2258" s="34">
        <f>IF(ISNUMBER(F2258),E2258*F2258,"")</f>
        <v>187.95749999999998</v>
      </c>
      <c r="H2258" s="39">
        <f>SUM(G2258:G2262)</f>
        <v>261.81191359999997</v>
      </c>
      <c r="I2258" s="40"/>
      <c r="J2258" s="155">
        <v>0</v>
      </c>
    </row>
    <row r="2259" spans="1:10" ht="15.75" hidden="1" thickBot="1" x14ac:dyDescent="0.3">
      <c r="A2259" s="190"/>
      <c r="B2259" s="203"/>
      <c r="C2259" s="36" t="s">
        <v>741</v>
      </c>
      <c r="D2259" s="47" t="s">
        <v>742</v>
      </c>
      <c r="E2259" s="37">
        <f>ROUND(1.282*0.8,4)</f>
        <v>1.0256000000000001</v>
      </c>
      <c r="F2259" s="31">
        <v>22.533999999999999</v>
      </c>
      <c r="G2259" s="34">
        <f>IF(ISNUMBER(F2259),E2259*F2259,"")</f>
        <v>23.1108704</v>
      </c>
      <c r="H2259" s="35"/>
      <c r="I2259" s="31"/>
      <c r="J2259" s="155">
        <v>0</v>
      </c>
    </row>
    <row r="2260" spans="1:10" ht="15.75" hidden="1" thickBot="1" x14ac:dyDescent="0.3">
      <c r="A2260" s="190"/>
      <c r="B2260" s="203"/>
      <c r="C2260" s="36" t="s">
        <v>743</v>
      </c>
      <c r="D2260" s="47" t="s">
        <v>742</v>
      </c>
      <c r="E2260" s="37">
        <f>ROUND(0.641*0.8,4)</f>
        <v>0.51280000000000003</v>
      </c>
      <c r="F2260" s="31">
        <v>16.729499999999998</v>
      </c>
      <c r="G2260" s="34">
        <f>IF(ISNUMBER(F2260),E2260*F2260,"")</f>
        <v>8.5788875999999998</v>
      </c>
      <c r="H2260" s="35"/>
      <c r="I2260" s="31"/>
      <c r="J2260" s="155">
        <v>0</v>
      </c>
    </row>
    <row r="2261" spans="1:10" ht="15.75" hidden="1" thickBot="1" x14ac:dyDescent="0.3">
      <c r="A2261" s="190"/>
      <c r="B2261" s="203"/>
      <c r="C2261" s="36" t="s">
        <v>214</v>
      </c>
      <c r="D2261" s="50" t="s">
        <v>103</v>
      </c>
      <c r="E2261" s="37">
        <f>ROUND(0.108*(2*0.6*2.1),4)</f>
        <v>0.2722</v>
      </c>
      <c r="F2261" s="34" t="s">
        <v>558</v>
      </c>
      <c r="G2261" s="31" t="str">
        <f>IF(ISNUMBER(F2261),E2261*F2261,"")</f>
        <v/>
      </c>
      <c r="H2261" s="35"/>
      <c r="I2261" s="31"/>
      <c r="J2261" s="155">
        <v>0</v>
      </c>
    </row>
    <row r="2262" spans="1:10" ht="15.75" hidden="1" thickBot="1" x14ac:dyDescent="0.3">
      <c r="A2262" s="190"/>
      <c r="B2262" s="203"/>
      <c r="C2262" s="36" t="s">
        <v>101</v>
      </c>
      <c r="D2262" s="36" t="s">
        <v>12</v>
      </c>
      <c r="E2262" s="37">
        <f>ROUND(0.7076*(2*0.6*2.1),4)</f>
        <v>1.7831999999999999</v>
      </c>
      <c r="F2262" s="31">
        <v>23.645499999999998</v>
      </c>
      <c r="G2262" s="31">
        <f>IF(ISNUMBER(F2262),E2262*F2262,"")</f>
        <v>42.164655599999996</v>
      </c>
      <c r="H2262" s="35"/>
      <c r="I2262" s="31"/>
      <c r="J2262" s="155">
        <v>0</v>
      </c>
    </row>
    <row r="2263" spans="1:10" ht="15.75" hidden="1" thickBot="1" x14ac:dyDescent="0.3">
      <c r="A2263" s="190"/>
      <c r="B2263" s="203"/>
      <c r="C2263" s="36"/>
      <c r="D2263" s="36"/>
      <c r="E2263" s="37"/>
      <c r="F2263" s="31"/>
      <c r="G2263" s="31"/>
      <c r="H2263" s="35"/>
      <c r="I2263" s="31"/>
      <c r="J2263" s="155">
        <v>0</v>
      </c>
    </row>
    <row r="2264" spans="1:10" ht="39" hidden="1" thickBot="1" x14ac:dyDescent="0.3">
      <c r="A2264" s="190"/>
      <c r="B2264" s="203"/>
      <c r="C2264" s="52" t="s">
        <v>3481</v>
      </c>
      <c r="D2264" s="36"/>
      <c r="E2264" s="37"/>
      <c r="F2264" s="31"/>
      <c r="G2264" s="31"/>
      <c r="H2264" s="35"/>
      <c r="I2264" s="31"/>
      <c r="J2264" s="155">
        <v>0</v>
      </c>
    </row>
    <row r="2265" spans="1:10" ht="15.75" hidden="1" thickBot="1" x14ac:dyDescent="0.3">
      <c r="A2265" s="190"/>
      <c r="B2265" s="203"/>
      <c r="C2265" s="36"/>
      <c r="D2265" s="47"/>
      <c r="E2265" s="37"/>
      <c r="F2265" s="34" t="s">
        <v>558</v>
      </c>
      <c r="G2265" s="34" t="str">
        <f>IF(ISNUMBER(F2265),E2265*F2265,"")</f>
        <v/>
      </c>
      <c r="H2265" s="35"/>
      <c r="I2265" s="31"/>
      <c r="J2265" s="155">
        <v>0</v>
      </c>
    </row>
    <row r="2266" spans="1:10" ht="15.75" hidden="1" thickBot="1" x14ac:dyDescent="0.3">
      <c r="A2266" s="189" t="s">
        <v>744</v>
      </c>
      <c r="B2266" s="192" t="str">
        <f>INDEX(Orçamentária!A:B,MATCH(Composições!A2266,Orçamentária!A:A,0),2)</f>
        <v>Folha de porta em madeira 2,10x0,70m, pintada</v>
      </c>
      <c r="C2266" s="41"/>
      <c r="D2266" s="26" t="str">
        <f>TRIM(INDEX(Orçamentária!C:C,MATCH(Composições!A2266,Orçamentária!A:A,0),1))</f>
        <v>un</v>
      </c>
      <c r="E2266" s="27"/>
      <c r="F2266" s="42" t="s">
        <v>558</v>
      </c>
      <c r="G2266" s="28" t="str">
        <f>IF(ISNUMBER(F2266),E2266*F2266,"")</f>
        <v/>
      </c>
      <c r="H2266" s="29"/>
      <c r="I2266" s="30"/>
      <c r="J2266" s="155">
        <v>0</v>
      </c>
    </row>
    <row r="2267" spans="1:10" ht="15.75" hidden="1" thickBot="1" x14ac:dyDescent="0.3">
      <c r="A2267" s="190"/>
      <c r="B2267" s="203"/>
      <c r="C2267" s="32"/>
      <c r="D2267" s="32"/>
      <c r="E2267" s="33"/>
      <c r="F2267" s="43" t="s">
        <v>558</v>
      </c>
      <c r="G2267" s="31" t="str">
        <f>IF(ISNUMBER(F2267),E2267*F2267,"")</f>
        <v/>
      </c>
      <c r="H2267" s="35"/>
      <c r="I2267" s="31"/>
      <c r="J2267" s="155">
        <v>0</v>
      </c>
    </row>
    <row r="2268" spans="1:10" ht="51.75" hidden="1" thickBot="1" x14ac:dyDescent="0.3">
      <c r="A2268" s="190"/>
      <c r="B2268" s="203"/>
      <c r="C2268" s="36" t="s">
        <v>3821</v>
      </c>
      <c r="D2268" s="47" t="s">
        <v>292</v>
      </c>
      <c r="E2268" s="37">
        <v>1</v>
      </c>
      <c r="F2268" s="34">
        <v>190</v>
      </c>
      <c r="G2268" s="34">
        <f>IF(ISNUMBER(F2268),E2268*F2268,"")</f>
        <v>190</v>
      </c>
      <c r="H2268" s="39">
        <f>SUM(G2268:G2272)</f>
        <v>274.14239965000002</v>
      </c>
      <c r="I2268" s="40"/>
      <c r="J2268" s="155">
        <v>0</v>
      </c>
    </row>
    <row r="2269" spans="1:10" ht="15.75" hidden="1" thickBot="1" x14ac:dyDescent="0.3">
      <c r="A2269" s="190"/>
      <c r="B2269" s="203"/>
      <c r="C2269" s="36" t="s">
        <v>741</v>
      </c>
      <c r="D2269" s="47" t="s">
        <v>742</v>
      </c>
      <c r="E2269" s="37">
        <f>ROUND(1.414*0.8,4)</f>
        <v>1.1312</v>
      </c>
      <c r="F2269" s="31">
        <v>22.533999999999999</v>
      </c>
      <c r="G2269" s="34">
        <f>IF(ISNUMBER(F2269),E2269*F2269,"")</f>
        <v>25.490460799999997</v>
      </c>
      <c r="H2269" s="35"/>
      <c r="I2269" s="31"/>
      <c r="J2269" s="155">
        <v>0</v>
      </c>
    </row>
    <row r="2270" spans="1:10" ht="15.75" hidden="1" thickBot="1" x14ac:dyDescent="0.3">
      <c r="A2270" s="190"/>
      <c r="B2270" s="203"/>
      <c r="C2270" s="36" t="s">
        <v>743</v>
      </c>
      <c r="D2270" s="47" t="s">
        <v>742</v>
      </c>
      <c r="E2270" s="37">
        <f>ROUND(0.707*0.8,4)</f>
        <v>0.56559999999999999</v>
      </c>
      <c r="F2270" s="31">
        <v>16.729499999999998</v>
      </c>
      <c r="G2270" s="34">
        <f>IF(ISNUMBER(F2270),E2270*F2270,"")</f>
        <v>9.4622051999999979</v>
      </c>
      <c r="H2270" s="35"/>
      <c r="I2270" s="31"/>
      <c r="J2270" s="155">
        <v>0</v>
      </c>
    </row>
    <row r="2271" spans="1:10" ht="15.75" hidden="1" thickBot="1" x14ac:dyDescent="0.3">
      <c r="A2271" s="190"/>
      <c r="B2271" s="203"/>
      <c r="C2271" s="36" t="s">
        <v>214</v>
      </c>
      <c r="D2271" s="50" t="s">
        <v>103</v>
      </c>
      <c r="E2271" s="37">
        <f>ROUND(0.108*(2*0.7*2.1),4)</f>
        <v>0.3175</v>
      </c>
      <c r="F2271" s="34" t="s">
        <v>558</v>
      </c>
      <c r="G2271" s="31" t="str">
        <f>IF(ISNUMBER(F2271),E2271*F2271,"")</f>
        <v/>
      </c>
      <c r="H2271" s="35"/>
      <c r="I2271" s="31"/>
      <c r="J2271" s="155">
        <v>0</v>
      </c>
    </row>
    <row r="2272" spans="1:10" ht="15.75" hidden="1" thickBot="1" x14ac:dyDescent="0.3">
      <c r="A2272" s="190"/>
      <c r="B2272" s="203"/>
      <c r="C2272" s="36" t="s">
        <v>101</v>
      </c>
      <c r="D2272" s="36" t="s">
        <v>12</v>
      </c>
      <c r="E2272" s="37">
        <f>ROUND(0.7076*(2*0.7*2.1),4)</f>
        <v>2.0802999999999998</v>
      </c>
      <c r="F2272" s="31">
        <v>23.645499999999998</v>
      </c>
      <c r="G2272" s="31">
        <f>IF(ISNUMBER(F2272),E2272*F2272,"")</f>
        <v>49.189733649999994</v>
      </c>
      <c r="H2272" s="35"/>
      <c r="I2272" s="31"/>
      <c r="J2272" s="155">
        <v>0</v>
      </c>
    </row>
    <row r="2273" spans="1:10" ht="15.75" hidden="1" thickBot="1" x14ac:dyDescent="0.3">
      <c r="A2273" s="190"/>
      <c r="B2273" s="203"/>
      <c r="C2273" s="36"/>
      <c r="D2273" s="36"/>
      <c r="E2273" s="37"/>
      <c r="F2273" s="31"/>
      <c r="G2273" s="31"/>
      <c r="H2273" s="35"/>
      <c r="I2273" s="31"/>
      <c r="J2273" s="155">
        <v>0</v>
      </c>
    </row>
    <row r="2274" spans="1:10" ht="39" hidden="1" thickBot="1" x14ac:dyDescent="0.3">
      <c r="A2274" s="190"/>
      <c r="B2274" s="203"/>
      <c r="C2274" s="52" t="s">
        <v>3481</v>
      </c>
      <c r="D2274" s="36"/>
      <c r="E2274" s="37"/>
      <c r="F2274" s="31"/>
      <c r="G2274" s="31"/>
      <c r="H2274" s="35"/>
      <c r="I2274" s="31"/>
      <c r="J2274" s="155">
        <v>0</v>
      </c>
    </row>
    <row r="2275" spans="1:10" ht="15.75" hidden="1" thickBot="1" x14ac:dyDescent="0.3">
      <c r="A2275" s="190"/>
      <c r="B2275" s="203"/>
      <c r="C2275" s="36"/>
      <c r="D2275" s="47"/>
      <c r="E2275" s="37"/>
      <c r="F2275" s="34" t="s">
        <v>558</v>
      </c>
      <c r="G2275" s="34" t="str">
        <f>IF(ISNUMBER(F2275),E2275*F2275,"")</f>
        <v/>
      </c>
      <c r="H2275" s="35"/>
      <c r="I2275" s="31"/>
      <c r="J2275" s="155">
        <v>0</v>
      </c>
    </row>
    <row r="2276" spans="1:10" ht="15.75" hidden="1" thickBot="1" x14ac:dyDescent="0.3">
      <c r="A2276" s="189" t="s">
        <v>745</v>
      </c>
      <c r="B2276" s="192" t="str">
        <f>INDEX(Orçamentária!A:B,MATCH(Composições!A2276,Orçamentária!A:A,0),2)</f>
        <v>Folha de porta em madeira 2,10x0,80m, pintada</v>
      </c>
      <c r="C2276" s="41"/>
      <c r="D2276" s="26" t="str">
        <f>TRIM(INDEX(Orçamentária!C:C,MATCH(Composições!A2276,Orçamentária!A:A,0),1))</f>
        <v>un</v>
      </c>
      <c r="E2276" s="27"/>
      <c r="F2276" s="42" t="s">
        <v>558</v>
      </c>
      <c r="G2276" s="28" t="str">
        <f>IF(ISNUMBER(F2276),E2276*F2276,"")</f>
        <v/>
      </c>
      <c r="H2276" s="29"/>
      <c r="I2276" s="30"/>
      <c r="J2276" s="155">
        <v>0</v>
      </c>
    </row>
    <row r="2277" spans="1:10" ht="15.75" hidden="1" thickBot="1" x14ac:dyDescent="0.3">
      <c r="A2277" s="190"/>
      <c r="B2277" s="203"/>
      <c r="C2277" s="32"/>
      <c r="D2277" s="32"/>
      <c r="E2277" s="33"/>
      <c r="F2277" s="43" t="s">
        <v>558</v>
      </c>
      <c r="G2277" s="31" t="str">
        <f>IF(ISNUMBER(F2277),E2277*F2277,"")</f>
        <v/>
      </c>
      <c r="H2277" s="35"/>
      <c r="I2277" s="31"/>
      <c r="J2277" s="155">
        <v>0</v>
      </c>
    </row>
    <row r="2278" spans="1:10" ht="51.75" hidden="1" thickBot="1" x14ac:dyDescent="0.3">
      <c r="A2278" s="190"/>
      <c r="B2278" s="203"/>
      <c r="C2278" s="36" t="s">
        <v>3823</v>
      </c>
      <c r="D2278" s="47" t="s">
        <v>292</v>
      </c>
      <c r="E2278" s="37">
        <v>1</v>
      </c>
      <c r="F2278" s="34">
        <v>235.44799999999998</v>
      </c>
      <c r="G2278" s="34">
        <f>IF(ISNUMBER(F2278),E2278*F2278,"")</f>
        <v>235.44799999999998</v>
      </c>
      <c r="H2278" s="39">
        <f>SUM(G2278:G2282)</f>
        <v>329.88075024999989</v>
      </c>
      <c r="I2278" s="40"/>
      <c r="J2278" s="155">
        <v>0</v>
      </c>
    </row>
    <row r="2279" spans="1:10" ht="15.75" hidden="1" thickBot="1" x14ac:dyDescent="0.3">
      <c r="A2279" s="190"/>
      <c r="B2279" s="203"/>
      <c r="C2279" s="36" t="s">
        <v>741</v>
      </c>
      <c r="D2279" s="47" t="s">
        <v>742</v>
      </c>
      <c r="E2279" s="37">
        <f>ROUND(1.546*0.8,4)</f>
        <v>1.2367999999999999</v>
      </c>
      <c r="F2279" s="31">
        <v>22.533999999999999</v>
      </c>
      <c r="G2279" s="34">
        <f>IF(ISNUMBER(F2279),E2279*F2279,"")</f>
        <v>27.870051199999995</v>
      </c>
      <c r="H2279" s="35"/>
      <c r="I2279" s="31"/>
      <c r="J2279" s="155">
        <v>0</v>
      </c>
    </row>
    <row r="2280" spans="1:10" ht="15.75" hidden="1" thickBot="1" x14ac:dyDescent="0.3">
      <c r="A2280" s="190"/>
      <c r="B2280" s="203"/>
      <c r="C2280" s="36" t="s">
        <v>743</v>
      </c>
      <c r="D2280" s="47" t="s">
        <v>742</v>
      </c>
      <c r="E2280" s="37">
        <f>ROUND(0.773*0.8,4)</f>
        <v>0.61839999999999995</v>
      </c>
      <c r="F2280" s="31">
        <v>16.729499999999998</v>
      </c>
      <c r="G2280" s="34">
        <f>IF(ISNUMBER(F2280),E2280*F2280,"")</f>
        <v>10.345522799999998</v>
      </c>
      <c r="H2280" s="35"/>
      <c r="I2280" s="31"/>
      <c r="J2280" s="155">
        <v>0</v>
      </c>
    </row>
    <row r="2281" spans="1:10" ht="15.75" hidden="1" thickBot="1" x14ac:dyDescent="0.3">
      <c r="A2281" s="190"/>
      <c r="B2281" s="203"/>
      <c r="C2281" s="36" t="s">
        <v>214</v>
      </c>
      <c r="D2281" s="50" t="s">
        <v>103</v>
      </c>
      <c r="E2281" s="37">
        <f>ROUND(0.108*(2*0.8*2.1),4)</f>
        <v>0.3629</v>
      </c>
      <c r="F2281" s="34" t="s">
        <v>558</v>
      </c>
      <c r="G2281" s="31" t="str">
        <f>IF(ISNUMBER(F2281),E2281*F2281,"")</f>
        <v/>
      </c>
      <c r="H2281" s="35"/>
      <c r="I2281" s="31"/>
      <c r="J2281" s="155">
        <v>0</v>
      </c>
    </row>
    <row r="2282" spans="1:10" ht="15.75" hidden="1" thickBot="1" x14ac:dyDescent="0.3">
      <c r="A2282" s="190"/>
      <c r="B2282" s="203"/>
      <c r="C2282" s="36" t="s">
        <v>101</v>
      </c>
      <c r="D2282" s="36" t="s">
        <v>12</v>
      </c>
      <c r="E2282" s="37">
        <f>ROUND(0.7076*(2*0.8*2.1),4)</f>
        <v>2.3774999999999999</v>
      </c>
      <c r="F2282" s="31">
        <v>23.645499999999998</v>
      </c>
      <c r="G2282" s="31">
        <f>IF(ISNUMBER(F2282),E2282*F2282,"")</f>
        <v>56.217176249999994</v>
      </c>
      <c r="H2282" s="35"/>
      <c r="I2282" s="31"/>
      <c r="J2282" s="155">
        <v>0</v>
      </c>
    </row>
    <row r="2283" spans="1:10" ht="15.75" hidden="1" thickBot="1" x14ac:dyDescent="0.3">
      <c r="A2283" s="190"/>
      <c r="B2283" s="203"/>
      <c r="C2283" s="36"/>
      <c r="D2283" s="36"/>
      <c r="E2283" s="37"/>
      <c r="F2283" s="31"/>
      <c r="G2283" s="31"/>
      <c r="H2283" s="35"/>
      <c r="I2283" s="31"/>
      <c r="J2283" s="155">
        <v>0</v>
      </c>
    </row>
    <row r="2284" spans="1:10" ht="39" hidden="1" thickBot="1" x14ac:dyDescent="0.3">
      <c r="A2284" s="190"/>
      <c r="B2284" s="203"/>
      <c r="C2284" s="52" t="s">
        <v>3481</v>
      </c>
      <c r="D2284" s="36"/>
      <c r="E2284" s="37"/>
      <c r="F2284" s="31"/>
      <c r="G2284" s="31"/>
      <c r="H2284" s="35"/>
      <c r="I2284" s="31"/>
      <c r="J2284" s="155">
        <v>0</v>
      </c>
    </row>
    <row r="2285" spans="1:10" ht="15.75" hidden="1" thickBot="1" x14ac:dyDescent="0.3">
      <c r="A2285" s="190"/>
      <c r="B2285" s="203"/>
      <c r="C2285" s="36"/>
      <c r="D2285" s="47"/>
      <c r="E2285" s="37"/>
      <c r="F2285" s="34" t="s">
        <v>558</v>
      </c>
      <c r="G2285" s="34" t="str">
        <f>IF(ISNUMBER(F2285),E2285*F2285,"")</f>
        <v/>
      </c>
      <c r="H2285" s="35"/>
      <c r="I2285" s="31"/>
      <c r="J2285" s="155">
        <v>0</v>
      </c>
    </row>
    <row r="2286" spans="1:10" ht="15.75" hidden="1" thickBot="1" x14ac:dyDescent="0.3">
      <c r="A2286" s="189" t="s">
        <v>746</v>
      </c>
      <c r="B2286" s="192" t="str">
        <f>INDEX(Orçamentária!A:B,MATCH(Composições!A2286,Orçamentária!A:A,0),2)</f>
        <v>Folha de porta em madeira 2,10x0,90m, pintada</v>
      </c>
      <c r="C2286" s="41"/>
      <c r="D2286" s="26" t="str">
        <f>TRIM(INDEX(Orçamentária!C:C,MATCH(Composições!A2286,Orçamentária!A:A,0),1))</f>
        <v>un</v>
      </c>
      <c r="E2286" s="27"/>
      <c r="F2286" s="42" t="s">
        <v>558</v>
      </c>
      <c r="G2286" s="28" t="str">
        <f>IF(ISNUMBER(F2286),E2286*F2286,"")</f>
        <v/>
      </c>
      <c r="H2286" s="29"/>
      <c r="I2286" s="30"/>
      <c r="J2286" s="155">
        <v>0</v>
      </c>
    </row>
    <row r="2287" spans="1:10" ht="15.75" hidden="1" thickBot="1" x14ac:dyDescent="0.3">
      <c r="A2287" s="190"/>
      <c r="B2287" s="203"/>
      <c r="C2287" s="32"/>
      <c r="D2287" s="32"/>
      <c r="E2287" s="33"/>
      <c r="F2287" s="43" t="s">
        <v>558</v>
      </c>
      <c r="G2287" s="31" t="str">
        <f>IF(ISNUMBER(F2287),E2287*F2287,"")</f>
        <v/>
      </c>
      <c r="H2287" s="35"/>
      <c r="I2287" s="31"/>
      <c r="J2287" s="155">
        <v>0</v>
      </c>
    </row>
    <row r="2288" spans="1:10" ht="51.75" hidden="1" thickBot="1" x14ac:dyDescent="0.3">
      <c r="A2288" s="190"/>
      <c r="B2288" s="203"/>
      <c r="C2288" s="36" t="s">
        <v>3824</v>
      </c>
      <c r="D2288" s="47" t="s">
        <v>292</v>
      </c>
      <c r="E2288" s="37">
        <v>1</v>
      </c>
      <c r="F2288" s="34">
        <v>269.3725</v>
      </c>
      <c r="G2288" s="34">
        <f>IF(ISNUMBER(F2288),E2288*F2288,"")</f>
        <v>269.3725</v>
      </c>
      <c r="H2288" s="39">
        <f>SUM(G2288:G2292)</f>
        <v>374.09560085000004</v>
      </c>
      <c r="I2288" s="40"/>
      <c r="J2288" s="155">
        <v>0</v>
      </c>
    </row>
    <row r="2289" spans="1:10" ht="15.75" hidden="1" thickBot="1" x14ac:dyDescent="0.3">
      <c r="A2289" s="190"/>
      <c r="B2289" s="203"/>
      <c r="C2289" s="36" t="s">
        <v>741</v>
      </c>
      <c r="D2289" s="47" t="s">
        <v>742</v>
      </c>
      <c r="E2289" s="37">
        <f>ROUND(1.678*0.8,4)</f>
        <v>1.3424</v>
      </c>
      <c r="F2289" s="31">
        <v>22.533999999999999</v>
      </c>
      <c r="G2289" s="34">
        <f>IF(ISNUMBER(F2289),E2289*F2289,"")</f>
        <v>30.2496416</v>
      </c>
      <c r="H2289" s="35"/>
      <c r="I2289" s="31"/>
      <c r="J2289" s="155">
        <v>0</v>
      </c>
    </row>
    <row r="2290" spans="1:10" ht="15.75" hidden="1" thickBot="1" x14ac:dyDescent="0.3">
      <c r="A2290" s="190"/>
      <c r="B2290" s="203"/>
      <c r="C2290" s="36" t="s">
        <v>743</v>
      </c>
      <c r="D2290" s="47" t="s">
        <v>742</v>
      </c>
      <c r="E2290" s="37">
        <f>ROUND(0.839*0.8,4)</f>
        <v>0.67120000000000002</v>
      </c>
      <c r="F2290" s="31">
        <v>16.729499999999998</v>
      </c>
      <c r="G2290" s="34">
        <f>IF(ISNUMBER(F2290),E2290*F2290,"")</f>
        <v>11.228840399999999</v>
      </c>
      <c r="H2290" s="35"/>
      <c r="I2290" s="31"/>
      <c r="J2290" s="155">
        <v>0</v>
      </c>
    </row>
    <row r="2291" spans="1:10" ht="15.75" hidden="1" thickBot="1" x14ac:dyDescent="0.3">
      <c r="A2291" s="190"/>
      <c r="B2291" s="203"/>
      <c r="C2291" s="36" t="s">
        <v>214</v>
      </c>
      <c r="D2291" s="50" t="s">
        <v>103</v>
      </c>
      <c r="E2291" s="37">
        <f>ROUND(0.108*(2*0.9*2.1),4)</f>
        <v>0.40820000000000001</v>
      </c>
      <c r="F2291" s="34" t="s">
        <v>558</v>
      </c>
      <c r="G2291" s="31" t="str">
        <f>IF(ISNUMBER(F2291),E2291*F2291,"")</f>
        <v/>
      </c>
      <c r="H2291" s="35"/>
      <c r="I2291" s="31"/>
      <c r="J2291" s="155">
        <v>0</v>
      </c>
    </row>
    <row r="2292" spans="1:10" ht="15.75" hidden="1" thickBot="1" x14ac:dyDescent="0.3">
      <c r="A2292" s="190"/>
      <c r="B2292" s="203"/>
      <c r="C2292" s="36" t="s">
        <v>101</v>
      </c>
      <c r="D2292" s="36" t="s">
        <v>12</v>
      </c>
      <c r="E2292" s="37">
        <f>ROUND(0.7076*(2*0.9*2.1),4)</f>
        <v>2.6747000000000001</v>
      </c>
      <c r="F2292" s="31">
        <v>23.645499999999998</v>
      </c>
      <c r="G2292" s="31">
        <f>IF(ISNUMBER(F2292),E2292*F2292,"")</f>
        <v>63.244618849999995</v>
      </c>
      <c r="H2292" s="35"/>
      <c r="I2292" s="31"/>
      <c r="J2292" s="155">
        <v>0</v>
      </c>
    </row>
    <row r="2293" spans="1:10" ht="15.75" hidden="1" thickBot="1" x14ac:dyDescent="0.3">
      <c r="A2293" s="190"/>
      <c r="B2293" s="203"/>
      <c r="C2293" s="36"/>
      <c r="D2293" s="36"/>
      <c r="E2293" s="37"/>
      <c r="F2293" s="31"/>
      <c r="G2293" s="31"/>
      <c r="H2293" s="35"/>
      <c r="I2293" s="31"/>
      <c r="J2293" s="155">
        <v>0</v>
      </c>
    </row>
    <row r="2294" spans="1:10" ht="39" hidden="1" thickBot="1" x14ac:dyDescent="0.3">
      <c r="A2294" s="190"/>
      <c r="B2294" s="203"/>
      <c r="C2294" s="52" t="s">
        <v>3481</v>
      </c>
      <c r="D2294" s="36"/>
      <c r="E2294" s="37"/>
      <c r="F2294" s="31"/>
      <c r="G2294" s="31"/>
      <c r="H2294" s="35"/>
      <c r="I2294" s="31"/>
      <c r="J2294" s="155">
        <v>0</v>
      </c>
    </row>
    <row r="2295" spans="1:10" ht="15.75" hidden="1" thickBot="1" x14ac:dyDescent="0.3">
      <c r="A2295" s="190"/>
      <c r="B2295" s="203"/>
      <c r="C2295" s="36"/>
      <c r="D2295" s="47"/>
      <c r="E2295" s="37"/>
      <c r="F2295" s="34" t="s">
        <v>558</v>
      </c>
      <c r="G2295" s="34" t="str">
        <f>IF(ISNUMBER(F2295),E2295*F2295,"")</f>
        <v/>
      </c>
      <c r="H2295" s="35"/>
      <c r="I2295" s="31"/>
      <c r="J2295" s="155">
        <v>0</v>
      </c>
    </row>
    <row r="2296" spans="1:10" ht="15.75" hidden="1" thickBot="1" x14ac:dyDescent="0.3">
      <c r="A2296" s="189" t="s">
        <v>747</v>
      </c>
      <c r="B2296" s="192" t="str">
        <f>INDEX(Orçamentária!A:B,MATCH(Composições!A2296,Orçamentária!A:A,0),2)</f>
        <v>Folha de porta em madeira 2,10x1,0m, pintada</v>
      </c>
      <c r="C2296" s="41"/>
      <c r="D2296" s="26" t="str">
        <f>TRIM(INDEX(Orçamentária!C:C,MATCH(Composições!A2296,Orçamentária!A:A,0),1))</f>
        <v>un</v>
      </c>
      <c r="E2296" s="27"/>
      <c r="F2296" s="42" t="s">
        <v>558</v>
      </c>
      <c r="G2296" s="28" t="str">
        <f>IF(ISNUMBER(F2296),E2296*F2296,"")</f>
        <v/>
      </c>
      <c r="H2296" s="29"/>
      <c r="I2296" s="30"/>
      <c r="J2296" s="155">
        <v>0</v>
      </c>
    </row>
    <row r="2297" spans="1:10" ht="15.75" hidden="1" thickBot="1" x14ac:dyDescent="0.3">
      <c r="A2297" s="190"/>
      <c r="B2297" s="203"/>
      <c r="C2297" s="32"/>
      <c r="D2297" s="32"/>
      <c r="E2297" s="33"/>
      <c r="F2297" s="43" t="s">
        <v>558</v>
      </c>
      <c r="G2297" s="31" t="str">
        <f>IF(ISNUMBER(F2297),E2297*F2297,"")</f>
        <v/>
      </c>
      <c r="H2297" s="35"/>
      <c r="I2297" s="31"/>
      <c r="J2297" s="155">
        <v>0</v>
      </c>
    </row>
    <row r="2298" spans="1:10" ht="51.75" hidden="1" thickBot="1" x14ac:dyDescent="0.3">
      <c r="A2298" s="190"/>
      <c r="B2298" s="203"/>
      <c r="C2298" s="36" t="s">
        <v>3819</v>
      </c>
      <c r="D2298" s="47" t="s">
        <v>292</v>
      </c>
      <c r="E2298" s="37">
        <v>1</v>
      </c>
      <c r="F2298" s="34">
        <v>288.52449999999999</v>
      </c>
      <c r="G2298" s="34">
        <f>IF(ISNUMBER(F2298),E2298*F2298,"")</f>
        <v>288.52449999999999</v>
      </c>
      <c r="H2298" s="39">
        <f>SUM(G2298:G2302)</f>
        <v>400.27504345</v>
      </c>
      <c r="I2298" s="40"/>
      <c r="J2298" s="155">
        <v>0</v>
      </c>
    </row>
    <row r="2299" spans="1:10" ht="15.75" hidden="1" thickBot="1" x14ac:dyDescent="0.3">
      <c r="A2299" s="190"/>
      <c r="B2299" s="203"/>
      <c r="C2299" s="36" t="s">
        <v>741</v>
      </c>
      <c r="D2299" s="47" t="s">
        <v>742</v>
      </c>
      <c r="E2299" s="37">
        <f>ROUND(1.678*0.8,4)</f>
        <v>1.3424</v>
      </c>
      <c r="F2299" s="31">
        <v>22.533999999999999</v>
      </c>
      <c r="G2299" s="34">
        <f>IF(ISNUMBER(F2299),E2299*F2299,"")</f>
        <v>30.2496416</v>
      </c>
      <c r="H2299" s="35"/>
      <c r="I2299" s="31"/>
      <c r="J2299" s="155">
        <v>0</v>
      </c>
    </row>
    <row r="2300" spans="1:10" ht="15.75" hidden="1" thickBot="1" x14ac:dyDescent="0.3">
      <c r="A2300" s="190"/>
      <c r="B2300" s="203"/>
      <c r="C2300" s="36" t="s">
        <v>743</v>
      </c>
      <c r="D2300" s="47" t="s">
        <v>742</v>
      </c>
      <c r="E2300" s="37">
        <f>ROUND(0.839*0.8,4)</f>
        <v>0.67120000000000002</v>
      </c>
      <c r="F2300" s="31">
        <v>16.729499999999998</v>
      </c>
      <c r="G2300" s="34">
        <f>IF(ISNUMBER(F2300),E2300*F2300,"")</f>
        <v>11.228840399999999</v>
      </c>
      <c r="H2300" s="35"/>
      <c r="I2300" s="31"/>
      <c r="J2300" s="155">
        <v>0</v>
      </c>
    </row>
    <row r="2301" spans="1:10" ht="15.75" hidden="1" thickBot="1" x14ac:dyDescent="0.3">
      <c r="A2301" s="190"/>
      <c r="B2301" s="203"/>
      <c r="C2301" s="36" t="s">
        <v>214</v>
      </c>
      <c r="D2301" s="50" t="s">
        <v>103</v>
      </c>
      <c r="E2301" s="37">
        <f>ROUND(0.108*(2*1*2.1),4)</f>
        <v>0.4536</v>
      </c>
      <c r="F2301" s="34" t="s">
        <v>558</v>
      </c>
      <c r="G2301" s="31" t="str">
        <f>IF(ISNUMBER(F2301),E2301*F2301,"")</f>
        <v/>
      </c>
      <c r="H2301" s="35"/>
      <c r="I2301" s="31"/>
      <c r="J2301" s="155">
        <v>0</v>
      </c>
    </row>
    <row r="2302" spans="1:10" ht="15.75" hidden="1" thickBot="1" x14ac:dyDescent="0.3">
      <c r="A2302" s="190"/>
      <c r="B2302" s="203"/>
      <c r="C2302" s="36" t="s">
        <v>101</v>
      </c>
      <c r="D2302" s="36" t="s">
        <v>12</v>
      </c>
      <c r="E2302" s="37">
        <f>ROUND(0.7076*(2*1*2.1),4)</f>
        <v>2.9719000000000002</v>
      </c>
      <c r="F2302" s="31">
        <v>23.645499999999998</v>
      </c>
      <c r="G2302" s="31">
        <f>IF(ISNUMBER(F2302),E2302*F2302,"")</f>
        <v>70.272061449999995</v>
      </c>
      <c r="H2302" s="35"/>
      <c r="I2302" s="31"/>
      <c r="J2302" s="155">
        <v>0</v>
      </c>
    </row>
    <row r="2303" spans="1:10" ht="15.75" hidden="1" thickBot="1" x14ac:dyDescent="0.3">
      <c r="A2303" s="190"/>
      <c r="B2303" s="203"/>
      <c r="C2303" s="36"/>
      <c r="D2303" s="36"/>
      <c r="E2303" s="37"/>
      <c r="F2303" s="31"/>
      <c r="G2303" s="31"/>
      <c r="H2303" s="35"/>
      <c r="I2303" s="31"/>
      <c r="J2303" s="155">
        <v>0</v>
      </c>
    </row>
    <row r="2304" spans="1:10" ht="39" hidden="1" thickBot="1" x14ac:dyDescent="0.3">
      <c r="A2304" s="190"/>
      <c r="B2304" s="203"/>
      <c r="C2304" s="52" t="s">
        <v>3481</v>
      </c>
      <c r="D2304" s="36"/>
      <c r="E2304" s="37"/>
      <c r="F2304" s="31"/>
      <c r="G2304" s="31"/>
      <c r="H2304" s="35"/>
      <c r="I2304" s="31"/>
      <c r="J2304" s="155">
        <v>0</v>
      </c>
    </row>
    <row r="2305" spans="1:10" ht="15.75" hidden="1" thickBot="1" x14ac:dyDescent="0.3">
      <c r="A2305" s="190"/>
      <c r="B2305" s="203"/>
      <c r="C2305" s="36"/>
      <c r="D2305" s="47"/>
      <c r="E2305" s="37"/>
      <c r="F2305" s="34" t="s">
        <v>558</v>
      </c>
      <c r="G2305" s="34" t="str">
        <f>IF(ISNUMBER(F2305),E2305*F2305,"")</f>
        <v/>
      </c>
      <c r="H2305" s="35"/>
      <c r="I2305" s="31"/>
      <c r="J2305" s="155">
        <v>0</v>
      </c>
    </row>
    <row r="2306" spans="1:10" ht="15.75" hidden="1" thickBot="1" x14ac:dyDescent="0.3">
      <c r="A2306" s="189" t="s">
        <v>748</v>
      </c>
      <c r="B2306" s="192" t="str">
        <f>INDEX(Orçamentária!A:B,MATCH(Composições!A2306,Orçamentária!A:A,0),2)</f>
        <v>Instalação de batentes de madeira reaproveitados</v>
      </c>
      <c r="C2306" s="41"/>
      <c r="D2306" s="26" t="str">
        <f>TRIM(INDEX(Orçamentária!C:C,MATCH(Composições!A2306,Orçamentária!A:A,0),1))</f>
        <v>un</v>
      </c>
      <c r="E2306" s="27"/>
      <c r="F2306" s="42" t="s">
        <v>558</v>
      </c>
      <c r="G2306" s="28" t="str">
        <f>IF(ISNUMBER(F2306),E2306*F2306,"")</f>
        <v/>
      </c>
      <c r="H2306" s="29"/>
      <c r="I2306" s="30"/>
      <c r="J2306" s="155">
        <v>0</v>
      </c>
    </row>
    <row r="2307" spans="1:10" ht="15.75" hidden="1" thickBot="1" x14ac:dyDescent="0.3">
      <c r="A2307" s="190"/>
      <c r="B2307" s="203"/>
      <c r="C2307" s="32"/>
      <c r="D2307" s="32"/>
      <c r="E2307" s="33"/>
      <c r="F2307" s="43" t="s">
        <v>558</v>
      </c>
      <c r="G2307" s="31" t="str">
        <f>IF(ISNUMBER(F2307),E2307*F2307,"")</f>
        <v/>
      </c>
      <c r="H2307" s="35"/>
      <c r="I2307" s="31"/>
      <c r="J2307" s="155">
        <v>0</v>
      </c>
    </row>
    <row r="2308" spans="1:10" ht="15.75" hidden="1" thickBot="1" x14ac:dyDescent="0.3">
      <c r="A2308" s="190"/>
      <c r="B2308" s="203"/>
      <c r="C2308" s="36" t="s">
        <v>1517</v>
      </c>
      <c r="D2308" s="47" t="s">
        <v>938</v>
      </c>
      <c r="E2308" s="37">
        <v>1.0999999999999999E-2</v>
      </c>
      <c r="F2308" s="34">
        <v>25.336500000000001</v>
      </c>
      <c r="G2308" s="31">
        <f>IF(ISNUMBER(F2308),E2308*F2308,"")</f>
        <v>0.27870149999999999</v>
      </c>
      <c r="H2308" s="39">
        <f>SUM(G2308:G2311)</f>
        <v>85.207798999999994</v>
      </c>
      <c r="I2308" s="40"/>
      <c r="J2308" s="155">
        <v>0</v>
      </c>
    </row>
    <row r="2309" spans="1:10" ht="15.75" hidden="1" thickBot="1" x14ac:dyDescent="0.3">
      <c r="A2309" s="190"/>
      <c r="B2309" s="203"/>
      <c r="C2309" s="36" t="s">
        <v>99</v>
      </c>
      <c r="D2309" s="50" t="s">
        <v>938</v>
      </c>
      <c r="E2309" s="37">
        <v>2.4E-2</v>
      </c>
      <c r="F2309" s="34">
        <v>19.227999999999998</v>
      </c>
      <c r="G2309" s="31">
        <f>IF(ISNUMBER(F2309),E2309*F2309,"")</f>
        <v>0.46147199999999994</v>
      </c>
      <c r="H2309" s="35"/>
      <c r="I2309" s="31"/>
      <c r="J2309" s="155">
        <v>0</v>
      </c>
    </row>
    <row r="2310" spans="1:10" ht="15.75" hidden="1" thickBot="1" x14ac:dyDescent="0.3">
      <c r="A2310" s="190"/>
      <c r="B2310" s="203"/>
      <c r="C2310" s="36" t="s">
        <v>741</v>
      </c>
      <c r="D2310" s="47" t="s">
        <v>742</v>
      </c>
      <c r="E2310" s="37">
        <v>2.7410000000000001</v>
      </c>
      <c r="F2310" s="31">
        <v>22.533999999999999</v>
      </c>
      <c r="G2310" s="31">
        <f>IF(ISNUMBER(F2310),E2310*F2310,"")</f>
        <v>61.765693999999996</v>
      </c>
      <c r="H2310" s="35"/>
      <c r="I2310" s="31"/>
      <c r="J2310" s="155">
        <v>0</v>
      </c>
    </row>
    <row r="2311" spans="1:10" ht="15.75" hidden="1" thickBot="1" x14ac:dyDescent="0.3">
      <c r="A2311" s="190"/>
      <c r="B2311" s="203"/>
      <c r="C2311" s="36" t="s">
        <v>743</v>
      </c>
      <c r="D2311" s="47" t="s">
        <v>742</v>
      </c>
      <c r="E2311" s="37">
        <v>1.357</v>
      </c>
      <c r="F2311" s="31">
        <v>16.729499999999998</v>
      </c>
      <c r="G2311" s="31">
        <f>IF(ISNUMBER(F2311),E2311*F2311,"")</f>
        <v>22.701931499999997</v>
      </c>
      <c r="H2311" s="35"/>
      <c r="I2311" s="31"/>
      <c r="J2311" s="155">
        <v>0</v>
      </c>
    </row>
    <row r="2312" spans="1:10" ht="15.75" hidden="1" thickBot="1" x14ac:dyDescent="0.3">
      <c r="A2312" s="190"/>
      <c r="B2312" s="203"/>
      <c r="C2312" s="36"/>
      <c r="D2312" s="36"/>
      <c r="E2312" s="37"/>
      <c r="F2312" s="31" t="s">
        <v>558</v>
      </c>
      <c r="G2312" s="34" t="str">
        <f>IF(ISNUMBER(F2312),E2312*F2312,"")</f>
        <v/>
      </c>
      <c r="H2312" s="35"/>
      <c r="I2312" s="31"/>
      <c r="J2312" s="155">
        <v>0</v>
      </c>
    </row>
    <row r="2313" spans="1:10" ht="15.75" hidden="1" thickBot="1" x14ac:dyDescent="0.3">
      <c r="A2313" s="189" t="s">
        <v>749</v>
      </c>
      <c r="B2313" s="192" t="str">
        <f>INDEX(Orçamentária!A:B,MATCH(Composições!A2313,Orçamentária!A:A,0),2)</f>
        <v>Instalação de folhas de portas e dobradiças reaproveitadas</v>
      </c>
      <c r="C2313" s="41"/>
      <c r="D2313" s="26" t="str">
        <f>TRIM(INDEX(Orçamentária!C:C,MATCH(Composições!A2313,Orçamentária!A:A,0),1))</f>
        <v>un</v>
      </c>
      <c r="E2313" s="27"/>
      <c r="F2313" s="42" t="s">
        <v>558</v>
      </c>
      <c r="G2313" s="28" t="str">
        <f>IF(ISNUMBER(F2313),E2313*F2313,"")</f>
        <v/>
      </c>
      <c r="H2313" s="29"/>
      <c r="I2313" s="30"/>
      <c r="J2313" s="155">
        <v>0</v>
      </c>
    </row>
    <row r="2314" spans="1:10" ht="15.75" hidden="1" thickBot="1" x14ac:dyDescent="0.3">
      <c r="A2314" s="190"/>
      <c r="B2314" s="203"/>
      <c r="C2314" s="32"/>
      <c r="D2314" s="32"/>
      <c r="E2314" s="33"/>
      <c r="F2314" s="43" t="s">
        <v>558</v>
      </c>
      <c r="G2314" s="34" t="str">
        <f>IF(ISNUMBER(F2314),E2314*F2314,"")</f>
        <v/>
      </c>
      <c r="H2314" s="35"/>
      <c r="I2314" s="31"/>
      <c r="J2314" s="155">
        <v>0</v>
      </c>
    </row>
    <row r="2315" spans="1:10" ht="26.25" hidden="1" thickBot="1" x14ac:dyDescent="0.3">
      <c r="A2315" s="190"/>
      <c r="B2315" s="203"/>
      <c r="C2315" s="36" t="s">
        <v>740</v>
      </c>
      <c r="D2315" s="36" t="s">
        <v>292</v>
      </c>
      <c r="E2315" s="37">
        <v>19.8</v>
      </c>
      <c r="F2315" s="31">
        <v>7.5999999999999998E-2</v>
      </c>
      <c r="G2315" s="34">
        <f>IF(ISNUMBER(F2315),E2315*F2315,"")</f>
        <v>1.5047999999999999</v>
      </c>
      <c r="H2315" s="39">
        <f>SUM(G2315:G2318)</f>
        <v>61.552675500000007</v>
      </c>
      <c r="I2315" s="40"/>
      <c r="J2315" s="155">
        <v>0</v>
      </c>
    </row>
    <row r="2316" spans="1:10" ht="15.75" hidden="1" thickBot="1" x14ac:dyDescent="0.3">
      <c r="A2316" s="190"/>
      <c r="B2316" s="203"/>
      <c r="C2316" s="36" t="s">
        <v>741</v>
      </c>
      <c r="D2316" s="36" t="s">
        <v>742</v>
      </c>
      <c r="E2316" s="37">
        <v>1.546</v>
      </c>
      <c r="F2316" s="31">
        <v>22.533999999999999</v>
      </c>
      <c r="G2316" s="34">
        <f>IF(ISNUMBER(F2316),E2316*F2316,"")</f>
        <v>34.837564</v>
      </c>
      <c r="H2316" s="35"/>
      <c r="I2316" s="31"/>
      <c r="J2316" s="155">
        <v>0</v>
      </c>
    </row>
    <row r="2317" spans="1:10" ht="15.75" hidden="1" thickBot="1" x14ac:dyDescent="0.3">
      <c r="A2317" s="190"/>
      <c r="B2317" s="203"/>
      <c r="C2317" s="36" t="s">
        <v>750</v>
      </c>
      <c r="D2317" s="36" t="s">
        <v>742</v>
      </c>
      <c r="E2317" s="37">
        <v>0.221</v>
      </c>
      <c r="F2317" s="31">
        <v>22.704999999999998</v>
      </c>
      <c r="G2317" s="34">
        <f>IF(ISNUMBER(F2317),E2317*F2317,"")</f>
        <v>5.0178050000000001</v>
      </c>
      <c r="H2317" s="35"/>
      <c r="I2317" s="31"/>
      <c r="J2317" s="155">
        <v>0</v>
      </c>
    </row>
    <row r="2318" spans="1:10" ht="15.75" hidden="1" thickBot="1" x14ac:dyDescent="0.3">
      <c r="A2318" s="190"/>
      <c r="B2318" s="203"/>
      <c r="C2318" s="36" t="s">
        <v>743</v>
      </c>
      <c r="D2318" s="36" t="s">
        <v>742</v>
      </c>
      <c r="E2318" s="37">
        <v>1.2070000000000001</v>
      </c>
      <c r="F2318" s="31">
        <v>16.729499999999998</v>
      </c>
      <c r="G2318" s="34">
        <f>IF(ISNUMBER(F2318),E2318*F2318,"")</f>
        <v>20.1925065</v>
      </c>
      <c r="H2318" s="35"/>
      <c r="I2318" s="31"/>
      <c r="J2318" s="155">
        <v>0</v>
      </c>
    </row>
    <row r="2319" spans="1:10" ht="15.75" hidden="1" thickBot="1" x14ac:dyDescent="0.3">
      <c r="A2319" s="190"/>
      <c r="B2319" s="203"/>
      <c r="C2319" s="36"/>
      <c r="D2319" s="36"/>
      <c r="E2319" s="37"/>
      <c r="F2319" s="31" t="s">
        <v>558</v>
      </c>
      <c r="G2319" s="34" t="str">
        <f>IF(ISNUMBER(F2319),E2319*F2319,"")</f>
        <v/>
      </c>
      <c r="H2319" s="35"/>
      <c r="I2319" s="31"/>
      <c r="J2319" s="155">
        <v>0</v>
      </c>
    </row>
    <row r="2320" spans="1:10" ht="15.75" hidden="1" thickBot="1" x14ac:dyDescent="0.3">
      <c r="A2320" s="180" t="s">
        <v>751</v>
      </c>
      <c r="B2320" s="186" t="str">
        <f>INDEX(Orçamentária!A:B,MATCH(Composições!A2320,Orçamentária!A:A,0),2)</f>
        <v>Dobradiça para porta</v>
      </c>
      <c r="C2320" s="41"/>
      <c r="D2320" s="26" t="str">
        <f>TRIM(INDEX(Orçamentária!C:C,MATCH(Composições!A2320,Orçamentária!A:A,0),1))</f>
        <v>un</v>
      </c>
      <c r="E2320" s="27"/>
      <c r="F2320" s="42" t="s">
        <v>558</v>
      </c>
      <c r="G2320" s="28" t="str">
        <f>IF(ISNUMBER(F2320),E2320*F2320,"")</f>
        <v/>
      </c>
      <c r="H2320" s="29"/>
      <c r="I2320" s="30"/>
      <c r="J2320" s="155">
        <v>0</v>
      </c>
    </row>
    <row r="2321" spans="1:10" ht="15.75" hidden="1" thickBot="1" x14ac:dyDescent="0.3">
      <c r="A2321" s="200"/>
      <c r="B2321" s="202"/>
      <c r="C2321" s="32"/>
      <c r="D2321" s="32"/>
      <c r="E2321" s="33"/>
      <c r="F2321" s="43" t="s">
        <v>558</v>
      </c>
      <c r="G2321" s="34" t="str">
        <f>IF(ISNUMBER(F2321),E2321*F2321,"")</f>
        <v/>
      </c>
      <c r="H2321" s="35"/>
      <c r="I2321" s="31"/>
      <c r="J2321" s="155">
        <v>0</v>
      </c>
    </row>
    <row r="2322" spans="1:10" ht="26.25" hidden="1" thickBot="1" x14ac:dyDescent="0.3">
      <c r="A2322" s="200"/>
      <c r="B2322" s="202"/>
      <c r="C2322" s="36" t="s">
        <v>739</v>
      </c>
      <c r="D2322" s="47" t="s">
        <v>292</v>
      </c>
      <c r="E2322" s="37">
        <v>1</v>
      </c>
      <c r="F2322" s="34">
        <v>16.434999999999999</v>
      </c>
      <c r="G2322" s="34">
        <f>IF(ISNUMBER(F2322),E2322*F2322,"")</f>
        <v>16.434999999999999</v>
      </c>
      <c r="H2322" s="39">
        <f>SUM(G2322:G2324)</f>
        <v>44.738254999999995</v>
      </c>
      <c r="I2322" s="40"/>
      <c r="J2322" s="155">
        <v>0</v>
      </c>
    </row>
    <row r="2323" spans="1:10" ht="15.75" hidden="1" thickBot="1" x14ac:dyDescent="0.3">
      <c r="A2323" s="200"/>
      <c r="B2323" s="202"/>
      <c r="C2323" s="36" t="s">
        <v>743</v>
      </c>
      <c r="D2323" s="47" t="s">
        <v>12</v>
      </c>
      <c r="E2323" s="37">
        <v>0.45800000000000002</v>
      </c>
      <c r="F2323" s="31">
        <v>16.729499999999998</v>
      </c>
      <c r="G2323" s="34">
        <f>IF(ISNUMBER(F2323),E2323*F2323,"")</f>
        <v>7.6621109999999994</v>
      </c>
      <c r="H2323" s="35"/>
      <c r="I2323" s="31"/>
      <c r="J2323" s="155">
        <v>0</v>
      </c>
    </row>
    <row r="2324" spans="1:10" ht="15.75" hidden="1" thickBot="1" x14ac:dyDescent="0.3">
      <c r="A2324" s="200"/>
      <c r="B2324" s="202"/>
      <c r="C2324" s="36" t="s">
        <v>44</v>
      </c>
      <c r="D2324" s="47" t="s">
        <v>12</v>
      </c>
      <c r="E2324" s="37">
        <v>0.91600000000000004</v>
      </c>
      <c r="F2324" s="31">
        <v>22.533999999999999</v>
      </c>
      <c r="G2324" s="34">
        <f>IF(ISNUMBER(F2324),E2324*F2324,"")</f>
        <v>20.641144000000001</v>
      </c>
      <c r="H2324" s="35"/>
      <c r="I2324" s="31"/>
      <c r="J2324" s="155">
        <v>0</v>
      </c>
    </row>
    <row r="2325" spans="1:10" ht="15.75" hidden="1" thickBot="1" x14ac:dyDescent="0.3">
      <c r="A2325" s="201"/>
      <c r="B2325" s="188"/>
      <c r="C2325" s="36"/>
      <c r="D2325" s="36"/>
      <c r="E2325" s="37"/>
      <c r="F2325" s="31" t="s">
        <v>558</v>
      </c>
      <c r="G2325" s="34" t="str">
        <f>IF(ISNUMBER(F2325),E2325*F2325,"")</f>
        <v/>
      </c>
      <c r="H2325" s="35"/>
      <c r="I2325" s="31"/>
      <c r="J2325" s="155">
        <v>0</v>
      </c>
    </row>
    <row r="2326" spans="1:10" ht="15.75" hidden="1" thickBot="1" x14ac:dyDescent="0.3">
      <c r="A2326" s="180" t="s">
        <v>752</v>
      </c>
      <c r="B2326" s="186" t="str">
        <f>INDEX(Orçamentária!A:B,MATCH(Composições!A2326,Orçamentária!A:A,0),2)</f>
        <v>Fechadura para banheiro maçaneta em barra</v>
      </c>
      <c r="C2326" s="41"/>
      <c r="D2326" s="26" t="str">
        <f>TRIM(INDEX(Orçamentária!C:C,MATCH(Composições!A2326,Orçamentária!A:A,0),1))</f>
        <v>un</v>
      </c>
      <c r="E2326" s="27"/>
      <c r="F2326" s="42" t="s">
        <v>558</v>
      </c>
      <c r="G2326" s="28" t="str">
        <f>IF(ISNUMBER(F2326),E2326*F2326,"")</f>
        <v/>
      </c>
      <c r="H2326" s="29"/>
      <c r="I2326" s="30"/>
      <c r="J2326" s="155">
        <v>0</v>
      </c>
    </row>
    <row r="2327" spans="1:10" ht="15.75" hidden="1" thickBot="1" x14ac:dyDescent="0.3">
      <c r="A2327" s="200"/>
      <c r="B2327" s="202"/>
      <c r="C2327" s="32"/>
      <c r="D2327" s="32"/>
      <c r="E2327" s="33"/>
      <c r="F2327" s="43" t="s">
        <v>558</v>
      </c>
      <c r="G2327" s="34" t="str">
        <f>IF(ISNUMBER(F2327),E2327*F2327,"")</f>
        <v/>
      </c>
      <c r="H2327" s="35"/>
      <c r="I2327" s="31"/>
      <c r="J2327" s="155">
        <v>0</v>
      </c>
    </row>
    <row r="2328" spans="1:10" ht="39" hidden="1" thickBot="1" x14ac:dyDescent="0.3">
      <c r="A2328" s="200"/>
      <c r="B2328" s="202"/>
      <c r="C2328" s="36" t="s">
        <v>753</v>
      </c>
      <c r="D2328" s="47" t="s">
        <v>147</v>
      </c>
      <c r="E2328" s="37">
        <v>1</v>
      </c>
      <c r="F2328" s="34" t="s">
        <v>558</v>
      </c>
      <c r="G2328" s="34" t="str">
        <f>IF(ISNUMBER(F2328),E2328*F2328,"")</f>
        <v/>
      </c>
      <c r="H2328" s="39">
        <f>SUM(G2328:G2330)</f>
        <v>23.707705999999998</v>
      </c>
      <c r="I2328" s="40"/>
      <c r="J2328" s="155">
        <v>0</v>
      </c>
    </row>
    <row r="2329" spans="1:10" ht="15.75" hidden="1" thickBot="1" x14ac:dyDescent="0.3">
      <c r="A2329" s="200"/>
      <c r="B2329" s="202"/>
      <c r="C2329" s="36" t="s">
        <v>44</v>
      </c>
      <c r="D2329" s="47" t="s">
        <v>12</v>
      </c>
      <c r="E2329" s="37">
        <v>0.76700000000000002</v>
      </c>
      <c r="F2329" s="31">
        <v>22.533999999999999</v>
      </c>
      <c r="G2329" s="34">
        <f>IF(ISNUMBER(F2329),E2329*F2329,"")</f>
        <v>17.283577999999999</v>
      </c>
      <c r="H2329" s="35"/>
      <c r="I2329" s="31"/>
      <c r="J2329" s="155">
        <v>0</v>
      </c>
    </row>
    <row r="2330" spans="1:10" ht="15.75" hidden="1" thickBot="1" x14ac:dyDescent="0.3">
      <c r="A2330" s="200"/>
      <c r="B2330" s="202"/>
      <c r="C2330" s="36" t="s">
        <v>23</v>
      </c>
      <c r="D2330" s="47" t="s">
        <v>12</v>
      </c>
      <c r="E2330" s="37">
        <v>0.38400000000000001</v>
      </c>
      <c r="F2330" s="31">
        <v>16.729499999999998</v>
      </c>
      <c r="G2330" s="34">
        <f>IF(ISNUMBER(F2330),E2330*F2330,"")</f>
        <v>6.4241279999999996</v>
      </c>
      <c r="H2330" s="35"/>
      <c r="I2330" s="31"/>
      <c r="J2330" s="155">
        <v>0</v>
      </c>
    </row>
    <row r="2331" spans="1:10" ht="15.75" hidden="1" thickBot="1" x14ac:dyDescent="0.3">
      <c r="A2331" s="201"/>
      <c r="B2331" s="188"/>
      <c r="C2331" s="36"/>
      <c r="D2331" s="36"/>
      <c r="E2331" s="37"/>
      <c r="F2331" s="31" t="s">
        <v>558</v>
      </c>
      <c r="G2331" s="34" t="str">
        <f>IF(ISNUMBER(F2331),E2331*F2331,"")</f>
        <v/>
      </c>
      <c r="H2331" s="35"/>
      <c r="I2331" s="31"/>
      <c r="J2331" s="155">
        <v>0</v>
      </c>
    </row>
    <row r="2332" spans="1:10" ht="15.75" hidden="1" thickBot="1" x14ac:dyDescent="0.3">
      <c r="A2332" s="180" t="s">
        <v>754</v>
      </c>
      <c r="B2332" s="186" t="str">
        <f>INDEX(Orçamentária!A:B,MATCH(Composições!A2332,Orçamentária!A:A,0),2)</f>
        <v>Fechadura para porta externa maçaneta em barra</v>
      </c>
      <c r="C2332" s="41"/>
      <c r="D2332" s="26" t="str">
        <f>TRIM(INDEX(Orçamentária!C:C,MATCH(Composições!A2332,Orçamentária!A:A,0),1))</f>
        <v>un</v>
      </c>
      <c r="E2332" s="27"/>
      <c r="F2332" s="42" t="s">
        <v>558</v>
      </c>
      <c r="G2332" s="28" t="str">
        <f>IF(ISNUMBER(F2332),E2332*F2332,"")</f>
        <v/>
      </c>
      <c r="H2332" s="29"/>
      <c r="I2332" s="30"/>
      <c r="J2332" s="155">
        <v>0</v>
      </c>
    </row>
    <row r="2333" spans="1:10" ht="15.75" hidden="1" thickBot="1" x14ac:dyDescent="0.3">
      <c r="A2333" s="200"/>
      <c r="B2333" s="202"/>
      <c r="C2333" s="32"/>
      <c r="D2333" s="32"/>
      <c r="E2333" s="33"/>
      <c r="F2333" s="43" t="s">
        <v>558</v>
      </c>
      <c r="G2333" s="34" t="str">
        <f>IF(ISNUMBER(F2333),E2333*F2333,"")</f>
        <v/>
      </c>
      <c r="H2333" s="35"/>
      <c r="I2333" s="31"/>
      <c r="J2333" s="155">
        <v>0</v>
      </c>
    </row>
    <row r="2334" spans="1:10" ht="39" hidden="1" thickBot="1" x14ac:dyDescent="0.3">
      <c r="A2334" s="200"/>
      <c r="B2334" s="202"/>
      <c r="C2334" s="36" t="s">
        <v>755</v>
      </c>
      <c r="D2334" s="47" t="s">
        <v>147</v>
      </c>
      <c r="E2334" s="37">
        <v>1</v>
      </c>
      <c r="F2334" s="34" t="s">
        <v>558</v>
      </c>
      <c r="G2334" s="34" t="str">
        <f>IF(ISNUMBER(F2334),E2334*F2334,"")</f>
        <v/>
      </c>
      <c r="H2334" s="39">
        <f>SUM(G2334:G2336)</f>
        <v>30.960547499999997</v>
      </c>
      <c r="I2334" s="40"/>
      <c r="J2334" s="155">
        <v>0</v>
      </c>
    </row>
    <row r="2335" spans="1:10" ht="15.75" hidden="1" thickBot="1" x14ac:dyDescent="0.3">
      <c r="A2335" s="200"/>
      <c r="B2335" s="202"/>
      <c r="C2335" s="36" t="s">
        <v>44</v>
      </c>
      <c r="D2335" s="47" t="s">
        <v>12</v>
      </c>
      <c r="E2335" s="37">
        <v>1.002</v>
      </c>
      <c r="F2335" s="31">
        <v>22.533999999999999</v>
      </c>
      <c r="G2335" s="34">
        <f>IF(ISNUMBER(F2335),E2335*F2335,"")</f>
        <v>22.579067999999999</v>
      </c>
      <c r="H2335" s="35"/>
      <c r="I2335" s="31"/>
      <c r="J2335" s="155">
        <v>0</v>
      </c>
    </row>
    <row r="2336" spans="1:10" ht="15.75" hidden="1" thickBot="1" x14ac:dyDescent="0.3">
      <c r="A2336" s="200"/>
      <c r="B2336" s="202"/>
      <c r="C2336" s="36" t="s">
        <v>23</v>
      </c>
      <c r="D2336" s="47" t="s">
        <v>12</v>
      </c>
      <c r="E2336" s="37">
        <v>0.501</v>
      </c>
      <c r="F2336" s="31">
        <v>16.729499999999998</v>
      </c>
      <c r="G2336" s="34">
        <f>IF(ISNUMBER(F2336),E2336*F2336,"")</f>
        <v>8.3814794999999993</v>
      </c>
      <c r="H2336" s="35"/>
      <c r="I2336" s="31"/>
      <c r="J2336" s="155">
        <v>0</v>
      </c>
    </row>
    <row r="2337" spans="1:10" ht="15.75" hidden="1" thickBot="1" x14ac:dyDescent="0.3">
      <c r="A2337" s="201"/>
      <c r="B2337" s="188"/>
      <c r="C2337" s="36"/>
      <c r="D2337" s="36"/>
      <c r="E2337" s="37"/>
      <c r="F2337" s="31" t="s">
        <v>558</v>
      </c>
      <c r="G2337" s="34" t="str">
        <f>IF(ISNUMBER(F2337),E2337*F2337,"")</f>
        <v/>
      </c>
      <c r="H2337" s="35"/>
      <c r="I2337" s="31"/>
      <c r="J2337" s="155">
        <v>0</v>
      </c>
    </row>
    <row r="2338" spans="1:10" ht="15.75" hidden="1" thickBot="1" x14ac:dyDescent="0.3">
      <c r="A2338" s="180" t="s">
        <v>756</v>
      </c>
      <c r="B2338" s="186" t="str">
        <f>INDEX(Orçamentária!A:B,MATCH(Composições!A2338,Orçamentária!A:A,0),2)</f>
        <v>Fechadura para porta interna maçaneta tubular</v>
      </c>
      <c r="C2338" s="41"/>
      <c r="D2338" s="26" t="str">
        <f>TRIM(INDEX(Orçamentária!C:C,MATCH(Composições!A2338,Orçamentária!A:A,0),1))</f>
        <v>un</v>
      </c>
      <c r="E2338" s="27"/>
      <c r="F2338" s="42" t="s">
        <v>558</v>
      </c>
      <c r="G2338" s="28" t="str">
        <f>IF(ISNUMBER(F2338),E2338*F2338,"")</f>
        <v/>
      </c>
      <c r="H2338" s="29"/>
      <c r="I2338" s="30"/>
      <c r="J2338" s="155">
        <v>0</v>
      </c>
    </row>
    <row r="2339" spans="1:10" ht="15.75" hidden="1" thickBot="1" x14ac:dyDescent="0.3">
      <c r="A2339" s="200"/>
      <c r="B2339" s="202"/>
      <c r="C2339" s="32"/>
      <c r="D2339" s="32"/>
      <c r="E2339" s="33"/>
      <c r="F2339" s="43" t="s">
        <v>558</v>
      </c>
      <c r="G2339" s="34" t="str">
        <f>IF(ISNUMBER(F2339),E2339*F2339,"")</f>
        <v/>
      </c>
      <c r="H2339" s="35"/>
      <c r="I2339" s="31"/>
      <c r="J2339" s="155">
        <v>0</v>
      </c>
    </row>
    <row r="2340" spans="1:10" ht="39" hidden="1" thickBot="1" x14ac:dyDescent="0.3">
      <c r="A2340" s="200"/>
      <c r="B2340" s="202"/>
      <c r="C2340" s="36" t="s">
        <v>757</v>
      </c>
      <c r="D2340" s="47" t="s">
        <v>147</v>
      </c>
      <c r="E2340" s="37">
        <v>1</v>
      </c>
      <c r="F2340" s="34" t="s">
        <v>558</v>
      </c>
      <c r="G2340" s="34" t="str">
        <f>IF(ISNUMBER(F2340),E2340*F2340,"")</f>
        <v/>
      </c>
      <c r="H2340" s="39">
        <f>SUM(G2340:G2342)</f>
        <v>30.960547499999997</v>
      </c>
      <c r="I2340" s="40"/>
      <c r="J2340" s="155">
        <v>0</v>
      </c>
    </row>
    <row r="2341" spans="1:10" ht="15.75" hidden="1" thickBot="1" x14ac:dyDescent="0.3">
      <c r="A2341" s="200"/>
      <c r="B2341" s="202"/>
      <c r="C2341" s="36" t="s">
        <v>44</v>
      </c>
      <c r="D2341" s="47" t="s">
        <v>12</v>
      </c>
      <c r="E2341" s="37">
        <v>1.002</v>
      </c>
      <c r="F2341" s="31">
        <v>22.533999999999999</v>
      </c>
      <c r="G2341" s="34">
        <f>IF(ISNUMBER(F2341),E2341*F2341,"")</f>
        <v>22.579067999999999</v>
      </c>
      <c r="H2341" s="35"/>
      <c r="I2341" s="31"/>
      <c r="J2341" s="155">
        <v>0</v>
      </c>
    </row>
    <row r="2342" spans="1:10" ht="15.75" hidden="1" thickBot="1" x14ac:dyDescent="0.3">
      <c r="A2342" s="200"/>
      <c r="B2342" s="202"/>
      <c r="C2342" s="36" t="s">
        <v>23</v>
      </c>
      <c r="D2342" s="47" t="s">
        <v>12</v>
      </c>
      <c r="E2342" s="37">
        <v>0.501</v>
      </c>
      <c r="F2342" s="31">
        <v>16.729499999999998</v>
      </c>
      <c r="G2342" s="34">
        <f>IF(ISNUMBER(F2342),E2342*F2342,"")</f>
        <v>8.3814794999999993</v>
      </c>
      <c r="H2342" s="35"/>
      <c r="I2342" s="31"/>
      <c r="J2342" s="155">
        <v>0</v>
      </c>
    </row>
    <row r="2343" spans="1:10" ht="15.75" hidden="1" thickBot="1" x14ac:dyDescent="0.3">
      <c r="A2343" s="201"/>
      <c r="B2343" s="188"/>
      <c r="C2343" s="36"/>
      <c r="D2343" s="36"/>
      <c r="E2343" s="37"/>
      <c r="F2343" s="31" t="s">
        <v>558</v>
      </c>
      <c r="G2343" s="34" t="str">
        <f>IF(ISNUMBER(F2343),E2343*F2343,"")</f>
        <v/>
      </c>
      <c r="H2343" s="35"/>
      <c r="I2343" s="31"/>
      <c r="J2343" s="155">
        <v>0</v>
      </c>
    </row>
    <row r="2344" spans="1:10" ht="15.75" hidden="1" thickBot="1" x14ac:dyDescent="0.3">
      <c r="A2344" s="180" t="s">
        <v>758</v>
      </c>
      <c r="B2344" s="186" t="str">
        <f>INDEX(Orçamentária!A:B,MATCH(Composições!A2344,Orçamentária!A:A,0),2)</f>
        <v>Instalação de fechadura/puxador de porta reaproveitados</v>
      </c>
      <c r="C2344" s="41"/>
      <c r="D2344" s="26" t="str">
        <f>TRIM(INDEX(Orçamentária!C:C,MATCH(Composições!A2344,Orçamentária!A:A,0),1))</f>
        <v>un</v>
      </c>
      <c r="E2344" s="27"/>
      <c r="F2344" s="42" t="s">
        <v>558</v>
      </c>
      <c r="G2344" s="28" t="str">
        <f>IF(ISNUMBER(F2344),E2344*F2344,"")</f>
        <v/>
      </c>
      <c r="H2344" s="29"/>
      <c r="I2344" s="30"/>
      <c r="J2344" s="155">
        <v>0</v>
      </c>
    </row>
    <row r="2345" spans="1:10" ht="15.75" hidden="1" thickBot="1" x14ac:dyDescent="0.3">
      <c r="A2345" s="200"/>
      <c r="B2345" s="202"/>
      <c r="C2345" s="32"/>
      <c r="D2345" s="32"/>
      <c r="E2345" s="33"/>
      <c r="F2345" s="43" t="s">
        <v>558</v>
      </c>
      <c r="G2345" s="34" t="str">
        <f>IF(ISNUMBER(F2345),E2345*F2345,"")</f>
        <v/>
      </c>
      <c r="H2345" s="35"/>
      <c r="I2345" s="31"/>
      <c r="J2345" s="155">
        <v>0</v>
      </c>
    </row>
    <row r="2346" spans="1:10" ht="15.75" hidden="1" thickBot="1" x14ac:dyDescent="0.3">
      <c r="A2346" s="200"/>
      <c r="B2346" s="202"/>
      <c r="C2346" s="36" t="s">
        <v>44</v>
      </c>
      <c r="D2346" s="36" t="s">
        <v>12</v>
      </c>
      <c r="E2346" s="37">
        <v>1.002</v>
      </c>
      <c r="F2346" s="31">
        <v>22.533999999999999</v>
      </c>
      <c r="G2346" s="34">
        <f>IF(ISNUMBER(F2346),E2346*F2346,"")</f>
        <v>22.579067999999999</v>
      </c>
      <c r="H2346" s="39">
        <f>SUM(G2346:G2347)</f>
        <v>30.960547499999997</v>
      </c>
      <c r="I2346" s="40"/>
      <c r="J2346" s="155">
        <v>0</v>
      </c>
    </row>
    <row r="2347" spans="1:10" ht="15.75" hidden="1" thickBot="1" x14ac:dyDescent="0.3">
      <c r="A2347" s="200"/>
      <c r="B2347" s="202"/>
      <c r="C2347" s="36" t="s">
        <v>23</v>
      </c>
      <c r="D2347" s="36" t="s">
        <v>12</v>
      </c>
      <c r="E2347" s="37">
        <v>0.501</v>
      </c>
      <c r="F2347" s="31">
        <v>16.729499999999998</v>
      </c>
      <c r="G2347" s="34">
        <f>IF(ISNUMBER(F2347),E2347*F2347,"")</f>
        <v>8.3814794999999993</v>
      </c>
      <c r="H2347" s="35"/>
      <c r="I2347" s="31"/>
      <c r="J2347" s="155">
        <v>0</v>
      </c>
    </row>
    <row r="2348" spans="1:10" ht="15.75" hidden="1" thickBot="1" x14ac:dyDescent="0.3">
      <c r="A2348" s="201"/>
      <c r="B2348" s="188"/>
      <c r="C2348" s="36"/>
      <c r="D2348" s="36"/>
      <c r="E2348" s="37"/>
      <c r="F2348" s="31" t="s">
        <v>558</v>
      </c>
      <c r="G2348" s="34" t="str">
        <f>IF(ISNUMBER(F2348),E2348*F2348,"")</f>
        <v/>
      </c>
      <c r="H2348" s="35"/>
      <c r="I2348" s="31"/>
      <c r="J2348" s="155">
        <v>0</v>
      </c>
    </row>
    <row r="2349" spans="1:10" ht="15.75" hidden="1" thickBot="1" x14ac:dyDescent="0.3">
      <c r="A2349" s="180" t="s">
        <v>759</v>
      </c>
      <c r="B2349" s="186" t="str">
        <f>INDEX(Orçamentária!A:B,MATCH(Composições!A2349,Orçamentária!A:A,0),2)</f>
        <v>Mola hidráulica aérea</v>
      </c>
      <c r="C2349" s="41"/>
      <c r="D2349" s="26" t="str">
        <f>TRIM(INDEX(Orçamentária!C:C,MATCH(Composições!A2349,Orçamentária!A:A,0),1))</f>
        <v>un</v>
      </c>
      <c r="E2349" s="27"/>
      <c r="F2349" s="42" t="s">
        <v>558</v>
      </c>
      <c r="G2349" s="28" t="str">
        <f>IF(ISNUMBER(F2349),E2349*F2349,"")</f>
        <v/>
      </c>
      <c r="H2349" s="29"/>
      <c r="I2349" s="30"/>
      <c r="J2349" s="155">
        <v>0</v>
      </c>
    </row>
    <row r="2350" spans="1:10" ht="15.75" hidden="1" thickBot="1" x14ac:dyDescent="0.3">
      <c r="A2350" s="200"/>
      <c r="B2350" s="202"/>
      <c r="C2350" s="32"/>
      <c r="D2350" s="32"/>
      <c r="E2350" s="33"/>
      <c r="F2350" s="43" t="s">
        <v>558</v>
      </c>
      <c r="G2350" s="34" t="str">
        <f>IF(ISNUMBER(F2350),E2350*F2350,"")</f>
        <v/>
      </c>
      <c r="H2350" s="35"/>
      <c r="I2350" s="31"/>
      <c r="J2350" s="155">
        <v>0</v>
      </c>
    </row>
    <row r="2351" spans="1:10" ht="15.75" hidden="1" thickBot="1" x14ac:dyDescent="0.3">
      <c r="A2351" s="200"/>
      <c r="B2351" s="202"/>
      <c r="C2351" s="36" t="s">
        <v>643</v>
      </c>
      <c r="D2351" s="36" t="s">
        <v>12</v>
      </c>
      <c r="E2351" s="37">
        <v>1</v>
      </c>
      <c r="F2351" s="31">
        <v>22.895</v>
      </c>
      <c r="G2351" s="34">
        <f>IF(ISNUMBER(F2351),E2351*F2351,"")</f>
        <v>22.895</v>
      </c>
      <c r="H2351" s="39">
        <f>SUM(G2351:G2352)</f>
        <v>22.895</v>
      </c>
      <c r="I2351" s="40"/>
      <c r="J2351" s="155">
        <v>0</v>
      </c>
    </row>
    <row r="2352" spans="1:10" ht="26.25" hidden="1" thickBot="1" x14ac:dyDescent="0.3">
      <c r="A2352" s="200"/>
      <c r="B2352" s="202"/>
      <c r="C2352" s="36" t="s">
        <v>760</v>
      </c>
      <c r="D2352" s="36" t="s">
        <v>20</v>
      </c>
      <c r="E2352" s="37">
        <v>1</v>
      </c>
      <c r="F2352" s="34" t="s">
        <v>558</v>
      </c>
      <c r="G2352" s="34" t="str">
        <f>IF(ISNUMBER(F2352),E2352*F2352,"")</f>
        <v/>
      </c>
      <c r="H2352" s="35"/>
      <c r="I2352" s="31"/>
      <c r="J2352" s="155">
        <v>0</v>
      </c>
    </row>
    <row r="2353" spans="1:10" ht="15.75" hidden="1" thickBot="1" x14ac:dyDescent="0.3">
      <c r="A2353" s="201"/>
      <c r="B2353" s="188"/>
      <c r="C2353" s="36"/>
      <c r="D2353" s="36"/>
      <c r="E2353" s="37"/>
      <c r="F2353" s="31" t="s">
        <v>558</v>
      </c>
      <c r="G2353" s="34" t="str">
        <f>IF(ISNUMBER(F2353),E2353*F2353,"")</f>
        <v/>
      </c>
      <c r="H2353" s="35"/>
      <c r="I2353" s="31"/>
      <c r="J2353" s="155">
        <v>0</v>
      </c>
    </row>
    <row r="2354" spans="1:10" ht="15.75" hidden="1" thickBot="1" x14ac:dyDescent="0.3">
      <c r="A2354" s="180" t="s">
        <v>761</v>
      </c>
      <c r="B2354" s="186" t="str">
        <f>INDEX(Orçamentária!A:B,MATCH(Composições!A2354,Orçamentária!A:A,0),2)</f>
        <v>Pivô em latão com acabamento cromado para portas pivotantes</v>
      </c>
      <c r="C2354" s="41"/>
      <c r="D2354" s="26" t="str">
        <f>TRIM(INDEX(Orçamentária!C:C,MATCH(Composições!A2354,Orçamentária!A:A,0),1))</f>
        <v>un</v>
      </c>
      <c r="E2354" s="27"/>
      <c r="F2354" s="42" t="s">
        <v>558</v>
      </c>
      <c r="G2354" s="28" t="str">
        <f>IF(ISNUMBER(F2354),E2354*F2354,"")</f>
        <v/>
      </c>
      <c r="H2354" s="29"/>
      <c r="I2354" s="30"/>
      <c r="J2354" s="155">
        <v>0</v>
      </c>
    </row>
    <row r="2355" spans="1:10" ht="15.75" hidden="1" thickBot="1" x14ac:dyDescent="0.3">
      <c r="A2355" s="200"/>
      <c r="B2355" s="202"/>
      <c r="C2355" s="32"/>
      <c r="D2355" s="32"/>
      <c r="E2355" s="33"/>
      <c r="F2355" s="43" t="s">
        <v>558</v>
      </c>
      <c r="G2355" s="34" t="str">
        <f>IF(ISNUMBER(F2355),E2355*F2355,"")</f>
        <v/>
      </c>
      <c r="H2355" s="35"/>
      <c r="I2355" s="31"/>
      <c r="J2355" s="155">
        <v>0</v>
      </c>
    </row>
    <row r="2356" spans="1:10" ht="15.75" hidden="1" thickBot="1" x14ac:dyDescent="0.3">
      <c r="A2356" s="200"/>
      <c r="B2356" s="202"/>
      <c r="C2356" s="36" t="s">
        <v>643</v>
      </c>
      <c r="D2356" s="36" t="s">
        <v>12</v>
      </c>
      <c r="E2356" s="37">
        <f>1/2</f>
        <v>0.5</v>
      </c>
      <c r="F2356" s="31">
        <v>22.895</v>
      </c>
      <c r="G2356" s="34">
        <f>IF(ISNUMBER(F2356),E2356*F2356,"")</f>
        <v>11.4475</v>
      </c>
      <c r="H2356" s="39">
        <f>SUM(G2356:G2357)</f>
        <v>11.4475</v>
      </c>
      <c r="I2356" s="40"/>
      <c r="J2356" s="155">
        <v>0</v>
      </c>
    </row>
    <row r="2357" spans="1:10" ht="39" hidden="1" thickBot="1" x14ac:dyDescent="0.3">
      <c r="A2357" s="200"/>
      <c r="B2357" s="202"/>
      <c r="C2357" s="36" t="s">
        <v>762</v>
      </c>
      <c r="D2357" s="36" t="s">
        <v>20</v>
      </c>
      <c r="E2357" s="37">
        <v>1</v>
      </c>
      <c r="F2357" s="34" t="s">
        <v>558</v>
      </c>
      <c r="G2357" s="34" t="str">
        <f>IF(ISNUMBER(F2357),E2357*F2357,"")</f>
        <v/>
      </c>
      <c r="H2357" s="35"/>
      <c r="I2357" s="31"/>
      <c r="J2357" s="155">
        <v>0</v>
      </c>
    </row>
    <row r="2358" spans="1:10" ht="15.75" hidden="1" thickBot="1" x14ac:dyDescent="0.3">
      <c r="A2358" s="201"/>
      <c r="B2358" s="188"/>
      <c r="C2358" s="36"/>
      <c r="D2358" s="36"/>
      <c r="E2358" s="37"/>
      <c r="F2358" s="31" t="s">
        <v>558</v>
      </c>
      <c r="G2358" s="34" t="str">
        <f>IF(ISNUMBER(F2358),E2358*F2358,"")</f>
        <v/>
      </c>
      <c r="H2358" s="35"/>
      <c r="I2358" s="31"/>
      <c r="J2358" s="155">
        <v>0</v>
      </c>
    </row>
    <row r="2359" spans="1:10" ht="15.75" hidden="1" thickBot="1" x14ac:dyDescent="0.3">
      <c r="A2359" s="180" t="s">
        <v>763</v>
      </c>
      <c r="B2359" s="186" t="str">
        <f>INDEX(Orçamentária!A:B,MATCH(Composições!A2359,Orçamentária!A:A,0),2)</f>
        <v>Cabo de dados tipo UTP, tipo LSZH, categoria 6</v>
      </c>
      <c r="C2359" s="41"/>
      <c r="D2359" s="26" t="str">
        <f>TRIM(INDEX(Orçamentária!C:C,MATCH(Composições!A2359,Orçamentária!A:A,0),1))</f>
        <v>m</v>
      </c>
      <c r="E2359" s="27"/>
      <c r="F2359" s="42" t="s">
        <v>558</v>
      </c>
      <c r="G2359" s="28" t="str">
        <f>IF(ISNUMBER(F2359),E2359*F2359,"")</f>
        <v/>
      </c>
      <c r="H2359" s="29"/>
      <c r="I2359" s="30"/>
      <c r="J2359" s="155">
        <v>0</v>
      </c>
    </row>
    <row r="2360" spans="1:10" ht="15.75" hidden="1" thickBot="1" x14ac:dyDescent="0.3">
      <c r="A2360" s="200"/>
      <c r="B2360" s="202"/>
      <c r="C2360" s="32"/>
      <c r="D2360" s="32"/>
      <c r="E2360" s="33"/>
      <c r="F2360" s="43" t="s">
        <v>558</v>
      </c>
      <c r="G2360" s="34" t="str">
        <f>IF(ISNUMBER(F2360),E2360*F2360,"")</f>
        <v/>
      </c>
      <c r="H2360" s="35"/>
      <c r="I2360" s="31"/>
      <c r="J2360" s="155">
        <v>0</v>
      </c>
    </row>
    <row r="2361" spans="1:10" ht="15.75" hidden="1" thickBot="1" x14ac:dyDescent="0.3">
      <c r="A2361" s="200"/>
      <c r="B2361" s="202"/>
      <c r="C2361" s="36" t="s">
        <v>74</v>
      </c>
      <c r="D2361" s="36" t="s">
        <v>12</v>
      </c>
      <c r="E2361" s="37">
        <v>2.8E-3</v>
      </c>
      <c r="F2361" s="31">
        <v>17.802999999999997</v>
      </c>
      <c r="G2361" s="34">
        <f>IF(ISNUMBER(F2361),E2361*F2361,"")</f>
        <v>4.9848399999999994E-2</v>
      </c>
      <c r="H2361" s="39">
        <f>SUM(G2361:G2363)</f>
        <v>0.11395439999999998</v>
      </c>
      <c r="I2361" s="40"/>
      <c r="J2361" s="155">
        <v>0</v>
      </c>
    </row>
    <row r="2362" spans="1:10" ht="15.75" hidden="1" thickBot="1" x14ac:dyDescent="0.3">
      <c r="A2362" s="200"/>
      <c r="B2362" s="202"/>
      <c r="C2362" s="36" t="s">
        <v>30</v>
      </c>
      <c r="D2362" s="36" t="s">
        <v>12</v>
      </c>
      <c r="E2362" s="37">
        <v>2.8E-3</v>
      </c>
      <c r="F2362" s="31">
        <v>22.895</v>
      </c>
      <c r="G2362" s="34">
        <f>IF(ISNUMBER(F2362),E2362*F2362,"")</f>
        <v>6.4105999999999996E-2</v>
      </c>
      <c r="H2362" s="35"/>
      <c r="I2362" s="31"/>
      <c r="J2362" s="155">
        <v>0</v>
      </c>
    </row>
    <row r="2363" spans="1:10" ht="26.25" hidden="1" thickBot="1" x14ac:dyDescent="0.3">
      <c r="A2363" s="200"/>
      <c r="B2363" s="202"/>
      <c r="C2363" s="36" t="s">
        <v>764</v>
      </c>
      <c r="D2363" s="36" t="s">
        <v>93</v>
      </c>
      <c r="E2363" s="37">
        <v>1.05</v>
      </c>
      <c r="F2363" s="34" t="s">
        <v>558</v>
      </c>
      <c r="G2363" s="34" t="str">
        <f>IF(ISNUMBER(F2363),E2363*F2363,"")</f>
        <v/>
      </c>
      <c r="H2363" s="35"/>
      <c r="I2363" s="31"/>
      <c r="J2363" s="155">
        <v>0</v>
      </c>
    </row>
    <row r="2364" spans="1:10" ht="15.75" hidden="1" thickBot="1" x14ac:dyDescent="0.3">
      <c r="A2364" s="201"/>
      <c r="B2364" s="188"/>
      <c r="C2364" s="36"/>
      <c r="D2364" s="36"/>
      <c r="E2364" s="37"/>
      <c r="F2364" s="31" t="s">
        <v>558</v>
      </c>
      <c r="G2364" s="34" t="str">
        <f>IF(ISNUMBER(F2364),E2364*F2364,"")</f>
        <v/>
      </c>
      <c r="H2364" s="35"/>
      <c r="I2364" s="31"/>
      <c r="J2364" s="155">
        <v>0</v>
      </c>
    </row>
    <row r="2365" spans="1:10" ht="15.75" hidden="1" thickBot="1" x14ac:dyDescent="0.3">
      <c r="A2365" s="180" t="s">
        <v>765</v>
      </c>
      <c r="B2365" s="186" t="str">
        <f>INDEX(Orçamentária!A:B,MATCH(Composições!A2365,Orçamentária!A:A,0),2)</f>
        <v>Módulo (tomada) de rede RJ45, categoria 6, com conectorização e certificação</v>
      </c>
      <c r="C2365" s="41"/>
      <c r="D2365" s="26" t="str">
        <f>TRIM(INDEX(Orçamentária!C:C,MATCH(Composições!A2365,Orçamentária!A:A,0),1))</f>
        <v>un</v>
      </c>
      <c r="E2365" s="27"/>
      <c r="F2365" s="42" t="s">
        <v>558</v>
      </c>
      <c r="G2365" s="28" t="str">
        <f>IF(ISNUMBER(F2365),E2365*F2365,"")</f>
        <v/>
      </c>
      <c r="H2365" s="29"/>
      <c r="I2365" s="30"/>
      <c r="J2365" s="155">
        <v>0</v>
      </c>
    </row>
    <row r="2366" spans="1:10" ht="15.75" hidden="1" thickBot="1" x14ac:dyDescent="0.3">
      <c r="A2366" s="200"/>
      <c r="B2366" s="202"/>
      <c r="C2366" s="32"/>
      <c r="D2366" s="32"/>
      <c r="E2366" s="33"/>
      <c r="F2366" s="43" t="s">
        <v>558</v>
      </c>
      <c r="G2366" s="34" t="str">
        <f>IF(ISNUMBER(F2366),E2366*F2366,"")</f>
        <v/>
      </c>
      <c r="H2366" s="35"/>
      <c r="I2366" s="31"/>
      <c r="J2366" s="155">
        <v>0</v>
      </c>
    </row>
    <row r="2367" spans="1:10" ht="26.25" hidden="1" thickBot="1" x14ac:dyDescent="0.3">
      <c r="A2367" s="200"/>
      <c r="B2367" s="202"/>
      <c r="C2367" s="36" t="s">
        <v>766</v>
      </c>
      <c r="D2367" s="36" t="s">
        <v>147</v>
      </c>
      <c r="E2367" s="37">
        <v>1</v>
      </c>
      <c r="F2367" s="34" t="s">
        <v>558</v>
      </c>
      <c r="G2367" s="34" t="str">
        <f>IF(ISNUMBER(F2367),E2367*F2367,"")</f>
        <v/>
      </c>
      <c r="H2367" s="39">
        <f>SUM(G2367:G2371)</f>
        <v>16.783855199999998</v>
      </c>
      <c r="I2367" s="40"/>
      <c r="J2367" s="155">
        <v>0</v>
      </c>
    </row>
    <row r="2368" spans="1:10" ht="15.75" hidden="1" thickBot="1" x14ac:dyDescent="0.3">
      <c r="A2368" s="200"/>
      <c r="B2368" s="202"/>
      <c r="C2368" s="36" t="s">
        <v>767</v>
      </c>
      <c r="D2368" s="36" t="s">
        <v>147</v>
      </c>
      <c r="E2368" s="37">
        <v>1</v>
      </c>
      <c r="F2368" s="34" t="s">
        <v>558</v>
      </c>
      <c r="G2368" s="34" t="str">
        <f>IF(ISNUMBER(F2368),E2368*F2368,"")</f>
        <v/>
      </c>
      <c r="H2368" s="35"/>
      <c r="I2368" s="31"/>
      <c r="J2368" s="155">
        <v>0</v>
      </c>
    </row>
    <row r="2369" spans="1:10" ht="15.75" hidden="1" thickBot="1" x14ac:dyDescent="0.3">
      <c r="A2369" s="200"/>
      <c r="B2369" s="202"/>
      <c r="C2369" s="36" t="s">
        <v>768</v>
      </c>
      <c r="D2369" s="36" t="s">
        <v>147</v>
      </c>
      <c r="E2369" s="37">
        <v>1</v>
      </c>
      <c r="F2369" s="34" t="s">
        <v>558</v>
      </c>
      <c r="G2369" s="34" t="str">
        <f>IF(ISNUMBER(F2369),E2369*F2369,"")</f>
        <v/>
      </c>
      <c r="H2369" s="35"/>
      <c r="I2369" s="31"/>
      <c r="J2369" s="155">
        <v>0</v>
      </c>
    </row>
    <row r="2370" spans="1:10" ht="15.75" hidden="1" thickBot="1" x14ac:dyDescent="0.3">
      <c r="A2370" s="200"/>
      <c r="B2370" s="202"/>
      <c r="C2370" s="36" t="s">
        <v>74</v>
      </c>
      <c r="D2370" s="47" t="s">
        <v>12</v>
      </c>
      <c r="E2370" s="37">
        <f>0.2062*2</f>
        <v>0.41239999999999999</v>
      </c>
      <c r="F2370" s="31">
        <v>17.802999999999997</v>
      </c>
      <c r="G2370" s="34">
        <f>IF(ISNUMBER(F2370),E2370*F2370,"")</f>
        <v>7.3419571999999986</v>
      </c>
      <c r="H2370" s="35"/>
      <c r="I2370" s="31"/>
      <c r="J2370" s="155">
        <v>0</v>
      </c>
    </row>
    <row r="2371" spans="1:10" ht="15.75" hidden="1" thickBot="1" x14ac:dyDescent="0.3">
      <c r="A2371" s="200"/>
      <c r="B2371" s="202"/>
      <c r="C2371" s="36" t="s">
        <v>30</v>
      </c>
      <c r="D2371" s="36" t="s">
        <v>12</v>
      </c>
      <c r="E2371" s="37">
        <f>0.2062*2</f>
        <v>0.41239999999999999</v>
      </c>
      <c r="F2371" s="31">
        <v>22.895</v>
      </c>
      <c r="G2371" s="34">
        <f>IF(ISNUMBER(F2371),E2371*F2371,"")</f>
        <v>9.4418980000000001</v>
      </c>
      <c r="H2371" s="35"/>
      <c r="I2371" s="31"/>
      <c r="J2371" s="155">
        <v>0</v>
      </c>
    </row>
    <row r="2372" spans="1:10" ht="15.75" hidden="1" thickBot="1" x14ac:dyDescent="0.3">
      <c r="A2372" s="201"/>
      <c r="B2372" s="188"/>
      <c r="C2372" s="36"/>
      <c r="D2372" s="36"/>
      <c r="E2372" s="37"/>
      <c r="F2372" s="31" t="s">
        <v>558</v>
      </c>
      <c r="G2372" s="34" t="str">
        <f>IF(ISNUMBER(F2372),E2372*F2372,"")</f>
        <v/>
      </c>
      <c r="H2372" s="35"/>
      <c r="I2372" s="31"/>
      <c r="J2372" s="155">
        <v>0</v>
      </c>
    </row>
    <row r="2373" spans="1:10" ht="15.75" hidden="1" thickBot="1" x14ac:dyDescent="0.3">
      <c r="A2373" s="180" t="s">
        <v>769</v>
      </c>
      <c r="B2373" s="186" t="str">
        <f>INDEX(Orçamentária!A:B,MATCH(Composições!A2373,Orçamentária!A:A,0),2)</f>
        <v>Painel de distribuição (patch panel) de 24 portas, categoria 6</v>
      </c>
      <c r="C2373" s="41"/>
      <c r="D2373" s="26" t="str">
        <f>TRIM(INDEX(Orçamentária!C:C,MATCH(Composições!A2373,Orçamentária!A:A,0),1))</f>
        <v>un</v>
      </c>
      <c r="E2373" s="27"/>
      <c r="F2373" s="42" t="s">
        <v>558</v>
      </c>
      <c r="G2373" s="28" t="str">
        <f>IF(ISNUMBER(F2373),E2373*F2373,"")</f>
        <v/>
      </c>
      <c r="H2373" s="29"/>
      <c r="I2373" s="30"/>
      <c r="J2373" s="155">
        <v>0</v>
      </c>
    </row>
    <row r="2374" spans="1:10" ht="15.75" hidden="1" thickBot="1" x14ac:dyDescent="0.3">
      <c r="A2374" s="200"/>
      <c r="B2374" s="202"/>
      <c r="C2374" s="32"/>
      <c r="D2374" s="32"/>
      <c r="E2374" s="33"/>
      <c r="F2374" s="43" t="s">
        <v>558</v>
      </c>
      <c r="G2374" s="34" t="str">
        <f>IF(ISNUMBER(F2374),E2374*F2374,"")</f>
        <v/>
      </c>
      <c r="H2374" s="35"/>
      <c r="I2374" s="31"/>
      <c r="J2374" s="155">
        <v>0</v>
      </c>
    </row>
    <row r="2375" spans="1:10" ht="15.75" hidden="1" thickBot="1" x14ac:dyDescent="0.3">
      <c r="A2375" s="200"/>
      <c r="B2375" s="202"/>
      <c r="C2375" s="36" t="s">
        <v>74</v>
      </c>
      <c r="D2375" s="47" t="s">
        <v>12</v>
      </c>
      <c r="E2375" s="37">
        <f>6.2007</f>
        <v>6.2007000000000003</v>
      </c>
      <c r="F2375" s="31">
        <v>17.802999999999997</v>
      </c>
      <c r="G2375" s="34">
        <f>IF(ISNUMBER(F2375),E2375*F2375,"")</f>
        <v>110.39106209999998</v>
      </c>
      <c r="H2375" s="39">
        <f>SUM(G2375:G2378)</f>
        <v>252.35608859999996</v>
      </c>
      <c r="I2375" s="40"/>
      <c r="J2375" s="155">
        <v>0</v>
      </c>
    </row>
    <row r="2376" spans="1:10" ht="15.75" hidden="1" thickBot="1" x14ac:dyDescent="0.3">
      <c r="A2376" s="200"/>
      <c r="B2376" s="202"/>
      <c r="C2376" s="36" t="s">
        <v>30</v>
      </c>
      <c r="D2376" s="36" t="s">
        <v>12</v>
      </c>
      <c r="E2376" s="37">
        <f>6.2007</f>
        <v>6.2007000000000003</v>
      </c>
      <c r="F2376" s="31">
        <v>22.895</v>
      </c>
      <c r="G2376" s="34">
        <f>IF(ISNUMBER(F2376),E2376*F2376,"")</f>
        <v>141.96502649999999</v>
      </c>
      <c r="H2376" s="35"/>
      <c r="I2376" s="31"/>
      <c r="J2376" s="155">
        <v>0</v>
      </c>
    </row>
    <row r="2377" spans="1:10" ht="26.25" hidden="1" thickBot="1" x14ac:dyDescent="0.3">
      <c r="A2377" s="200"/>
      <c r="B2377" s="202"/>
      <c r="C2377" s="36" t="s">
        <v>770</v>
      </c>
      <c r="D2377" s="36" t="s">
        <v>20</v>
      </c>
      <c r="E2377" s="37">
        <v>1</v>
      </c>
      <c r="F2377" s="34" t="s">
        <v>558</v>
      </c>
      <c r="G2377" s="34" t="str">
        <f>IF(ISNUMBER(F2377),E2377*F2377,"")</f>
        <v/>
      </c>
      <c r="H2377" s="35"/>
      <c r="I2377" s="31"/>
      <c r="J2377" s="155">
        <v>0</v>
      </c>
    </row>
    <row r="2378" spans="1:10" ht="15.75" hidden="1" thickBot="1" x14ac:dyDescent="0.3">
      <c r="A2378" s="200"/>
      <c r="B2378" s="202"/>
      <c r="C2378" s="36" t="s">
        <v>767</v>
      </c>
      <c r="D2378" s="36" t="s">
        <v>147</v>
      </c>
      <c r="E2378" s="37">
        <v>24</v>
      </c>
      <c r="F2378" s="34" t="s">
        <v>558</v>
      </c>
      <c r="G2378" s="34" t="str">
        <f>IF(ISNUMBER(F2378),E2378*F2378,"")</f>
        <v/>
      </c>
      <c r="H2378" s="35"/>
      <c r="I2378" s="31"/>
      <c r="J2378" s="155">
        <v>0</v>
      </c>
    </row>
    <row r="2379" spans="1:10" ht="15.75" hidden="1" thickBot="1" x14ac:dyDescent="0.3">
      <c r="A2379" s="201"/>
      <c r="B2379" s="188"/>
      <c r="C2379" s="36"/>
      <c r="D2379" s="36"/>
      <c r="E2379" s="37"/>
      <c r="F2379" s="31" t="s">
        <v>558</v>
      </c>
      <c r="G2379" s="34" t="str">
        <f>IF(ISNUMBER(F2379),E2379*F2379,"")</f>
        <v/>
      </c>
      <c r="H2379" s="35"/>
      <c r="I2379" s="31"/>
      <c r="J2379" s="155">
        <v>0</v>
      </c>
    </row>
    <row r="2380" spans="1:10" ht="15.75" hidden="1" thickBot="1" x14ac:dyDescent="0.3">
      <c r="A2380" s="180" t="s">
        <v>771</v>
      </c>
      <c r="B2380" s="186" t="str">
        <f>INDEX(Orçamentária!A:B,MATCH(Composições!A2380,Orçamentária!A:A,0),2)</f>
        <v>Cabo de telefonia tipo CCI 50x2</v>
      </c>
      <c r="C2380" s="41"/>
      <c r="D2380" s="26" t="str">
        <f>TRIM(INDEX(Orçamentária!C:C,MATCH(Composições!A2380,Orçamentária!A:A,0),1))</f>
        <v>m</v>
      </c>
      <c r="E2380" s="27"/>
      <c r="F2380" s="42" t="s">
        <v>558</v>
      </c>
      <c r="G2380" s="28" t="str">
        <f>IF(ISNUMBER(F2380),E2380*F2380,"")</f>
        <v/>
      </c>
      <c r="H2380" s="29"/>
      <c r="I2380" s="30"/>
      <c r="J2380" s="155">
        <v>0</v>
      </c>
    </row>
    <row r="2381" spans="1:10" ht="15.75" hidden="1" thickBot="1" x14ac:dyDescent="0.3">
      <c r="A2381" s="181"/>
      <c r="B2381" s="202"/>
      <c r="C2381" s="32"/>
      <c r="D2381" s="32"/>
      <c r="E2381" s="33"/>
      <c r="F2381" s="43" t="s">
        <v>558</v>
      </c>
      <c r="G2381" s="34" t="str">
        <f>IF(ISNUMBER(F2381),E2381*F2381,"")</f>
        <v/>
      </c>
      <c r="H2381" s="35"/>
      <c r="I2381" s="31"/>
      <c r="J2381" s="155">
        <v>0</v>
      </c>
    </row>
    <row r="2382" spans="1:10" ht="15.75" hidden="1" thickBot="1" x14ac:dyDescent="0.3">
      <c r="A2382" s="181"/>
      <c r="B2382" s="202"/>
      <c r="C2382" s="36" t="s">
        <v>74</v>
      </c>
      <c r="D2382" s="47" t="s">
        <v>12</v>
      </c>
      <c r="E2382" s="37">
        <v>6.4100000000000004E-2</v>
      </c>
      <c r="F2382" s="31">
        <v>17.802999999999997</v>
      </c>
      <c r="G2382" s="34">
        <f>IF(ISNUMBER(F2382),E2382*F2382,"")</f>
        <v>1.1411722999999998</v>
      </c>
      <c r="H2382" s="39">
        <f>SUM(G2382:G2384)</f>
        <v>3.8256917999999995</v>
      </c>
      <c r="I2382" s="40"/>
      <c r="J2382" s="155">
        <v>0</v>
      </c>
    </row>
    <row r="2383" spans="1:10" ht="15.75" hidden="1" thickBot="1" x14ac:dyDescent="0.3">
      <c r="A2383" s="181"/>
      <c r="B2383" s="202"/>
      <c r="C2383" s="36" t="s">
        <v>30</v>
      </c>
      <c r="D2383" s="36" t="s">
        <v>12</v>
      </c>
      <c r="E2383" s="37">
        <v>6.4100000000000004E-2</v>
      </c>
      <c r="F2383" s="31">
        <v>22.895</v>
      </c>
      <c r="G2383" s="34">
        <f>IF(ISNUMBER(F2383),E2383*F2383,"")</f>
        <v>1.4675695</v>
      </c>
      <c r="H2383" s="35"/>
      <c r="I2383" s="31"/>
      <c r="J2383" s="155">
        <v>0</v>
      </c>
    </row>
    <row r="2384" spans="1:10" ht="26.25" hidden="1" thickBot="1" x14ac:dyDescent="0.3">
      <c r="A2384" s="181"/>
      <c r="B2384" s="202"/>
      <c r="C2384" s="36" t="s">
        <v>772</v>
      </c>
      <c r="D2384" s="36" t="s">
        <v>93</v>
      </c>
      <c r="E2384" s="37">
        <v>1.05</v>
      </c>
      <c r="F2384" s="34">
        <v>1.159</v>
      </c>
      <c r="G2384" s="34">
        <f>IF(ISNUMBER(F2384),E2384*F2384,"")</f>
        <v>1.21695</v>
      </c>
      <c r="H2384" s="35"/>
      <c r="I2384" s="31"/>
      <c r="J2384" s="155">
        <v>0</v>
      </c>
    </row>
    <row r="2385" spans="1:10" ht="15.75" hidden="1" thickBot="1" x14ac:dyDescent="0.3">
      <c r="A2385" s="182"/>
      <c r="B2385" s="188"/>
      <c r="C2385" s="36"/>
      <c r="D2385" s="36"/>
      <c r="E2385" s="37"/>
      <c r="F2385" s="34" t="s">
        <v>558</v>
      </c>
      <c r="G2385" s="34" t="str">
        <f>IF(ISNUMBER(F2385),E2385*F2385,"")</f>
        <v/>
      </c>
      <c r="H2385" s="35"/>
      <c r="I2385" s="31"/>
      <c r="J2385" s="155">
        <v>0</v>
      </c>
    </row>
    <row r="2386" spans="1:10" ht="15.75" hidden="1" thickBot="1" x14ac:dyDescent="0.3">
      <c r="A2386" s="180" t="s">
        <v>773</v>
      </c>
      <c r="B2386" s="186" t="str">
        <f>INDEX(Orçamentária!A:B,MATCH(Composições!A2386,Orçamentária!A:A,0),2)</f>
        <v>Módulo (tomada) de rede RJ45, para telefonia</v>
      </c>
      <c r="C2386" s="41"/>
      <c r="D2386" s="26" t="str">
        <f>TRIM(INDEX(Orçamentária!C:C,MATCH(Composições!A2386,Orçamentária!A:A,0),1))</f>
        <v>un</v>
      </c>
      <c r="E2386" s="27"/>
      <c r="F2386" s="42" t="s">
        <v>558</v>
      </c>
      <c r="G2386" s="28" t="str">
        <f>IF(ISNUMBER(F2386),E2386*F2386,"")</f>
        <v/>
      </c>
      <c r="H2386" s="29"/>
      <c r="I2386" s="30"/>
      <c r="J2386" s="155">
        <v>0</v>
      </c>
    </row>
    <row r="2387" spans="1:10" ht="15.75" hidden="1" thickBot="1" x14ac:dyDescent="0.3">
      <c r="A2387" s="200"/>
      <c r="B2387" s="202"/>
      <c r="C2387" s="32"/>
      <c r="D2387" s="32"/>
      <c r="E2387" s="33"/>
      <c r="F2387" s="43" t="s">
        <v>558</v>
      </c>
      <c r="G2387" s="34" t="str">
        <f>IF(ISNUMBER(F2387),E2387*F2387,"")</f>
        <v/>
      </c>
      <c r="H2387" s="35"/>
      <c r="I2387" s="31"/>
      <c r="J2387" s="155">
        <v>0</v>
      </c>
    </row>
    <row r="2388" spans="1:10" ht="26.25" hidden="1" thickBot="1" x14ac:dyDescent="0.3">
      <c r="A2388" s="200"/>
      <c r="B2388" s="202"/>
      <c r="C2388" s="36" t="s">
        <v>774</v>
      </c>
      <c r="D2388" s="36" t="s">
        <v>147</v>
      </c>
      <c r="E2388" s="37">
        <v>1</v>
      </c>
      <c r="F2388" s="34" t="s">
        <v>558</v>
      </c>
      <c r="G2388" s="34" t="str">
        <f>IF(ISNUMBER(F2388),E2388*F2388,"")</f>
        <v/>
      </c>
      <c r="H2388" s="39">
        <f>SUM(G2388:G2391)</f>
        <v>35.514427599999998</v>
      </c>
      <c r="I2388" s="40"/>
      <c r="J2388" s="155">
        <v>0</v>
      </c>
    </row>
    <row r="2389" spans="1:10" ht="15.75" hidden="1" thickBot="1" x14ac:dyDescent="0.3">
      <c r="A2389" s="200"/>
      <c r="B2389" s="202"/>
      <c r="C2389" s="36" t="s">
        <v>775</v>
      </c>
      <c r="D2389" s="36" t="s">
        <v>292</v>
      </c>
      <c r="E2389" s="37">
        <v>1</v>
      </c>
      <c r="F2389" s="34">
        <v>27.122499999999999</v>
      </c>
      <c r="G2389" s="34">
        <f>IF(ISNUMBER(F2389),E2389*F2389,"")</f>
        <v>27.122499999999999</v>
      </c>
      <c r="H2389" s="35"/>
      <c r="I2389" s="31"/>
      <c r="J2389" s="155">
        <v>0</v>
      </c>
    </row>
    <row r="2390" spans="1:10" ht="15.75" hidden="1" thickBot="1" x14ac:dyDescent="0.3">
      <c r="A2390" s="200"/>
      <c r="B2390" s="202"/>
      <c r="C2390" s="36" t="s">
        <v>74</v>
      </c>
      <c r="D2390" s="47" t="s">
        <v>12</v>
      </c>
      <c r="E2390" s="37">
        <v>0.20619999999999999</v>
      </c>
      <c r="F2390" s="31">
        <v>17.802999999999997</v>
      </c>
      <c r="G2390" s="34">
        <f>IF(ISNUMBER(F2390),E2390*F2390,"")</f>
        <v>3.6709785999999993</v>
      </c>
      <c r="H2390" s="35"/>
      <c r="I2390" s="31"/>
      <c r="J2390" s="155">
        <v>0</v>
      </c>
    </row>
    <row r="2391" spans="1:10" ht="15.75" hidden="1" thickBot="1" x14ac:dyDescent="0.3">
      <c r="A2391" s="200"/>
      <c r="B2391" s="202"/>
      <c r="C2391" s="36" t="s">
        <v>30</v>
      </c>
      <c r="D2391" s="36" t="s">
        <v>12</v>
      </c>
      <c r="E2391" s="37">
        <v>0.20619999999999999</v>
      </c>
      <c r="F2391" s="31">
        <v>22.895</v>
      </c>
      <c r="G2391" s="34">
        <f>IF(ISNUMBER(F2391),E2391*F2391,"")</f>
        <v>4.7209490000000001</v>
      </c>
      <c r="H2391" s="35"/>
      <c r="I2391" s="31"/>
      <c r="J2391" s="155">
        <v>0</v>
      </c>
    </row>
    <row r="2392" spans="1:10" ht="15.75" hidden="1" thickBot="1" x14ac:dyDescent="0.3">
      <c r="A2392" s="201"/>
      <c r="B2392" s="188"/>
      <c r="C2392" s="36"/>
      <c r="D2392" s="36"/>
      <c r="E2392" s="37"/>
      <c r="F2392" s="31" t="s">
        <v>558</v>
      </c>
      <c r="G2392" s="34" t="str">
        <f>IF(ISNUMBER(F2392),E2392*F2392,"")</f>
        <v/>
      </c>
      <c r="H2392" s="35"/>
      <c r="I2392" s="31"/>
      <c r="J2392" s="155">
        <v>0</v>
      </c>
    </row>
    <row r="2393" spans="1:10" ht="15.75" hidden="1" thickBot="1" x14ac:dyDescent="0.3">
      <c r="A2393" s="180" t="s">
        <v>776</v>
      </c>
      <c r="B2393" s="186" t="str">
        <f>INDEX(Orçamentária!A:B,MATCH(Composições!A2393,Orçamentária!A:A,0),2)</f>
        <v>Grelha para retorno para portas, divisórias e paredes 525x325 mm</v>
      </c>
      <c r="C2393" s="41"/>
      <c r="D2393" s="26" t="str">
        <f>TRIM(INDEX(Orçamentária!C:C,MATCH(Composições!A2393,Orçamentária!A:A,0),1))</f>
        <v>un</v>
      </c>
      <c r="E2393" s="27"/>
      <c r="F2393" s="42" t="s">
        <v>558</v>
      </c>
      <c r="G2393" s="28" t="str">
        <f>IF(ISNUMBER(F2393),E2393*F2393,"")</f>
        <v/>
      </c>
      <c r="H2393" s="29"/>
      <c r="I2393" s="30"/>
      <c r="J2393" s="155">
        <v>0</v>
      </c>
    </row>
    <row r="2394" spans="1:10" ht="15.75" hidden="1" thickBot="1" x14ac:dyDescent="0.3">
      <c r="A2394" s="200"/>
      <c r="B2394" s="202"/>
      <c r="C2394" s="32"/>
      <c r="D2394" s="32"/>
      <c r="E2394" s="33"/>
      <c r="F2394" s="43" t="s">
        <v>558</v>
      </c>
      <c r="G2394" s="34" t="str">
        <f>IF(ISNUMBER(F2394),E2394*F2394,"")</f>
        <v/>
      </c>
      <c r="H2394" s="35"/>
      <c r="I2394" s="31"/>
      <c r="J2394" s="155">
        <v>0</v>
      </c>
    </row>
    <row r="2395" spans="1:10" ht="15.75" hidden="1" thickBot="1" x14ac:dyDescent="0.3">
      <c r="A2395" s="200"/>
      <c r="B2395" s="202"/>
      <c r="C2395" s="36" t="s">
        <v>52</v>
      </c>
      <c r="D2395" s="47" t="s">
        <v>12</v>
      </c>
      <c r="E2395" s="37">
        <v>3.5</v>
      </c>
      <c r="F2395" s="31">
        <v>17.898</v>
      </c>
      <c r="G2395" s="34">
        <f>IF(ISNUMBER(F2395),E2395*F2395,"")</f>
        <v>62.643000000000001</v>
      </c>
      <c r="H2395" s="39">
        <f>SUM(G2395:G2397)</f>
        <v>145.70150000000001</v>
      </c>
      <c r="I2395" s="40"/>
      <c r="J2395" s="155">
        <v>0</v>
      </c>
    </row>
    <row r="2396" spans="1:10" ht="26.25" hidden="1" thickBot="1" x14ac:dyDescent="0.3">
      <c r="A2396" s="200"/>
      <c r="B2396" s="202"/>
      <c r="C2396" s="36" t="s">
        <v>606</v>
      </c>
      <c r="D2396" s="47" t="s">
        <v>12</v>
      </c>
      <c r="E2396" s="37">
        <v>3.5</v>
      </c>
      <c r="F2396" s="31">
        <v>23.730999999999998</v>
      </c>
      <c r="G2396" s="34">
        <f>IF(ISNUMBER(F2396),E2396*F2396,"")</f>
        <v>83.058499999999995</v>
      </c>
      <c r="H2396" s="35"/>
      <c r="I2396" s="31"/>
      <c r="J2396" s="155">
        <v>0</v>
      </c>
    </row>
    <row r="2397" spans="1:10" ht="26.25" hidden="1" thickBot="1" x14ac:dyDescent="0.3">
      <c r="A2397" s="200"/>
      <c r="B2397" s="202"/>
      <c r="C2397" s="36" t="s">
        <v>777</v>
      </c>
      <c r="D2397" s="36" t="s">
        <v>147</v>
      </c>
      <c r="E2397" s="37">
        <v>1</v>
      </c>
      <c r="F2397" s="34" t="s">
        <v>558</v>
      </c>
      <c r="G2397" s="34" t="str">
        <f>IF(ISNUMBER(F2397),E2397*F2397,"")</f>
        <v/>
      </c>
      <c r="H2397" s="35"/>
      <c r="I2397" s="31"/>
      <c r="J2397" s="155">
        <v>0</v>
      </c>
    </row>
    <row r="2398" spans="1:10" ht="15.75" hidden="1" thickBot="1" x14ac:dyDescent="0.3">
      <c r="A2398" s="201"/>
      <c r="B2398" s="188"/>
      <c r="C2398" s="36"/>
      <c r="D2398" s="36"/>
      <c r="E2398" s="37"/>
      <c r="F2398" s="31" t="s">
        <v>558</v>
      </c>
      <c r="G2398" s="34" t="str">
        <f>IF(ISNUMBER(F2398),E2398*F2398,"")</f>
        <v/>
      </c>
      <c r="H2398" s="35"/>
      <c r="I2398" s="31"/>
      <c r="J2398" s="155">
        <v>0</v>
      </c>
    </row>
    <row r="2399" spans="1:10" ht="15.75" hidden="1" thickBot="1" x14ac:dyDescent="0.3">
      <c r="A2399" s="180" t="s">
        <v>1945</v>
      </c>
      <c r="B2399" s="186" t="str">
        <f>INDEX(Orçamentária!A:B,MATCH(Composições!A2399,Orçamentária!A:A,0),2)</f>
        <v>Dobradiça para porta com anel</v>
      </c>
      <c r="C2399" s="41"/>
      <c r="D2399" s="26" t="str">
        <f>TRIM(INDEX(Orçamentária!C:C,MATCH(Composições!A2399,Orçamentária!A:A,0),1))</f>
        <v>un</v>
      </c>
      <c r="E2399" s="27"/>
      <c r="F2399" s="42" t="s">
        <v>558</v>
      </c>
      <c r="G2399" s="28" t="str">
        <f>IF(ISNUMBER(F2399),E2399*F2399,"")</f>
        <v/>
      </c>
      <c r="H2399" s="29"/>
      <c r="I2399" s="30"/>
      <c r="J2399" s="155">
        <v>0</v>
      </c>
    </row>
    <row r="2400" spans="1:10" ht="15.75" hidden="1" thickBot="1" x14ac:dyDescent="0.3">
      <c r="A2400" s="200"/>
      <c r="B2400" s="202"/>
      <c r="C2400" s="32"/>
      <c r="D2400" s="32"/>
      <c r="E2400" s="33"/>
      <c r="F2400" s="43" t="s">
        <v>558</v>
      </c>
      <c r="G2400" s="34" t="str">
        <f>IF(ISNUMBER(F2400),E2400*F2400,"")</f>
        <v/>
      </c>
      <c r="H2400" s="35"/>
      <c r="I2400" s="31"/>
      <c r="J2400" s="155">
        <v>0</v>
      </c>
    </row>
    <row r="2401" spans="1:10" ht="26.25" hidden="1" thickBot="1" x14ac:dyDescent="0.3">
      <c r="A2401" s="200"/>
      <c r="B2401" s="202"/>
      <c r="C2401" s="36" t="s">
        <v>3386</v>
      </c>
      <c r="D2401" s="36" t="s">
        <v>292</v>
      </c>
      <c r="E2401" s="37">
        <v>1</v>
      </c>
      <c r="F2401" s="31">
        <v>14.287999999999998</v>
      </c>
      <c r="G2401" s="34">
        <f>IF(ISNUMBER(F2401),E2401*F2401,"")</f>
        <v>14.287999999999998</v>
      </c>
      <c r="H2401" s="39">
        <f>SUM(G2401:G2401)</f>
        <v>14.287999999999998</v>
      </c>
      <c r="I2401" s="40"/>
      <c r="J2401" s="155">
        <v>0</v>
      </c>
    </row>
    <row r="2402" spans="1:10" ht="15.75" hidden="1" thickBot="1" x14ac:dyDescent="0.3">
      <c r="A2402" s="201"/>
      <c r="B2402" s="188"/>
      <c r="C2402" s="36"/>
      <c r="D2402" s="36"/>
      <c r="E2402" s="37"/>
      <c r="F2402" s="31" t="s">
        <v>558</v>
      </c>
      <c r="G2402" s="34" t="str">
        <f>IF(ISNUMBER(F2402),E2402*F2402,"")</f>
        <v/>
      </c>
      <c r="H2402" s="35"/>
      <c r="I2402" s="31"/>
      <c r="J2402" s="155">
        <v>0</v>
      </c>
    </row>
    <row r="2403" spans="1:10" ht="15.75" hidden="1" thickBot="1" x14ac:dyDescent="0.3">
      <c r="A2403" s="180" t="s">
        <v>1949</v>
      </c>
      <c r="B2403" s="186" t="str">
        <f>INDEX(Orçamentária!A:B,MATCH(Composições!A2403,Orçamentária!A:A,0),2)</f>
        <v>Fechadura para porta externa maçaneta em barra (fornecimento)</v>
      </c>
      <c r="C2403" s="41"/>
      <c r="D2403" s="26" t="str">
        <f>TRIM(INDEX(Orçamentária!C:C,MATCH(Composições!A2403,Orçamentária!A:A,0),1))</f>
        <v>un</v>
      </c>
      <c r="E2403" s="27"/>
      <c r="F2403" s="42" t="s">
        <v>558</v>
      </c>
      <c r="G2403" s="28" t="str">
        <f>IF(ISNUMBER(F2403),E2403*F2403,"")</f>
        <v/>
      </c>
      <c r="H2403" s="29"/>
      <c r="I2403" s="30"/>
      <c r="J2403" s="155">
        <v>0</v>
      </c>
    </row>
    <row r="2404" spans="1:10" ht="15.75" hidden="1" thickBot="1" x14ac:dyDescent="0.3">
      <c r="A2404" s="200"/>
      <c r="B2404" s="202"/>
      <c r="C2404" s="32"/>
      <c r="D2404" s="32"/>
      <c r="E2404" s="33"/>
      <c r="F2404" s="43" t="s">
        <v>558</v>
      </c>
      <c r="G2404" s="34" t="str">
        <f>IF(ISNUMBER(F2404),E2404*F2404,"")</f>
        <v/>
      </c>
      <c r="H2404" s="35"/>
      <c r="I2404" s="31"/>
      <c r="J2404" s="155">
        <v>0</v>
      </c>
    </row>
    <row r="2405" spans="1:10" ht="51.75" hidden="1" thickBot="1" x14ac:dyDescent="0.3">
      <c r="A2405" s="200"/>
      <c r="B2405" s="202"/>
      <c r="C2405" s="36" t="s">
        <v>3816</v>
      </c>
      <c r="D2405" s="47" t="s">
        <v>779</v>
      </c>
      <c r="E2405" s="37">
        <v>1</v>
      </c>
      <c r="F2405" s="31">
        <v>54.529999999999994</v>
      </c>
      <c r="G2405" s="34">
        <f>IF(ISNUMBER(F2405),E2405*F2405,"")</f>
        <v>54.529999999999994</v>
      </c>
      <c r="H2405" s="39">
        <f>SUM(G2405:G2405)</f>
        <v>54.529999999999994</v>
      </c>
      <c r="I2405" s="40"/>
      <c r="J2405" s="155">
        <v>0</v>
      </c>
    </row>
    <row r="2406" spans="1:10" ht="15.75" hidden="1" thickBot="1" x14ac:dyDescent="0.3">
      <c r="A2406" s="201"/>
      <c r="B2406" s="188"/>
      <c r="C2406" s="36"/>
      <c r="D2406" s="36"/>
      <c r="E2406" s="37"/>
      <c r="F2406" s="31" t="s">
        <v>558</v>
      </c>
      <c r="G2406" s="34" t="str">
        <f>IF(ISNUMBER(F2406),E2406*F2406,"")</f>
        <v/>
      </c>
      <c r="H2406" s="35"/>
      <c r="I2406" s="31"/>
      <c r="J2406" s="155">
        <v>0</v>
      </c>
    </row>
    <row r="2407" spans="1:10" ht="15.75" hidden="1" thickBot="1" x14ac:dyDescent="0.3">
      <c r="A2407" s="180" t="s">
        <v>778</v>
      </c>
      <c r="B2407" s="186" t="str">
        <f>INDEX(Orçamentária!A:B,MATCH(Composições!A2407,Orçamentária!A:A,0),2)</f>
        <v>Fechadura para Porta Externa com Espelho - Millenio</v>
      </c>
      <c r="C2407" s="41"/>
      <c r="D2407" s="26" t="str">
        <f>TRIM(INDEX(Orçamentária!C:C,MATCH(Composições!A2407,Orçamentária!A:A,0),1))</f>
        <v>un</v>
      </c>
      <c r="E2407" s="27"/>
      <c r="F2407" s="42" t="s">
        <v>558</v>
      </c>
      <c r="G2407" s="28" t="str">
        <f>IF(ISNUMBER(F2407),E2407*F2407,"")</f>
        <v/>
      </c>
      <c r="H2407" s="29"/>
      <c r="I2407" s="30"/>
      <c r="J2407" s="155">
        <v>0</v>
      </c>
    </row>
    <row r="2408" spans="1:10" ht="15.75" hidden="1" thickBot="1" x14ac:dyDescent="0.3">
      <c r="A2408" s="200"/>
      <c r="B2408" s="202"/>
      <c r="C2408" s="32"/>
      <c r="D2408" s="32"/>
      <c r="E2408" s="33"/>
      <c r="F2408" s="43" t="s">
        <v>558</v>
      </c>
      <c r="G2408" s="34" t="str">
        <f>IF(ISNUMBER(F2408),E2408*F2408,"")</f>
        <v/>
      </c>
      <c r="H2408" s="35"/>
      <c r="I2408" s="31"/>
      <c r="J2408" s="155">
        <v>0</v>
      </c>
    </row>
    <row r="2409" spans="1:10" ht="51.75" hidden="1" thickBot="1" x14ac:dyDescent="0.3">
      <c r="A2409" s="200"/>
      <c r="B2409" s="202"/>
      <c r="C2409" s="36" t="s">
        <v>3817</v>
      </c>
      <c r="D2409" s="47" t="s">
        <v>779</v>
      </c>
      <c r="E2409" s="37">
        <v>1</v>
      </c>
      <c r="F2409" s="31">
        <v>70.86999999999999</v>
      </c>
      <c r="G2409" s="34">
        <f>IF(ISNUMBER(F2409),E2409*F2409,"")</f>
        <v>70.86999999999999</v>
      </c>
      <c r="H2409" s="39">
        <f>SUM(G2409:G2409)</f>
        <v>70.86999999999999</v>
      </c>
      <c r="I2409" s="40"/>
      <c r="J2409" s="155">
        <v>0</v>
      </c>
    </row>
    <row r="2410" spans="1:10" ht="15.75" hidden="1" thickBot="1" x14ac:dyDescent="0.3">
      <c r="A2410" s="201"/>
      <c r="B2410" s="188"/>
      <c r="C2410" s="36"/>
      <c r="D2410" s="36"/>
      <c r="E2410" s="37"/>
      <c r="F2410" s="31" t="s">
        <v>558</v>
      </c>
      <c r="G2410" s="34" t="str">
        <f>IF(ISNUMBER(F2410),E2410*F2410,"")</f>
        <v/>
      </c>
      <c r="H2410" s="35"/>
      <c r="I2410" s="31"/>
      <c r="J2410" s="155">
        <v>0</v>
      </c>
    </row>
    <row r="2411" spans="1:10" ht="15.75" hidden="1" thickBot="1" x14ac:dyDescent="0.3">
      <c r="A2411" s="180" t="s">
        <v>1952</v>
      </c>
      <c r="B2411" s="186" t="str">
        <f>INDEX(Orçamentária!A:B,MATCH(Composições!A2411,Orçamentária!A:A,0),2)</f>
        <v>Fechadura para Porta de Banheiro com Espelho - Millenio</v>
      </c>
      <c r="C2411" s="41"/>
      <c r="D2411" s="26" t="str">
        <f>TRIM(INDEX(Orçamentária!C:C,MATCH(Composições!A2411,Orçamentária!A:A,0),1))</f>
        <v>un</v>
      </c>
      <c r="E2411" s="27"/>
      <c r="F2411" s="42" t="s">
        <v>558</v>
      </c>
      <c r="G2411" s="28" t="str">
        <f>IF(ISNUMBER(F2411),E2411*F2411,"")</f>
        <v/>
      </c>
      <c r="H2411" s="29"/>
      <c r="I2411" s="30"/>
      <c r="J2411" s="155">
        <v>0</v>
      </c>
    </row>
    <row r="2412" spans="1:10" ht="15.75" hidden="1" thickBot="1" x14ac:dyDescent="0.3">
      <c r="A2412" s="200"/>
      <c r="B2412" s="202"/>
      <c r="C2412" s="32"/>
      <c r="D2412" s="32"/>
      <c r="E2412" s="33"/>
      <c r="F2412" s="43" t="s">
        <v>558</v>
      </c>
      <c r="G2412" s="34" t="str">
        <f>IF(ISNUMBER(F2412),E2412*F2412,"")</f>
        <v/>
      </c>
      <c r="H2412" s="35"/>
      <c r="I2412" s="31"/>
      <c r="J2412" s="155">
        <v>0</v>
      </c>
    </row>
    <row r="2413" spans="1:10" ht="51.75" hidden="1" thickBot="1" x14ac:dyDescent="0.3">
      <c r="A2413" s="200"/>
      <c r="B2413" s="202"/>
      <c r="C2413" s="36" t="s">
        <v>3815</v>
      </c>
      <c r="D2413" s="47" t="s">
        <v>779</v>
      </c>
      <c r="E2413" s="37">
        <v>1</v>
      </c>
      <c r="F2413" s="31">
        <v>42.8735</v>
      </c>
      <c r="G2413" s="34">
        <f>IF(ISNUMBER(F2413),E2413*F2413,"")</f>
        <v>42.8735</v>
      </c>
      <c r="H2413" s="39">
        <f>SUM(G2413:G2413)</f>
        <v>42.8735</v>
      </c>
      <c r="I2413" s="40"/>
      <c r="J2413" s="155">
        <v>0</v>
      </c>
    </row>
    <row r="2414" spans="1:10" ht="15.75" hidden="1" thickBot="1" x14ac:dyDescent="0.3">
      <c r="A2414" s="201"/>
      <c r="B2414" s="188"/>
      <c r="C2414" s="36"/>
      <c r="D2414" s="36"/>
      <c r="E2414" s="37"/>
      <c r="F2414" s="31" t="s">
        <v>558</v>
      </c>
      <c r="G2414" s="34" t="str">
        <f>IF(ISNUMBER(F2414),E2414*F2414,"")</f>
        <v/>
      </c>
      <c r="H2414" s="35"/>
      <c r="I2414" s="31"/>
      <c r="J2414" s="155">
        <v>0</v>
      </c>
    </row>
    <row r="2415" spans="1:10" ht="15.75" hidden="1" thickBot="1" x14ac:dyDescent="0.3">
      <c r="A2415" s="180" t="s">
        <v>1956</v>
      </c>
      <c r="B2415" s="186" t="str">
        <f>INDEX(Orçamentária!A:B,MATCH(Composições!A2415,Orçamentária!A:A,0),2)</f>
        <v>Tarjeta Livre / Ocupado para portas de banheiro</v>
      </c>
      <c r="C2415" s="41"/>
      <c r="D2415" s="26" t="str">
        <f>TRIM(INDEX(Orçamentária!C:C,MATCH(Composições!A2415,Orçamentária!A:A,0),1))</f>
        <v>un</v>
      </c>
      <c r="E2415" s="27"/>
      <c r="F2415" s="42" t="s">
        <v>558</v>
      </c>
      <c r="G2415" s="28" t="str">
        <f>IF(ISNUMBER(F2415),E2415*F2415,"")</f>
        <v/>
      </c>
      <c r="H2415" s="29"/>
      <c r="I2415" s="30"/>
      <c r="J2415" s="155">
        <v>0</v>
      </c>
    </row>
    <row r="2416" spans="1:10" ht="15.75" hidden="1" thickBot="1" x14ac:dyDescent="0.3">
      <c r="A2416" s="200"/>
      <c r="B2416" s="202"/>
      <c r="C2416" s="32"/>
      <c r="D2416" s="32"/>
      <c r="E2416" s="33"/>
      <c r="F2416" s="43" t="s">
        <v>558</v>
      </c>
      <c r="G2416" s="34" t="str">
        <f>IF(ISNUMBER(F2416),E2416*F2416,"")</f>
        <v/>
      </c>
      <c r="H2416" s="35"/>
      <c r="I2416" s="31"/>
      <c r="J2416" s="155">
        <v>0</v>
      </c>
    </row>
    <row r="2417" spans="1:10" ht="26.25" hidden="1" thickBot="1" x14ac:dyDescent="0.3">
      <c r="A2417" s="200"/>
      <c r="B2417" s="202"/>
      <c r="C2417" s="36" t="s">
        <v>3828</v>
      </c>
      <c r="D2417" s="36" t="s">
        <v>292</v>
      </c>
      <c r="E2417" s="37">
        <v>1</v>
      </c>
      <c r="F2417" s="31">
        <v>38.930999999999997</v>
      </c>
      <c r="G2417" s="34">
        <f>IF(ISNUMBER(F2417),E2417*F2417,"")</f>
        <v>38.930999999999997</v>
      </c>
      <c r="H2417" s="39">
        <f>SUM(G2417:G2417)</f>
        <v>38.930999999999997</v>
      </c>
      <c r="I2417" s="40"/>
      <c r="J2417" s="155">
        <v>0</v>
      </c>
    </row>
    <row r="2418" spans="1:10" ht="15.75" hidden="1" thickBot="1" x14ac:dyDescent="0.3">
      <c r="A2418" s="201"/>
      <c r="B2418" s="188"/>
      <c r="C2418" s="36"/>
      <c r="D2418" s="36"/>
      <c r="E2418" s="37"/>
      <c r="F2418" s="31" t="s">
        <v>558</v>
      </c>
      <c r="G2418" s="34" t="str">
        <f>IF(ISNUMBER(F2418),E2418*F2418,"")</f>
        <v/>
      </c>
      <c r="H2418" s="35"/>
      <c r="I2418" s="31"/>
      <c r="J2418" s="155">
        <v>0</v>
      </c>
    </row>
    <row r="2419" spans="1:10" ht="15.75" hidden="1" thickBot="1" x14ac:dyDescent="0.3">
      <c r="A2419" s="180" t="s">
        <v>1962</v>
      </c>
      <c r="B2419" s="186" t="str">
        <f>INDEX(Orçamentária!A:B,MATCH(Composições!A2419,Orçamentária!A:A,0),2)</f>
        <v>Fechadura de embutir para armário e gaveta</v>
      </c>
      <c r="C2419" s="41"/>
      <c r="D2419" s="26" t="str">
        <f>TRIM(INDEX(Orçamentária!C:C,MATCH(Composições!A2419,Orçamentária!A:A,0),1))</f>
        <v>un</v>
      </c>
      <c r="E2419" s="27"/>
      <c r="F2419" s="42" t="s">
        <v>558</v>
      </c>
      <c r="G2419" s="28" t="str">
        <f>IF(ISNUMBER(F2419),E2419*F2419,"")</f>
        <v/>
      </c>
      <c r="H2419" s="29"/>
      <c r="I2419" s="30"/>
      <c r="J2419" s="155">
        <v>0</v>
      </c>
    </row>
    <row r="2420" spans="1:10" ht="15.75" hidden="1" thickBot="1" x14ac:dyDescent="0.3">
      <c r="A2420" s="200"/>
      <c r="B2420" s="202"/>
      <c r="C2420" s="32"/>
      <c r="D2420" s="32"/>
      <c r="E2420" s="33"/>
      <c r="F2420" s="43" t="s">
        <v>558</v>
      </c>
      <c r="G2420" s="34" t="str">
        <f>IF(ISNUMBER(F2420),E2420*F2420,"")</f>
        <v/>
      </c>
      <c r="H2420" s="35"/>
      <c r="I2420" s="31"/>
      <c r="J2420" s="155">
        <v>0</v>
      </c>
    </row>
    <row r="2421" spans="1:10" ht="39" hidden="1" thickBot="1" x14ac:dyDescent="0.3">
      <c r="A2421" s="200"/>
      <c r="B2421" s="202"/>
      <c r="C2421" s="36" t="s">
        <v>3813</v>
      </c>
      <c r="D2421" s="36" t="s">
        <v>292</v>
      </c>
      <c r="E2421" s="37">
        <v>1</v>
      </c>
      <c r="F2421" s="31">
        <v>10.773</v>
      </c>
      <c r="G2421" s="34">
        <f>IF(ISNUMBER(F2421),E2421*F2421,"")</f>
        <v>10.773</v>
      </c>
      <c r="H2421" s="39">
        <f>SUM(G2421:G2421)</f>
        <v>10.773</v>
      </c>
      <c r="I2421" s="40"/>
      <c r="J2421" s="155">
        <v>0</v>
      </c>
    </row>
    <row r="2422" spans="1:10" ht="39" hidden="1" thickBot="1" x14ac:dyDescent="0.3">
      <c r="A2422" s="201"/>
      <c r="B2422" s="188"/>
      <c r="C2422" s="36" t="s">
        <v>3814</v>
      </c>
      <c r="D2422" s="36"/>
      <c r="E2422" s="37"/>
      <c r="F2422" s="31" t="s">
        <v>558</v>
      </c>
      <c r="G2422" s="34" t="str">
        <f>IF(ISNUMBER(F2422),E2422*F2422,"")</f>
        <v/>
      </c>
      <c r="H2422" s="35"/>
      <c r="I2422" s="31"/>
      <c r="J2422" s="155">
        <v>0</v>
      </c>
    </row>
    <row r="2423" spans="1:10" ht="15.75" hidden="1" thickBot="1" x14ac:dyDescent="0.3">
      <c r="A2423" s="180" t="s">
        <v>1964</v>
      </c>
      <c r="B2423" s="186" t="str">
        <f>INDEX(Orçamentária!A:B,MATCH(Composições!A2423,Orçamentária!A:A,0),2)</f>
        <v>Fechadura de embutir para móveis – Fechamento Superior - Referência 861</v>
      </c>
      <c r="C2423" s="41"/>
      <c r="D2423" s="26" t="str">
        <f>TRIM(INDEX(Orçamentária!C:C,MATCH(Composições!A2423,Orçamentária!A:A,0),1))</f>
        <v>un</v>
      </c>
      <c r="E2423" s="27"/>
      <c r="F2423" s="42" t="s">
        <v>558</v>
      </c>
      <c r="G2423" s="28" t="str">
        <f>IF(ISNUMBER(F2423),E2423*F2423,"")</f>
        <v/>
      </c>
      <c r="H2423" s="29"/>
      <c r="I2423" s="30"/>
      <c r="J2423" s="155">
        <v>0</v>
      </c>
    </row>
    <row r="2424" spans="1:10" ht="15.75" hidden="1" thickBot="1" x14ac:dyDescent="0.3">
      <c r="A2424" s="200"/>
      <c r="B2424" s="202"/>
      <c r="C2424" s="32"/>
      <c r="D2424" s="32"/>
      <c r="E2424" s="33"/>
      <c r="F2424" s="43" t="s">
        <v>558</v>
      </c>
      <c r="G2424" s="34" t="str">
        <f>IF(ISNUMBER(F2424),E2424*F2424,"")</f>
        <v/>
      </c>
      <c r="H2424" s="35"/>
      <c r="I2424" s="31"/>
      <c r="J2424" s="155">
        <v>0</v>
      </c>
    </row>
    <row r="2425" spans="1:10" ht="51.75" hidden="1" thickBot="1" x14ac:dyDescent="0.3">
      <c r="A2425" s="200"/>
      <c r="B2425" s="202"/>
      <c r="C2425" s="36" t="s">
        <v>3812</v>
      </c>
      <c r="D2425" s="36" t="s">
        <v>292</v>
      </c>
      <c r="E2425" s="37">
        <v>1</v>
      </c>
      <c r="F2425" s="31">
        <v>10.763499999999999</v>
      </c>
      <c r="G2425" s="34">
        <f>IF(ISNUMBER(F2425),E2425*F2425,"")</f>
        <v>10.763499999999999</v>
      </c>
      <c r="H2425" s="39">
        <f>SUM(G2425:G2425)</f>
        <v>10.763499999999999</v>
      </c>
      <c r="I2425" s="40"/>
      <c r="J2425" s="155">
        <v>0</v>
      </c>
    </row>
    <row r="2426" spans="1:10" ht="15.75" hidden="1" thickBot="1" x14ac:dyDescent="0.3">
      <c r="A2426" s="201"/>
      <c r="B2426" s="188"/>
      <c r="C2426" s="36"/>
      <c r="D2426" s="36"/>
      <c r="E2426" s="37"/>
      <c r="F2426" s="31" t="s">
        <v>558</v>
      </c>
      <c r="G2426" s="34" t="str">
        <f>IF(ISNUMBER(F2426),E2426*F2426,"")</f>
        <v/>
      </c>
      <c r="H2426" s="35"/>
      <c r="I2426" s="31"/>
      <c r="J2426" s="155">
        <v>0</v>
      </c>
    </row>
    <row r="2427" spans="1:10" ht="15.75" hidden="1" thickBot="1" x14ac:dyDescent="0.3">
      <c r="A2427" s="180" t="s">
        <v>1966</v>
      </c>
      <c r="B2427" s="186" t="str">
        <f>INDEX(Orçamentária!A:B,MATCH(Composições!A2427,Orçamentária!A:A,0),2)</f>
        <v>Fechadura de embutir para móveis – Fechamento lateral - Referência 871</v>
      </c>
      <c r="C2427" s="41"/>
      <c r="D2427" s="26" t="str">
        <f>TRIM(INDEX(Orçamentária!C:C,MATCH(Composições!A2427,Orçamentária!A:A,0),1))</f>
        <v>un</v>
      </c>
      <c r="E2427" s="27"/>
      <c r="F2427" s="42" t="s">
        <v>558</v>
      </c>
      <c r="G2427" s="28" t="str">
        <f>IF(ISNUMBER(F2427),E2427*F2427,"")</f>
        <v/>
      </c>
      <c r="H2427" s="29"/>
      <c r="I2427" s="30"/>
      <c r="J2427" s="155">
        <v>0</v>
      </c>
    </row>
    <row r="2428" spans="1:10" ht="15.75" hidden="1" thickBot="1" x14ac:dyDescent="0.3">
      <c r="A2428" s="200"/>
      <c r="B2428" s="202"/>
      <c r="C2428" s="32"/>
      <c r="D2428" s="32"/>
      <c r="E2428" s="33"/>
      <c r="F2428" s="43" t="s">
        <v>558</v>
      </c>
      <c r="G2428" s="34" t="str">
        <f>IF(ISNUMBER(F2428),E2428*F2428,"")</f>
        <v/>
      </c>
      <c r="H2428" s="35"/>
      <c r="I2428" s="31"/>
      <c r="J2428" s="155">
        <v>0</v>
      </c>
    </row>
    <row r="2429" spans="1:10" ht="51.75" hidden="1" thickBot="1" x14ac:dyDescent="0.3">
      <c r="A2429" s="200"/>
      <c r="B2429" s="202"/>
      <c r="C2429" s="36" t="s">
        <v>3812</v>
      </c>
      <c r="D2429" s="36" t="s">
        <v>292</v>
      </c>
      <c r="E2429" s="37">
        <v>1</v>
      </c>
      <c r="F2429" s="31">
        <v>10.763499999999999</v>
      </c>
      <c r="G2429" s="34">
        <f>IF(ISNUMBER(F2429),E2429*F2429,"")</f>
        <v>10.763499999999999</v>
      </c>
      <c r="H2429" s="39">
        <f>SUM(G2429:G2429)</f>
        <v>10.763499999999999</v>
      </c>
      <c r="I2429" s="40"/>
      <c r="J2429" s="155">
        <v>0</v>
      </c>
    </row>
    <row r="2430" spans="1:10" ht="15.75" hidden="1" thickBot="1" x14ac:dyDescent="0.3">
      <c r="A2430" s="201"/>
      <c r="B2430" s="188"/>
      <c r="C2430" s="36"/>
      <c r="D2430" s="36"/>
      <c r="E2430" s="37"/>
      <c r="F2430" s="31" t="s">
        <v>558</v>
      </c>
      <c r="G2430" s="34" t="str">
        <f>IF(ISNUMBER(F2430),E2430*F2430,"")</f>
        <v/>
      </c>
      <c r="H2430" s="35"/>
      <c r="I2430" s="31"/>
      <c r="J2430" s="155">
        <v>0</v>
      </c>
    </row>
    <row r="2431" spans="1:10" ht="15.75" hidden="1" thickBot="1" x14ac:dyDescent="0.3">
      <c r="A2431" s="180" t="s">
        <v>2021</v>
      </c>
      <c r="B2431" s="186" t="str">
        <f>INDEX(Orçamentária!A:B,MATCH(Composições!A2431,Orçamentária!A:A,0),2)</f>
        <v>Puxador alça 102mm</v>
      </c>
      <c r="C2431" s="41"/>
      <c r="D2431" s="26" t="str">
        <f>TRIM(INDEX(Orçamentária!C:C,MATCH(Composições!A2431,Orçamentária!A:A,0),1))</f>
        <v>un</v>
      </c>
      <c r="E2431" s="27"/>
      <c r="F2431" s="42" t="s">
        <v>558</v>
      </c>
      <c r="G2431" s="28" t="str">
        <f>IF(ISNUMBER(F2431),E2431*F2431,"")</f>
        <v/>
      </c>
      <c r="H2431" s="29"/>
      <c r="I2431" s="30"/>
      <c r="J2431" s="155">
        <v>0</v>
      </c>
    </row>
    <row r="2432" spans="1:10" ht="15.75" hidden="1" thickBot="1" x14ac:dyDescent="0.3">
      <c r="A2432" s="200"/>
      <c r="B2432" s="202"/>
      <c r="C2432" s="32"/>
      <c r="D2432" s="32"/>
      <c r="E2432" s="33"/>
      <c r="F2432" s="43" t="s">
        <v>558</v>
      </c>
      <c r="G2432" s="34" t="str">
        <f>IF(ISNUMBER(F2432),E2432*F2432,"")</f>
        <v/>
      </c>
      <c r="H2432" s="35"/>
      <c r="I2432" s="31"/>
      <c r="J2432" s="155">
        <v>0</v>
      </c>
    </row>
    <row r="2433" spans="1:10" ht="39" hidden="1" thickBot="1" x14ac:dyDescent="0.3">
      <c r="A2433" s="200"/>
      <c r="B2433" s="202"/>
      <c r="C2433" s="36" t="s">
        <v>3827</v>
      </c>
      <c r="D2433" s="36" t="s">
        <v>292</v>
      </c>
      <c r="E2433" s="37">
        <v>1</v>
      </c>
      <c r="F2433" s="31">
        <v>17.242499999999996</v>
      </c>
      <c r="G2433" s="34">
        <f>IF(ISNUMBER(F2433),E2433*F2433,"")</f>
        <v>17.242499999999996</v>
      </c>
      <c r="H2433" s="39">
        <f>SUM(G2433:G2433)</f>
        <v>17.242499999999996</v>
      </c>
      <c r="I2433" s="40"/>
      <c r="J2433" s="155">
        <v>0</v>
      </c>
    </row>
    <row r="2434" spans="1:10" ht="15.75" hidden="1" thickBot="1" x14ac:dyDescent="0.3">
      <c r="A2434" s="201"/>
      <c r="B2434" s="188"/>
      <c r="C2434" s="36"/>
      <c r="D2434" s="36"/>
      <c r="E2434" s="37"/>
      <c r="F2434" s="31" t="s">
        <v>558</v>
      </c>
      <c r="G2434" s="34" t="str">
        <f>IF(ISNUMBER(F2434),E2434*F2434,"")</f>
        <v/>
      </c>
      <c r="H2434" s="35"/>
      <c r="I2434" s="31"/>
      <c r="J2434" s="155">
        <v>0</v>
      </c>
    </row>
    <row r="2435" spans="1:10" ht="15.75" hidden="1" thickBot="1" x14ac:dyDescent="0.3">
      <c r="A2435" s="180" t="s">
        <v>780</v>
      </c>
      <c r="B2435" s="186" t="str">
        <f>INDEX(Orçamentária!A:B,MATCH(Composições!A2435,Orçamentária!A:A,0),2)</f>
        <v>Espuma Expansiva à base de poliuretano</v>
      </c>
      <c r="C2435" s="41"/>
      <c r="D2435" s="26" t="str">
        <f>TRIM(INDEX(Orçamentária!C:C,MATCH(Composições!A2435,Orçamentária!A:A,0),1))</f>
        <v>500 ml</v>
      </c>
      <c r="E2435" s="27"/>
      <c r="F2435" s="42" t="s">
        <v>558</v>
      </c>
      <c r="G2435" s="28" t="str">
        <f>IF(ISNUMBER(F2435),E2435*F2435,"")</f>
        <v/>
      </c>
      <c r="H2435" s="29"/>
      <c r="I2435" s="30"/>
      <c r="J2435" s="155">
        <v>0</v>
      </c>
    </row>
    <row r="2436" spans="1:10" ht="15.75" hidden="1" thickBot="1" x14ac:dyDescent="0.3">
      <c r="A2436" s="200"/>
      <c r="B2436" s="202"/>
      <c r="C2436" s="32"/>
      <c r="D2436" s="32"/>
      <c r="E2436" s="33"/>
      <c r="F2436" s="43" t="s">
        <v>558</v>
      </c>
      <c r="G2436" s="34" t="str">
        <f>IF(ISNUMBER(F2436),E2436*F2436,"")</f>
        <v/>
      </c>
      <c r="H2436" s="35"/>
      <c r="I2436" s="31"/>
      <c r="J2436" s="155">
        <v>0</v>
      </c>
    </row>
    <row r="2437" spans="1:10" ht="26.25" hidden="1" thickBot="1" x14ac:dyDescent="0.3">
      <c r="A2437" s="200"/>
      <c r="B2437" s="202"/>
      <c r="C2437" s="36" t="s">
        <v>781</v>
      </c>
      <c r="D2437" s="47" t="s">
        <v>292</v>
      </c>
      <c r="E2437" s="37">
        <v>1</v>
      </c>
      <c r="F2437" s="31">
        <v>19.323</v>
      </c>
      <c r="G2437" s="34">
        <f>IF(ISNUMBER(F2437),E2437*F2437,"")</f>
        <v>19.323</v>
      </c>
      <c r="H2437" s="39">
        <f>SUM(G2437:G2437)</f>
        <v>19.323</v>
      </c>
      <c r="I2437" s="40"/>
      <c r="J2437" s="155">
        <v>0</v>
      </c>
    </row>
    <row r="2438" spans="1:10" ht="15.75" hidden="1" thickBot="1" x14ac:dyDescent="0.3">
      <c r="A2438" s="201"/>
      <c r="B2438" s="188"/>
      <c r="C2438" s="36"/>
      <c r="D2438" s="36"/>
      <c r="E2438" s="37"/>
      <c r="F2438" s="31" t="s">
        <v>558</v>
      </c>
      <c r="G2438" s="34" t="str">
        <f>IF(ISNUMBER(F2438),E2438*F2438,"")</f>
        <v/>
      </c>
      <c r="H2438" s="35"/>
      <c r="I2438" s="31"/>
      <c r="J2438" s="155">
        <v>0</v>
      </c>
    </row>
    <row r="2439" spans="1:10" ht="15.75" hidden="1" thickBot="1" x14ac:dyDescent="0.3">
      <c r="A2439" s="180" t="s">
        <v>2071</v>
      </c>
      <c r="B2439" s="186" t="str">
        <f>INDEX(Orçamentária!A:B,MATCH(Composições!A2439,Orçamentária!A:A,0),2)</f>
        <v>Adesivo de Contato à Base d’água</v>
      </c>
      <c r="C2439" s="41"/>
      <c r="D2439" s="26" t="str">
        <f>TRIM(INDEX(Orçamentária!C:C,MATCH(Composições!A2439,Orçamentária!A:A,0),1))</f>
        <v>kg</v>
      </c>
      <c r="E2439" s="27"/>
      <c r="F2439" s="42" t="s">
        <v>558</v>
      </c>
      <c r="G2439" s="28" t="str">
        <f>IF(ISNUMBER(F2439),E2439*F2439,"")</f>
        <v/>
      </c>
      <c r="H2439" s="29"/>
      <c r="I2439" s="30"/>
      <c r="J2439" s="155">
        <v>0</v>
      </c>
    </row>
    <row r="2440" spans="1:10" ht="15.75" hidden="1" thickBot="1" x14ac:dyDescent="0.3">
      <c r="A2440" s="200"/>
      <c r="B2440" s="202"/>
      <c r="C2440" s="32"/>
      <c r="D2440" s="32"/>
      <c r="E2440" s="33"/>
      <c r="F2440" s="43" t="s">
        <v>558</v>
      </c>
      <c r="G2440" s="34" t="str">
        <f>IF(ISNUMBER(F2440),E2440*F2440,"")</f>
        <v/>
      </c>
      <c r="H2440" s="35"/>
      <c r="I2440" s="31"/>
      <c r="J2440" s="155">
        <v>0</v>
      </c>
    </row>
    <row r="2441" spans="1:10" ht="15.75" hidden="1" thickBot="1" x14ac:dyDescent="0.3">
      <c r="A2441" s="200"/>
      <c r="B2441" s="202"/>
      <c r="C2441" s="36" t="s">
        <v>298</v>
      </c>
      <c r="D2441" s="47" t="s">
        <v>938</v>
      </c>
      <c r="E2441" s="37">
        <v>1</v>
      </c>
      <c r="F2441" s="31">
        <v>25.478999999999999</v>
      </c>
      <c r="G2441" s="34">
        <f>IF(ISNUMBER(F2441),E2441*F2441,"")</f>
        <v>25.478999999999999</v>
      </c>
      <c r="H2441" s="39">
        <f>SUM(G2441:G2441)</f>
        <v>25.478999999999999</v>
      </c>
      <c r="I2441" s="40"/>
      <c r="J2441" s="155">
        <v>0</v>
      </c>
    </row>
    <row r="2442" spans="1:10" ht="15.75" hidden="1" thickBot="1" x14ac:dyDescent="0.3">
      <c r="A2442" s="201"/>
      <c r="B2442" s="188"/>
      <c r="C2442" s="36"/>
      <c r="D2442" s="36"/>
      <c r="E2442" s="37"/>
      <c r="F2442" s="31" t="s">
        <v>558</v>
      </c>
      <c r="G2442" s="34" t="str">
        <f>IF(ISNUMBER(F2442),E2442*F2442,"")</f>
        <v/>
      </c>
      <c r="H2442" s="35"/>
      <c r="I2442" s="31"/>
      <c r="J2442" s="155">
        <v>0</v>
      </c>
    </row>
    <row r="2443" spans="1:10" ht="15.75" hidden="1" thickBot="1" x14ac:dyDescent="0.3">
      <c r="A2443" s="180" t="s">
        <v>2075</v>
      </c>
      <c r="B2443" s="186" t="str">
        <f>INDEX(Orçamentária!A:B,MATCH(Composições!A2443,Orçamentária!A:A,0),2)</f>
        <v>Laminado fenólico melamínico texturizado - Azul Noturno</v>
      </c>
      <c r="C2443" s="41"/>
      <c r="D2443" s="26" t="str">
        <f>TRIM(INDEX(Orçamentária!C:C,MATCH(Composições!A2443,Orçamentária!A:A,0),1))</f>
        <v>m2</v>
      </c>
      <c r="E2443" s="27"/>
      <c r="F2443" s="42" t="s">
        <v>558</v>
      </c>
      <c r="G2443" s="28" t="str">
        <f>IF(ISNUMBER(F2443),E2443*F2443,"")</f>
        <v/>
      </c>
      <c r="H2443" s="29"/>
      <c r="I2443" s="30"/>
      <c r="J2443" s="155">
        <v>0</v>
      </c>
    </row>
    <row r="2444" spans="1:10" ht="15.75" hidden="1" thickBot="1" x14ac:dyDescent="0.3">
      <c r="A2444" s="200"/>
      <c r="B2444" s="202"/>
      <c r="C2444" s="32"/>
      <c r="D2444" s="32"/>
      <c r="E2444" s="33"/>
      <c r="F2444" s="43" t="s">
        <v>558</v>
      </c>
      <c r="G2444" s="34" t="str">
        <f>IF(ISNUMBER(F2444),E2444*F2444,"")</f>
        <v/>
      </c>
      <c r="H2444" s="35"/>
      <c r="I2444" s="31"/>
      <c r="J2444" s="155">
        <v>0</v>
      </c>
    </row>
    <row r="2445" spans="1:10" ht="26.25" hidden="1" thickBot="1" x14ac:dyDescent="0.3">
      <c r="A2445" s="200"/>
      <c r="B2445" s="202"/>
      <c r="C2445" s="36" t="s">
        <v>3339</v>
      </c>
      <c r="D2445" s="47" t="s">
        <v>95</v>
      </c>
      <c r="E2445" s="37">
        <v>1</v>
      </c>
      <c r="F2445" s="31">
        <v>42.540999999999997</v>
      </c>
      <c r="G2445" s="34">
        <f>IF(ISNUMBER(F2445),E2445*F2445,"")</f>
        <v>42.540999999999997</v>
      </c>
      <c r="H2445" s="39">
        <f>SUM(G2445:G2445)</f>
        <v>42.540999999999997</v>
      </c>
      <c r="I2445" s="40"/>
      <c r="J2445" s="155">
        <v>0</v>
      </c>
    </row>
    <row r="2446" spans="1:10" ht="15.75" hidden="1" thickBot="1" x14ac:dyDescent="0.3">
      <c r="A2446" s="201"/>
      <c r="B2446" s="188"/>
      <c r="C2446" s="36"/>
      <c r="D2446" s="36"/>
      <c r="E2446" s="37"/>
      <c r="F2446" s="31" t="s">
        <v>558</v>
      </c>
      <c r="G2446" s="34" t="str">
        <f>IF(ISNUMBER(F2446),E2446*F2446,"")</f>
        <v/>
      </c>
      <c r="H2446" s="35"/>
      <c r="I2446" s="31"/>
      <c r="J2446" s="155">
        <v>0</v>
      </c>
    </row>
    <row r="2447" spans="1:10" ht="15.75" hidden="1" thickBot="1" x14ac:dyDescent="0.3">
      <c r="A2447" s="180" t="s">
        <v>2077</v>
      </c>
      <c r="B2447" s="186" t="str">
        <f>INDEX(Orçamentária!A:B,MATCH(Composições!A2447,Orçamentária!A:A,0),2)</f>
        <v>Laminado fenólico melamínico texturizado - Branco</v>
      </c>
      <c r="C2447" s="41"/>
      <c r="D2447" s="26" t="str">
        <f>TRIM(INDEX(Orçamentária!C:C,MATCH(Composições!A2447,Orçamentária!A:A,0),1))</f>
        <v>m2</v>
      </c>
      <c r="E2447" s="27"/>
      <c r="F2447" s="42" t="s">
        <v>558</v>
      </c>
      <c r="G2447" s="28" t="str">
        <f>IF(ISNUMBER(F2447),E2447*F2447,"")</f>
        <v/>
      </c>
      <c r="H2447" s="29"/>
      <c r="I2447" s="30"/>
      <c r="J2447" s="155">
        <v>0</v>
      </c>
    </row>
    <row r="2448" spans="1:10" ht="15.75" hidden="1" thickBot="1" x14ac:dyDescent="0.3">
      <c r="A2448" s="200"/>
      <c r="B2448" s="202"/>
      <c r="C2448" s="32"/>
      <c r="D2448" s="32"/>
      <c r="E2448" s="33"/>
      <c r="F2448" s="43" t="s">
        <v>558</v>
      </c>
      <c r="G2448" s="34" t="str">
        <f>IF(ISNUMBER(F2448),E2448*F2448,"")</f>
        <v/>
      </c>
      <c r="H2448" s="35"/>
      <c r="I2448" s="31"/>
      <c r="J2448" s="155">
        <v>0</v>
      </c>
    </row>
    <row r="2449" spans="1:10" ht="26.25" hidden="1" thickBot="1" x14ac:dyDescent="0.3">
      <c r="A2449" s="200"/>
      <c r="B2449" s="202"/>
      <c r="C2449" s="36" t="s">
        <v>3339</v>
      </c>
      <c r="D2449" s="47" t="s">
        <v>95</v>
      </c>
      <c r="E2449" s="37">
        <v>1</v>
      </c>
      <c r="F2449" s="31">
        <v>42.540999999999997</v>
      </c>
      <c r="G2449" s="34">
        <f>IF(ISNUMBER(F2449),E2449*F2449,"")</f>
        <v>42.540999999999997</v>
      </c>
      <c r="H2449" s="39">
        <f>SUM(G2449:G2449)</f>
        <v>42.540999999999997</v>
      </c>
      <c r="I2449" s="40"/>
      <c r="J2449" s="155">
        <v>0</v>
      </c>
    </row>
    <row r="2450" spans="1:10" ht="15.75" hidden="1" thickBot="1" x14ac:dyDescent="0.3">
      <c r="A2450" s="201"/>
      <c r="B2450" s="188"/>
      <c r="C2450" s="36"/>
      <c r="D2450" s="36"/>
      <c r="E2450" s="37"/>
      <c r="F2450" s="31" t="s">
        <v>558</v>
      </c>
      <c r="G2450" s="34" t="str">
        <f>IF(ISNUMBER(F2450),E2450*F2450,"")</f>
        <v/>
      </c>
      <c r="H2450" s="35"/>
      <c r="I2450" s="31"/>
      <c r="J2450" s="155">
        <v>0</v>
      </c>
    </row>
    <row r="2451" spans="1:10" ht="15.75" hidden="1" thickBot="1" x14ac:dyDescent="0.3">
      <c r="A2451" s="180" t="s">
        <v>2079</v>
      </c>
      <c r="B2451" s="186" t="str">
        <f>INDEX(Orçamentária!A:B,MATCH(Composições!A2451,Orçamentária!A:A,0),2)</f>
        <v>Laminado fenólico melamínico texturizado - Ovo</v>
      </c>
      <c r="C2451" s="41"/>
      <c r="D2451" s="26" t="str">
        <f>TRIM(INDEX(Orçamentária!C:C,MATCH(Composições!A2451,Orçamentária!A:A,0),1))</f>
        <v>m2</v>
      </c>
      <c r="E2451" s="27"/>
      <c r="F2451" s="42" t="s">
        <v>558</v>
      </c>
      <c r="G2451" s="28" t="str">
        <f>IF(ISNUMBER(F2451),E2451*F2451,"")</f>
        <v/>
      </c>
      <c r="H2451" s="29"/>
      <c r="I2451" s="30"/>
      <c r="J2451" s="155">
        <v>0</v>
      </c>
    </row>
    <row r="2452" spans="1:10" ht="15.75" hidden="1" thickBot="1" x14ac:dyDescent="0.3">
      <c r="A2452" s="200"/>
      <c r="B2452" s="202"/>
      <c r="C2452" s="32"/>
      <c r="D2452" s="32"/>
      <c r="E2452" s="33"/>
      <c r="F2452" s="43" t="s">
        <v>558</v>
      </c>
      <c r="G2452" s="34" t="str">
        <f>IF(ISNUMBER(F2452),E2452*F2452,"")</f>
        <v/>
      </c>
      <c r="H2452" s="35"/>
      <c r="I2452" s="31"/>
      <c r="J2452" s="155">
        <v>0</v>
      </c>
    </row>
    <row r="2453" spans="1:10" ht="26.25" hidden="1" thickBot="1" x14ac:dyDescent="0.3">
      <c r="A2453" s="200"/>
      <c r="B2453" s="202"/>
      <c r="C2453" s="36" t="s">
        <v>3339</v>
      </c>
      <c r="D2453" s="47" t="s">
        <v>95</v>
      </c>
      <c r="E2453" s="37">
        <v>1</v>
      </c>
      <c r="F2453" s="31">
        <v>42.540999999999997</v>
      </c>
      <c r="G2453" s="34">
        <f>IF(ISNUMBER(F2453),E2453*F2453,"")</f>
        <v>42.540999999999997</v>
      </c>
      <c r="H2453" s="39">
        <f>SUM(G2453:G2453)</f>
        <v>42.540999999999997</v>
      </c>
      <c r="I2453" s="40"/>
      <c r="J2453" s="155">
        <v>0</v>
      </c>
    </row>
    <row r="2454" spans="1:10" ht="15.75" hidden="1" thickBot="1" x14ac:dyDescent="0.3">
      <c r="A2454" s="201"/>
      <c r="B2454" s="188"/>
      <c r="C2454" s="36"/>
      <c r="D2454" s="36"/>
      <c r="E2454" s="37"/>
      <c r="F2454" s="31" t="s">
        <v>558</v>
      </c>
      <c r="G2454" s="34" t="str">
        <f>IF(ISNUMBER(F2454),E2454*F2454,"")</f>
        <v/>
      </c>
      <c r="H2454" s="35"/>
      <c r="I2454" s="31"/>
      <c r="J2454" s="155">
        <v>0</v>
      </c>
    </row>
    <row r="2455" spans="1:10" ht="15.75" hidden="1" thickBot="1" x14ac:dyDescent="0.3">
      <c r="A2455" s="180" t="s">
        <v>2111</v>
      </c>
      <c r="B2455" s="186" t="str">
        <f>INDEX(Orçamentária!A:B,MATCH(Composições!A2455,Orçamentária!A:A,0),2)</f>
        <v>Tábua de Madeira bruta aparelhada - Pinus</v>
      </c>
      <c r="C2455" s="41"/>
      <c r="D2455" s="26" t="str">
        <f>TRIM(INDEX(Orçamentária!C:C,MATCH(Composições!A2455,Orçamentária!A:A,0),1))</f>
        <v>m3</v>
      </c>
      <c r="E2455" s="27"/>
      <c r="F2455" s="42" t="s">
        <v>558</v>
      </c>
      <c r="G2455" s="28" t="str">
        <f>IF(ISNUMBER(F2455),E2455*F2455,"")</f>
        <v/>
      </c>
      <c r="H2455" s="29"/>
      <c r="I2455" s="30"/>
      <c r="J2455" s="155">
        <v>0</v>
      </c>
    </row>
    <row r="2456" spans="1:10" ht="15.75" hidden="1" thickBot="1" x14ac:dyDescent="0.3">
      <c r="A2456" s="200"/>
      <c r="B2456" s="202"/>
      <c r="C2456" s="32"/>
      <c r="D2456" s="32"/>
      <c r="E2456" s="33"/>
      <c r="F2456" s="43" t="s">
        <v>558</v>
      </c>
      <c r="G2456" s="34" t="str">
        <f>IF(ISNUMBER(F2456),E2456*F2456,"")</f>
        <v/>
      </c>
      <c r="H2456" s="35"/>
      <c r="I2456" s="31"/>
      <c r="J2456" s="155">
        <v>0</v>
      </c>
    </row>
    <row r="2457" spans="1:10" ht="26.25" hidden="1" thickBot="1" x14ac:dyDescent="0.3">
      <c r="A2457" s="200"/>
      <c r="B2457" s="202"/>
      <c r="C2457" s="36" t="s">
        <v>3796</v>
      </c>
      <c r="D2457" s="47" t="s">
        <v>93</v>
      </c>
      <c r="E2457" s="37">
        <f>1/(0.025*0.3)</f>
        <v>133.33333333333334</v>
      </c>
      <c r="F2457" s="31">
        <v>11.4285</v>
      </c>
      <c r="G2457" s="34">
        <f>IF(ISNUMBER(F2457),E2457*F2457,"")</f>
        <v>1523.8</v>
      </c>
      <c r="H2457" s="39">
        <f>SUM(G2457:G2457)</f>
        <v>1523.8</v>
      </c>
      <c r="I2457" s="40"/>
      <c r="J2457" s="155">
        <v>0</v>
      </c>
    </row>
    <row r="2458" spans="1:10" ht="15.75" hidden="1" thickBot="1" x14ac:dyDescent="0.3">
      <c r="A2458" s="201"/>
      <c r="B2458" s="188"/>
      <c r="C2458" s="36"/>
      <c r="D2458" s="36"/>
      <c r="E2458" s="37"/>
      <c r="F2458" s="31" t="s">
        <v>558</v>
      </c>
      <c r="G2458" s="34" t="str">
        <f>IF(ISNUMBER(F2458),E2458*F2458,"")</f>
        <v/>
      </c>
      <c r="H2458" s="35"/>
      <c r="I2458" s="31"/>
      <c r="J2458" s="155">
        <v>0</v>
      </c>
    </row>
    <row r="2459" spans="1:10" ht="15.75" hidden="1" thickBot="1" x14ac:dyDescent="0.3">
      <c r="A2459" s="180" t="s">
        <v>2113</v>
      </c>
      <c r="B2459" s="186" t="str">
        <f>INDEX(Orçamentária!A:B,MATCH(Composições!A2459,Orçamentária!A:A,0),2)</f>
        <v>Sarrafo De Madeira</v>
      </c>
      <c r="C2459" s="41"/>
      <c r="D2459" s="26" t="str">
        <f>TRIM(INDEX(Orçamentária!C:C,MATCH(Composições!A2459,Orçamentária!A:A,0),1))</f>
        <v>m</v>
      </c>
      <c r="E2459" s="27"/>
      <c r="F2459" s="42" t="s">
        <v>558</v>
      </c>
      <c r="G2459" s="28" t="str">
        <f>IF(ISNUMBER(F2459),E2459*F2459,"")</f>
        <v/>
      </c>
      <c r="H2459" s="29"/>
      <c r="I2459" s="30"/>
      <c r="J2459" s="155">
        <v>0</v>
      </c>
    </row>
    <row r="2460" spans="1:10" ht="15.75" hidden="1" thickBot="1" x14ac:dyDescent="0.3">
      <c r="A2460" s="200"/>
      <c r="B2460" s="202"/>
      <c r="C2460" s="32"/>
      <c r="D2460" s="32"/>
      <c r="E2460" s="33"/>
      <c r="F2460" s="43" t="s">
        <v>558</v>
      </c>
      <c r="G2460" s="34" t="str">
        <f>IF(ISNUMBER(F2460),E2460*F2460,"")</f>
        <v/>
      </c>
      <c r="H2460" s="35"/>
      <c r="I2460" s="31"/>
      <c r="J2460" s="155">
        <v>0</v>
      </c>
    </row>
    <row r="2461" spans="1:10" ht="26.25" hidden="1" thickBot="1" x14ac:dyDescent="0.3">
      <c r="A2461" s="200"/>
      <c r="B2461" s="202"/>
      <c r="C2461" s="36" t="s">
        <v>3793</v>
      </c>
      <c r="D2461" s="47" t="s">
        <v>93</v>
      </c>
      <c r="E2461" s="37">
        <v>1</v>
      </c>
      <c r="F2461" s="31">
        <v>3.496</v>
      </c>
      <c r="G2461" s="34">
        <f>IF(ISNUMBER(F2461),E2461*F2461,"")</f>
        <v>3.496</v>
      </c>
      <c r="H2461" s="39">
        <f>SUM(G2461:G2461)</f>
        <v>3.496</v>
      </c>
      <c r="I2461" s="40"/>
      <c r="J2461" s="155">
        <v>0</v>
      </c>
    </row>
    <row r="2462" spans="1:10" ht="15.75" hidden="1" thickBot="1" x14ac:dyDescent="0.3">
      <c r="A2462" s="201"/>
      <c r="B2462" s="188"/>
      <c r="C2462" s="36"/>
      <c r="D2462" s="36"/>
      <c r="E2462" s="37"/>
      <c r="F2462" s="31" t="s">
        <v>558</v>
      </c>
      <c r="G2462" s="34" t="str">
        <f>IF(ISNUMBER(F2462),E2462*F2462,"")</f>
        <v/>
      </c>
      <c r="H2462" s="35"/>
      <c r="I2462" s="31"/>
      <c r="J2462" s="155">
        <v>0</v>
      </c>
    </row>
    <row r="2463" spans="1:10" ht="15.75" hidden="1" thickBot="1" x14ac:dyDescent="0.3">
      <c r="A2463" s="180" t="s">
        <v>2115</v>
      </c>
      <c r="B2463" s="186" t="str">
        <f>INDEX(Orçamentária!A:B,MATCH(Composições!A2463,Orçamentária!A:A,0),2)</f>
        <v>Caibro De Madeira</v>
      </c>
      <c r="C2463" s="41"/>
      <c r="D2463" s="26" t="str">
        <f>TRIM(INDEX(Orçamentária!C:C,MATCH(Composições!A2463,Orçamentária!A:A,0),1))</f>
        <v>m</v>
      </c>
      <c r="E2463" s="27"/>
      <c r="F2463" s="42" t="s">
        <v>558</v>
      </c>
      <c r="G2463" s="28" t="str">
        <f>IF(ISNUMBER(F2463),E2463*F2463,"")</f>
        <v/>
      </c>
      <c r="H2463" s="29"/>
      <c r="I2463" s="30"/>
      <c r="J2463" s="155">
        <v>0</v>
      </c>
    </row>
    <row r="2464" spans="1:10" ht="15.75" hidden="1" thickBot="1" x14ac:dyDescent="0.3">
      <c r="A2464" s="200"/>
      <c r="B2464" s="202"/>
      <c r="C2464" s="32"/>
      <c r="D2464" s="32"/>
      <c r="E2464" s="33"/>
      <c r="F2464" s="43" t="s">
        <v>558</v>
      </c>
      <c r="G2464" s="34" t="str">
        <f>IF(ISNUMBER(F2464),E2464*F2464,"")</f>
        <v/>
      </c>
      <c r="H2464" s="35"/>
      <c r="I2464" s="31"/>
      <c r="J2464" s="155">
        <v>0</v>
      </c>
    </row>
    <row r="2465" spans="1:10" ht="26.25" hidden="1" thickBot="1" x14ac:dyDescent="0.3">
      <c r="A2465" s="200"/>
      <c r="B2465" s="202"/>
      <c r="C2465" s="36" t="s">
        <v>3783</v>
      </c>
      <c r="D2465" s="47" t="s">
        <v>93</v>
      </c>
      <c r="E2465" s="37">
        <v>1</v>
      </c>
      <c r="F2465" s="31">
        <v>4.8449999999999998</v>
      </c>
      <c r="G2465" s="34">
        <f>IF(ISNUMBER(F2465),E2465*F2465,"")</f>
        <v>4.8449999999999998</v>
      </c>
      <c r="H2465" s="39">
        <f>SUM(G2465:G2465)</f>
        <v>4.8449999999999998</v>
      </c>
      <c r="I2465" s="40"/>
      <c r="J2465" s="155">
        <v>0</v>
      </c>
    </row>
    <row r="2466" spans="1:10" ht="15.75" hidden="1" thickBot="1" x14ac:dyDescent="0.3">
      <c r="A2466" s="201"/>
      <c r="B2466" s="188"/>
      <c r="C2466" s="36"/>
      <c r="D2466" s="36"/>
      <c r="E2466" s="37"/>
      <c r="F2466" s="31" t="s">
        <v>558</v>
      </c>
      <c r="G2466" s="34" t="str">
        <f>IF(ISNUMBER(F2466),E2466*F2466,"")</f>
        <v/>
      </c>
      <c r="H2466" s="35"/>
      <c r="I2466" s="31"/>
      <c r="J2466" s="155">
        <v>0</v>
      </c>
    </row>
    <row r="2467" spans="1:10" ht="15.75" hidden="1" thickBot="1" x14ac:dyDescent="0.3">
      <c r="A2467" s="180" t="s">
        <v>2121</v>
      </c>
      <c r="B2467" s="186" t="str">
        <f>INDEX(Orçamentária!A:B,MATCH(Composições!A2467,Orçamentária!A:A,0),2)</f>
        <v>Painel de MDF Laminado – Branco - 06mm</v>
      </c>
      <c r="C2467" s="41"/>
      <c r="D2467" s="26" t="str">
        <f>TRIM(INDEX(Orçamentária!C:C,MATCH(Composições!A2467,Orçamentária!A:A,0),1))</f>
        <v>m2</v>
      </c>
      <c r="E2467" s="27"/>
      <c r="F2467" s="42" t="s">
        <v>558</v>
      </c>
      <c r="G2467" s="28" t="str">
        <f>IF(ISNUMBER(F2467),E2467*F2467,"")</f>
        <v/>
      </c>
      <c r="H2467" s="29"/>
      <c r="I2467" s="30"/>
      <c r="J2467" s="155">
        <v>0</v>
      </c>
    </row>
    <row r="2468" spans="1:10" ht="15.75" hidden="1" thickBot="1" x14ac:dyDescent="0.3">
      <c r="A2468" s="200"/>
      <c r="B2468" s="202"/>
      <c r="C2468" s="32"/>
      <c r="D2468" s="32"/>
      <c r="E2468" s="33"/>
      <c r="F2468" s="43" t="s">
        <v>558</v>
      </c>
      <c r="G2468" s="34" t="str">
        <f>IF(ISNUMBER(F2468),E2468*F2468,"")</f>
        <v/>
      </c>
      <c r="H2468" s="35"/>
      <c r="I2468" s="31"/>
      <c r="J2468" s="155">
        <v>0</v>
      </c>
    </row>
    <row r="2469" spans="1:10" ht="15.75" hidden="1" thickBot="1" x14ac:dyDescent="0.3">
      <c r="A2469" s="200"/>
      <c r="B2469" s="202"/>
      <c r="C2469" s="36" t="s">
        <v>3341</v>
      </c>
      <c r="D2469" s="47" t="s">
        <v>95</v>
      </c>
      <c r="E2469" s="37">
        <v>1</v>
      </c>
      <c r="F2469" s="31">
        <v>27.1035</v>
      </c>
      <c r="G2469" s="34">
        <f>IF(ISNUMBER(F2469),E2469*F2469,"")</f>
        <v>27.1035</v>
      </c>
      <c r="H2469" s="39">
        <f>SUM(G2469:G2469)</f>
        <v>27.1035</v>
      </c>
      <c r="I2469" s="40"/>
      <c r="J2469" s="155">
        <v>0</v>
      </c>
    </row>
    <row r="2470" spans="1:10" ht="15.75" hidden="1" thickBot="1" x14ac:dyDescent="0.3">
      <c r="A2470" s="201"/>
      <c r="B2470" s="188"/>
      <c r="C2470" s="36"/>
      <c r="D2470" s="36"/>
      <c r="E2470" s="37"/>
      <c r="F2470" s="31" t="s">
        <v>558</v>
      </c>
      <c r="G2470" s="34" t="str">
        <f>IF(ISNUMBER(F2470),E2470*F2470,"")</f>
        <v/>
      </c>
      <c r="H2470" s="35"/>
      <c r="I2470" s="31"/>
      <c r="J2470" s="155">
        <v>0</v>
      </c>
    </row>
    <row r="2471" spans="1:10" ht="15.75" hidden="1" thickBot="1" x14ac:dyDescent="0.3">
      <c r="A2471" s="180" t="s">
        <v>2125</v>
      </c>
      <c r="B2471" s="186" t="str">
        <f>INDEX(Orçamentária!A:B,MATCH(Composições!A2471,Orçamentária!A:A,0),2)</f>
        <v>Painel de MDF Laminado - Branco - 15mm</v>
      </c>
      <c r="C2471" s="41"/>
      <c r="D2471" s="26" t="str">
        <f>TRIM(INDEX(Orçamentária!C:C,MATCH(Composições!A2471,Orçamentária!A:A,0),1))</f>
        <v>m2</v>
      </c>
      <c r="E2471" s="27"/>
      <c r="F2471" s="42" t="s">
        <v>558</v>
      </c>
      <c r="G2471" s="28" t="str">
        <f>IF(ISNUMBER(F2471),E2471*F2471,"")</f>
        <v/>
      </c>
      <c r="H2471" s="29"/>
      <c r="I2471" s="30"/>
      <c r="J2471" s="155">
        <v>0</v>
      </c>
    </row>
    <row r="2472" spans="1:10" ht="15.75" hidden="1" thickBot="1" x14ac:dyDescent="0.3">
      <c r="A2472" s="200"/>
      <c r="B2472" s="202"/>
      <c r="C2472" s="32"/>
      <c r="D2472" s="32"/>
      <c r="E2472" s="33"/>
      <c r="F2472" s="43" t="s">
        <v>558</v>
      </c>
      <c r="G2472" s="34" t="str">
        <f>IF(ISNUMBER(F2472),E2472*F2472,"")</f>
        <v/>
      </c>
      <c r="H2472" s="35"/>
      <c r="I2472" s="31"/>
      <c r="J2472" s="155">
        <v>0</v>
      </c>
    </row>
    <row r="2473" spans="1:10" ht="26.25" hidden="1" thickBot="1" x14ac:dyDescent="0.3">
      <c r="A2473" s="200"/>
      <c r="B2473" s="202"/>
      <c r="C2473" s="36" t="s">
        <v>3342</v>
      </c>
      <c r="D2473" s="47" t="s">
        <v>95</v>
      </c>
      <c r="E2473" s="37">
        <v>1</v>
      </c>
      <c r="F2473" s="31">
        <v>42.531500000000001</v>
      </c>
      <c r="G2473" s="34">
        <f>IF(ISNUMBER(F2473),E2473*F2473,"")</f>
        <v>42.531500000000001</v>
      </c>
      <c r="H2473" s="39">
        <f>SUM(G2473:G2473)</f>
        <v>42.531500000000001</v>
      </c>
      <c r="I2473" s="40"/>
      <c r="J2473" s="155">
        <v>0</v>
      </c>
    </row>
    <row r="2474" spans="1:10" ht="15.75" hidden="1" thickBot="1" x14ac:dyDescent="0.3">
      <c r="A2474" s="201"/>
      <c r="B2474" s="188"/>
      <c r="C2474" s="36"/>
      <c r="D2474" s="36"/>
      <c r="E2474" s="37"/>
      <c r="F2474" s="31" t="s">
        <v>558</v>
      </c>
      <c r="G2474" s="34" t="str">
        <f>IF(ISNUMBER(F2474),E2474*F2474,"")</f>
        <v/>
      </c>
      <c r="H2474" s="35"/>
      <c r="I2474" s="31"/>
      <c r="J2474" s="155">
        <v>0</v>
      </c>
    </row>
    <row r="2475" spans="1:10" ht="15.75" hidden="1" thickBot="1" x14ac:dyDescent="0.3">
      <c r="A2475" s="180" t="s">
        <v>2129</v>
      </c>
      <c r="B2475" s="186" t="str">
        <f>INDEX(Orçamentária!A:B,MATCH(Composições!A2475,Orçamentária!A:A,0),2)</f>
        <v>Painel de MDF Laminado – Branco - 18mm</v>
      </c>
      <c r="C2475" s="41"/>
      <c r="D2475" s="26" t="str">
        <f>TRIM(INDEX(Orçamentária!C:C,MATCH(Composições!A2475,Orçamentária!A:A,0),1))</f>
        <v>m2</v>
      </c>
      <c r="E2475" s="27"/>
      <c r="F2475" s="42" t="s">
        <v>558</v>
      </c>
      <c r="G2475" s="28" t="str">
        <f>IF(ISNUMBER(F2475),E2475*F2475,"")</f>
        <v/>
      </c>
      <c r="H2475" s="29"/>
      <c r="I2475" s="30"/>
      <c r="J2475" s="155">
        <v>0</v>
      </c>
    </row>
    <row r="2476" spans="1:10" ht="15.75" hidden="1" thickBot="1" x14ac:dyDescent="0.3">
      <c r="A2476" s="200"/>
      <c r="B2476" s="202"/>
      <c r="C2476" s="32"/>
      <c r="D2476" s="32"/>
      <c r="E2476" s="33"/>
      <c r="F2476" s="43" t="s">
        <v>558</v>
      </c>
      <c r="G2476" s="34" t="str">
        <f>IF(ISNUMBER(F2476),E2476*F2476,"")</f>
        <v/>
      </c>
      <c r="H2476" s="35"/>
      <c r="I2476" s="31"/>
      <c r="J2476" s="155">
        <v>0</v>
      </c>
    </row>
    <row r="2477" spans="1:10" ht="26.25" hidden="1" thickBot="1" x14ac:dyDescent="0.3">
      <c r="A2477" s="200"/>
      <c r="B2477" s="202"/>
      <c r="C2477" s="36" t="s">
        <v>3343</v>
      </c>
      <c r="D2477" s="47" t="s">
        <v>95</v>
      </c>
      <c r="E2477" s="37">
        <v>1</v>
      </c>
      <c r="F2477" s="31">
        <v>52.800999999999995</v>
      </c>
      <c r="G2477" s="34">
        <f>IF(ISNUMBER(F2477),E2477*F2477,"")</f>
        <v>52.800999999999995</v>
      </c>
      <c r="H2477" s="39">
        <f>SUM(G2477:G2477)</f>
        <v>52.800999999999995</v>
      </c>
      <c r="I2477" s="40"/>
      <c r="J2477" s="155">
        <v>0</v>
      </c>
    </row>
    <row r="2478" spans="1:10" ht="15.75" hidden="1" thickBot="1" x14ac:dyDescent="0.3">
      <c r="A2478" s="201"/>
      <c r="B2478" s="188"/>
      <c r="C2478" s="36"/>
      <c r="D2478" s="36"/>
      <c r="E2478" s="37"/>
      <c r="F2478" s="31" t="s">
        <v>558</v>
      </c>
      <c r="G2478" s="34" t="str">
        <f>IF(ISNUMBER(F2478),E2478*F2478,"")</f>
        <v/>
      </c>
      <c r="H2478" s="35"/>
      <c r="I2478" s="31"/>
      <c r="J2478" s="155">
        <v>0</v>
      </c>
    </row>
    <row r="2479" spans="1:10" ht="15.75" hidden="1" thickBot="1" x14ac:dyDescent="0.3">
      <c r="A2479" s="180" t="s">
        <v>2133</v>
      </c>
      <c r="B2479" s="186" t="str">
        <f>INDEX(Orçamentária!A:B,MATCH(Composições!A2479,Orçamentária!A:A,0),2)</f>
        <v>Cantoneira laminada em aço abas iguais 1" x 3/16"</v>
      </c>
      <c r="C2479" s="41"/>
      <c r="D2479" s="26" t="str">
        <f>TRIM(INDEX(Orçamentária!C:C,MATCH(Composições!A2479,Orçamentária!A:A,0),1))</f>
        <v>m</v>
      </c>
      <c r="E2479" s="27"/>
      <c r="F2479" s="42" t="s">
        <v>558</v>
      </c>
      <c r="G2479" s="28" t="str">
        <f>IF(ISNUMBER(F2479),E2479*F2479,"")</f>
        <v/>
      </c>
      <c r="H2479" s="29"/>
      <c r="I2479" s="30"/>
      <c r="J2479" s="155">
        <v>0</v>
      </c>
    </row>
    <row r="2480" spans="1:10" ht="15.75" hidden="1" thickBot="1" x14ac:dyDescent="0.3">
      <c r="A2480" s="200"/>
      <c r="B2480" s="202"/>
      <c r="C2480" s="32"/>
      <c r="D2480" s="32"/>
      <c r="E2480" s="33"/>
      <c r="F2480" s="43" t="s">
        <v>558</v>
      </c>
      <c r="G2480" s="34" t="str">
        <f>IF(ISNUMBER(F2480),E2480*F2480,"")</f>
        <v/>
      </c>
      <c r="H2480" s="35"/>
      <c r="I2480" s="31"/>
      <c r="J2480" s="155">
        <v>0</v>
      </c>
    </row>
    <row r="2481" spans="1:10" ht="26.25" hidden="1" thickBot="1" x14ac:dyDescent="0.3">
      <c r="A2481" s="200"/>
      <c r="B2481" s="202"/>
      <c r="C2481" s="36" t="s">
        <v>133</v>
      </c>
      <c r="D2481" s="47" t="s">
        <v>42</v>
      </c>
      <c r="E2481" s="37">
        <v>1.73</v>
      </c>
      <c r="F2481" s="31">
        <v>9.1294999999999984</v>
      </c>
      <c r="G2481" s="34">
        <f>IF(ISNUMBER(F2481),E2481*F2481,"")</f>
        <v>15.794034999999997</v>
      </c>
      <c r="H2481" s="39">
        <f>SUM(G2481:G2481)</f>
        <v>15.794034999999997</v>
      </c>
      <c r="I2481" s="40"/>
      <c r="J2481" s="155">
        <v>0</v>
      </c>
    </row>
    <row r="2482" spans="1:10" ht="15.75" hidden="1" thickBot="1" x14ac:dyDescent="0.3">
      <c r="A2482" s="201"/>
      <c r="B2482" s="188"/>
      <c r="C2482" s="36"/>
      <c r="D2482" s="36"/>
      <c r="E2482" s="37"/>
      <c r="F2482" s="31" t="s">
        <v>558</v>
      </c>
      <c r="G2482" s="34" t="str">
        <f>IF(ISNUMBER(F2482),E2482*F2482,"")</f>
        <v/>
      </c>
      <c r="H2482" s="35"/>
      <c r="I2482" s="31"/>
      <c r="J2482" s="155">
        <v>0</v>
      </c>
    </row>
    <row r="2483" spans="1:10" ht="15.75" hidden="1" thickBot="1" x14ac:dyDescent="0.3">
      <c r="A2483" s="180" t="s">
        <v>2135</v>
      </c>
      <c r="B2483" s="186" t="str">
        <f>INDEX(Orçamentária!A:B,MATCH(Composições!A2483,Orçamentária!A:A,0),2)</f>
        <v>Cantoneira laminada em aço abas iguais 1"1/4 x 3/16"</v>
      </c>
      <c r="C2483" s="41"/>
      <c r="D2483" s="26" t="str">
        <f>TRIM(INDEX(Orçamentária!C:C,MATCH(Composições!A2483,Orçamentária!A:A,0),1))</f>
        <v>m</v>
      </c>
      <c r="E2483" s="27"/>
      <c r="F2483" s="42" t="s">
        <v>558</v>
      </c>
      <c r="G2483" s="28" t="str">
        <f>IF(ISNUMBER(F2483),E2483*F2483,"")</f>
        <v/>
      </c>
      <c r="H2483" s="29"/>
      <c r="I2483" s="30"/>
      <c r="J2483" s="155">
        <v>0</v>
      </c>
    </row>
    <row r="2484" spans="1:10" ht="15.75" hidden="1" thickBot="1" x14ac:dyDescent="0.3">
      <c r="A2484" s="200"/>
      <c r="B2484" s="202"/>
      <c r="C2484" s="32"/>
      <c r="D2484" s="32"/>
      <c r="E2484" s="33"/>
      <c r="F2484" s="43" t="s">
        <v>558</v>
      </c>
      <c r="G2484" s="34" t="str">
        <f>IF(ISNUMBER(F2484),E2484*F2484,"")</f>
        <v/>
      </c>
      <c r="H2484" s="35"/>
      <c r="I2484" s="31"/>
      <c r="J2484" s="155">
        <v>0</v>
      </c>
    </row>
    <row r="2485" spans="1:10" ht="26.25" hidden="1" thickBot="1" x14ac:dyDescent="0.3">
      <c r="A2485" s="200"/>
      <c r="B2485" s="202"/>
      <c r="C2485" s="36" t="s">
        <v>133</v>
      </c>
      <c r="D2485" s="47" t="s">
        <v>42</v>
      </c>
      <c r="E2485" s="37">
        <v>2.2000000000000002</v>
      </c>
      <c r="F2485" s="31">
        <v>9.1294999999999984</v>
      </c>
      <c r="G2485" s="34">
        <f>IF(ISNUMBER(F2485),E2485*F2485,"")</f>
        <v>20.084899999999998</v>
      </c>
      <c r="H2485" s="39">
        <f>SUM(G2485:G2485)</f>
        <v>20.084899999999998</v>
      </c>
      <c r="I2485" s="40"/>
      <c r="J2485" s="155">
        <v>0</v>
      </c>
    </row>
    <row r="2486" spans="1:10" ht="15.75" hidden="1" thickBot="1" x14ac:dyDescent="0.3">
      <c r="A2486" s="201"/>
      <c r="B2486" s="188"/>
      <c r="C2486" s="36"/>
      <c r="D2486" s="36"/>
      <c r="E2486" s="37"/>
      <c r="F2486" s="31" t="s">
        <v>558</v>
      </c>
      <c r="G2486" s="34" t="str">
        <f>IF(ISNUMBER(F2486),E2486*F2486,"")</f>
        <v/>
      </c>
      <c r="H2486" s="35"/>
      <c r="I2486" s="31"/>
      <c r="J2486" s="155">
        <v>0</v>
      </c>
    </row>
    <row r="2487" spans="1:10" ht="15.75" hidden="1" thickBot="1" x14ac:dyDescent="0.3">
      <c r="A2487" s="180" t="s">
        <v>2137</v>
      </c>
      <c r="B2487" s="186" t="str">
        <f>INDEX(Orçamentária!A:B,MATCH(Composições!A2487,Orçamentária!A:A,0),2)</f>
        <v>Cantoneira laminada em aço abas iguais 2” x 1/8”</v>
      </c>
      <c r="C2487" s="41"/>
      <c r="D2487" s="26" t="str">
        <f>TRIM(INDEX(Orçamentária!C:C,MATCH(Composições!A2487,Orçamentária!A:A,0),1))</f>
        <v>m</v>
      </c>
      <c r="E2487" s="27"/>
      <c r="F2487" s="42" t="s">
        <v>558</v>
      </c>
      <c r="G2487" s="28" t="str">
        <f>IF(ISNUMBER(F2487),E2487*F2487,"")</f>
        <v/>
      </c>
      <c r="H2487" s="29"/>
      <c r="I2487" s="30"/>
      <c r="J2487" s="155">
        <v>0</v>
      </c>
    </row>
    <row r="2488" spans="1:10" ht="15.75" hidden="1" thickBot="1" x14ac:dyDescent="0.3">
      <c r="A2488" s="200"/>
      <c r="B2488" s="202"/>
      <c r="C2488" s="32"/>
      <c r="D2488" s="32"/>
      <c r="E2488" s="33"/>
      <c r="F2488" s="43" t="s">
        <v>558</v>
      </c>
      <c r="G2488" s="34" t="str">
        <f>IF(ISNUMBER(F2488),E2488*F2488,"")</f>
        <v/>
      </c>
      <c r="H2488" s="35"/>
      <c r="I2488" s="31"/>
      <c r="J2488" s="155">
        <v>0</v>
      </c>
    </row>
    <row r="2489" spans="1:10" ht="26.25" hidden="1" thickBot="1" x14ac:dyDescent="0.3">
      <c r="A2489" s="200"/>
      <c r="B2489" s="202"/>
      <c r="C2489" s="36" t="s">
        <v>133</v>
      </c>
      <c r="D2489" s="47" t="s">
        <v>42</v>
      </c>
      <c r="E2489" s="37">
        <v>2.46</v>
      </c>
      <c r="F2489" s="31">
        <v>9.1294999999999984</v>
      </c>
      <c r="G2489" s="34">
        <f>IF(ISNUMBER(F2489),E2489*F2489,"")</f>
        <v>22.458569999999995</v>
      </c>
      <c r="H2489" s="39">
        <f>SUM(G2489:G2489)</f>
        <v>22.458569999999995</v>
      </c>
      <c r="I2489" s="40"/>
      <c r="J2489" s="155">
        <v>0</v>
      </c>
    </row>
    <row r="2490" spans="1:10" ht="15.75" hidden="1" thickBot="1" x14ac:dyDescent="0.3">
      <c r="A2490" s="201"/>
      <c r="B2490" s="188"/>
      <c r="C2490" s="36"/>
      <c r="D2490" s="36"/>
      <c r="E2490" s="37"/>
      <c r="F2490" s="31" t="s">
        <v>558</v>
      </c>
      <c r="G2490" s="34" t="str">
        <f>IF(ISNUMBER(F2490),E2490*F2490,"")</f>
        <v/>
      </c>
      <c r="H2490" s="35"/>
      <c r="I2490" s="31"/>
      <c r="J2490" s="155">
        <v>0</v>
      </c>
    </row>
    <row r="2491" spans="1:10" ht="15.75" hidden="1" thickBot="1" x14ac:dyDescent="0.3">
      <c r="A2491" s="180" t="s">
        <v>2139</v>
      </c>
      <c r="B2491" s="186" t="str">
        <f>INDEX(Orçamentária!A:B,MATCH(Composições!A2491,Orçamentária!A:A,0),2)</f>
        <v>Cantoneira laminada em aço abas Iguais 2” x 3/16”</v>
      </c>
      <c r="C2491" s="41"/>
      <c r="D2491" s="26" t="str">
        <f>TRIM(INDEX(Orçamentária!C:C,MATCH(Composições!A2491,Orçamentária!A:A,0),1))</f>
        <v>m</v>
      </c>
      <c r="E2491" s="27"/>
      <c r="F2491" s="42" t="s">
        <v>558</v>
      </c>
      <c r="G2491" s="28" t="str">
        <f>IF(ISNUMBER(F2491),E2491*F2491,"")</f>
        <v/>
      </c>
      <c r="H2491" s="29"/>
      <c r="I2491" s="30"/>
      <c r="J2491" s="155">
        <v>0</v>
      </c>
    </row>
    <row r="2492" spans="1:10" ht="15.75" hidden="1" thickBot="1" x14ac:dyDescent="0.3">
      <c r="A2492" s="200"/>
      <c r="B2492" s="202"/>
      <c r="C2492" s="32"/>
      <c r="D2492" s="32"/>
      <c r="E2492" s="33"/>
      <c r="F2492" s="43" t="s">
        <v>558</v>
      </c>
      <c r="G2492" s="34" t="str">
        <f>IF(ISNUMBER(F2492),E2492*F2492,"")</f>
        <v/>
      </c>
      <c r="H2492" s="35"/>
      <c r="I2492" s="31"/>
      <c r="J2492" s="155">
        <v>0</v>
      </c>
    </row>
    <row r="2493" spans="1:10" ht="26.25" hidden="1" thickBot="1" x14ac:dyDescent="0.3">
      <c r="A2493" s="200"/>
      <c r="B2493" s="202"/>
      <c r="C2493" s="36" t="s">
        <v>133</v>
      </c>
      <c r="D2493" s="47" t="s">
        <v>42</v>
      </c>
      <c r="E2493" s="37">
        <v>3.63</v>
      </c>
      <c r="F2493" s="31">
        <v>9.1294999999999984</v>
      </c>
      <c r="G2493" s="34">
        <f>IF(ISNUMBER(F2493),E2493*F2493,"")</f>
        <v>33.140084999999992</v>
      </c>
      <c r="H2493" s="39">
        <f>SUM(G2493:G2493)</f>
        <v>33.140084999999992</v>
      </c>
      <c r="I2493" s="40"/>
      <c r="J2493" s="155">
        <v>0</v>
      </c>
    </row>
    <row r="2494" spans="1:10" ht="15.75" hidden="1" thickBot="1" x14ac:dyDescent="0.3">
      <c r="A2494" s="201"/>
      <c r="B2494" s="188"/>
      <c r="C2494" s="36"/>
      <c r="D2494" s="36"/>
      <c r="E2494" s="37"/>
      <c r="F2494" s="31" t="s">
        <v>558</v>
      </c>
      <c r="G2494" s="34" t="str">
        <f>IF(ISNUMBER(F2494),E2494*F2494,"")</f>
        <v/>
      </c>
      <c r="H2494" s="35"/>
      <c r="I2494" s="31"/>
      <c r="J2494" s="155">
        <v>0</v>
      </c>
    </row>
    <row r="2495" spans="1:10" ht="15.75" hidden="1" thickBot="1" x14ac:dyDescent="0.3">
      <c r="A2495" s="180" t="s">
        <v>2141</v>
      </c>
      <c r="B2495" s="186" t="str">
        <f>INDEX(Orçamentária!A:B,MATCH(Composições!A2495,Orçamentária!A:A,0),2)</f>
        <v>Cantoneira laminada em aço abas Iguais 5/8” x 1/8”</v>
      </c>
      <c r="C2495" s="41"/>
      <c r="D2495" s="26" t="str">
        <f>TRIM(INDEX(Orçamentária!C:C,MATCH(Composições!A2495,Orçamentária!A:A,0),1))</f>
        <v>m</v>
      </c>
      <c r="E2495" s="27"/>
      <c r="F2495" s="42" t="s">
        <v>558</v>
      </c>
      <c r="G2495" s="28" t="str">
        <f>IF(ISNUMBER(F2495),E2495*F2495,"")</f>
        <v/>
      </c>
      <c r="H2495" s="29"/>
      <c r="I2495" s="30"/>
      <c r="J2495" s="155">
        <v>0</v>
      </c>
    </row>
    <row r="2496" spans="1:10" ht="15.75" hidden="1" thickBot="1" x14ac:dyDescent="0.3">
      <c r="A2496" s="200"/>
      <c r="B2496" s="202"/>
      <c r="C2496" s="32"/>
      <c r="D2496" s="32"/>
      <c r="E2496" s="33"/>
      <c r="F2496" s="43" t="s">
        <v>558</v>
      </c>
      <c r="G2496" s="34" t="str">
        <f>IF(ISNUMBER(F2496),E2496*F2496,"")</f>
        <v/>
      </c>
      <c r="H2496" s="35"/>
      <c r="I2496" s="31"/>
      <c r="J2496" s="155">
        <v>0</v>
      </c>
    </row>
    <row r="2497" spans="1:10" ht="26.25" hidden="1" thickBot="1" x14ac:dyDescent="0.3">
      <c r="A2497" s="200"/>
      <c r="B2497" s="202"/>
      <c r="C2497" s="36" t="s">
        <v>133</v>
      </c>
      <c r="D2497" s="47" t="s">
        <v>42</v>
      </c>
      <c r="E2497" s="37">
        <v>0.71</v>
      </c>
      <c r="F2497" s="31">
        <v>9.1294999999999984</v>
      </c>
      <c r="G2497" s="34">
        <f>IF(ISNUMBER(F2497),E2497*F2497,"")</f>
        <v>6.4819449999999987</v>
      </c>
      <c r="H2497" s="39">
        <f>SUM(G2497:G2497)</f>
        <v>6.4819449999999987</v>
      </c>
      <c r="I2497" s="40"/>
      <c r="J2497" s="155">
        <v>0</v>
      </c>
    </row>
    <row r="2498" spans="1:10" ht="15.75" hidden="1" thickBot="1" x14ac:dyDescent="0.3">
      <c r="A2498" s="201"/>
      <c r="B2498" s="188"/>
      <c r="C2498" s="36"/>
      <c r="D2498" s="36"/>
      <c r="E2498" s="37"/>
      <c r="F2498" s="31" t="s">
        <v>558</v>
      </c>
      <c r="G2498" s="34" t="str">
        <f>IF(ISNUMBER(F2498),E2498*F2498,"")</f>
        <v/>
      </c>
      <c r="H2498" s="35"/>
      <c r="I2498" s="31"/>
      <c r="J2498" s="155">
        <v>0</v>
      </c>
    </row>
    <row r="2499" spans="1:10" ht="15.75" hidden="1" thickBot="1" x14ac:dyDescent="0.3">
      <c r="A2499" s="180" t="s">
        <v>2143</v>
      </c>
      <c r="B2499" s="186" t="str">
        <f>INDEX(Orçamentária!A:B,MATCH(Composições!A2499,Orçamentária!A:A,0),2)</f>
        <v>Chapa aço galvanizado # 16 (kg)</v>
      </c>
      <c r="C2499" s="41"/>
      <c r="D2499" s="26" t="str">
        <f>TRIM(INDEX(Orçamentária!C:C,MATCH(Composições!A2499,Orçamentária!A:A,0),1))</f>
        <v>kg</v>
      </c>
      <c r="E2499" s="27"/>
      <c r="F2499" s="42" t="s">
        <v>558</v>
      </c>
      <c r="G2499" s="28" t="str">
        <f>IF(ISNUMBER(F2499),E2499*F2499,"")</f>
        <v/>
      </c>
      <c r="H2499" s="29"/>
      <c r="I2499" s="30"/>
      <c r="J2499" s="155">
        <v>0</v>
      </c>
    </row>
    <row r="2500" spans="1:10" ht="15.75" hidden="1" thickBot="1" x14ac:dyDescent="0.3">
      <c r="A2500" s="200"/>
      <c r="B2500" s="202"/>
      <c r="C2500" s="32"/>
      <c r="D2500" s="32"/>
      <c r="E2500" s="33"/>
      <c r="F2500" s="43" t="s">
        <v>558</v>
      </c>
      <c r="G2500" s="34" t="str">
        <f>IF(ISNUMBER(F2500),E2500*F2500,"")</f>
        <v/>
      </c>
      <c r="H2500" s="35"/>
      <c r="I2500" s="31"/>
      <c r="J2500" s="155">
        <v>0</v>
      </c>
    </row>
    <row r="2501" spans="1:10" ht="26.25" hidden="1" thickBot="1" x14ac:dyDescent="0.3">
      <c r="A2501" s="200"/>
      <c r="B2501" s="202"/>
      <c r="C2501" s="36" t="s">
        <v>3338</v>
      </c>
      <c r="D2501" s="47" t="s">
        <v>42</v>
      </c>
      <c r="E2501" s="37">
        <v>1</v>
      </c>
      <c r="F2501" s="31">
        <v>14.25</v>
      </c>
      <c r="G2501" s="34">
        <f>IF(ISNUMBER(F2501),E2501*F2501,"")</f>
        <v>14.25</v>
      </c>
      <c r="H2501" s="39">
        <f>SUM(G2501:G2501)</f>
        <v>14.25</v>
      </c>
      <c r="I2501" s="40"/>
      <c r="J2501" s="155">
        <v>0</v>
      </c>
    </row>
    <row r="2502" spans="1:10" ht="15.75" hidden="1" thickBot="1" x14ac:dyDescent="0.3">
      <c r="A2502" s="201"/>
      <c r="B2502" s="188"/>
      <c r="C2502" s="36"/>
      <c r="D2502" s="36"/>
      <c r="E2502" s="37"/>
      <c r="F2502" s="31" t="s">
        <v>558</v>
      </c>
      <c r="G2502" s="34" t="str">
        <f>IF(ISNUMBER(F2502),E2502*F2502,"")</f>
        <v/>
      </c>
      <c r="H2502" s="35"/>
      <c r="I2502" s="31"/>
      <c r="J2502" s="155">
        <v>0</v>
      </c>
    </row>
    <row r="2503" spans="1:10" ht="15.75" hidden="1" thickBot="1" x14ac:dyDescent="0.3">
      <c r="A2503" s="180" t="s">
        <v>2145</v>
      </c>
      <c r="B2503" s="186" t="str">
        <f>INDEX(Orçamentária!A:B,MATCH(Composições!A2503,Orçamentária!A:A,0),2)</f>
        <v>Ferro chato 1"x1/8"</v>
      </c>
      <c r="C2503" s="41"/>
      <c r="D2503" s="26" t="str">
        <f>TRIM(INDEX(Orçamentária!C:C,MATCH(Composições!A2503,Orçamentária!A:A,0),1))</f>
        <v>m</v>
      </c>
      <c r="E2503" s="27"/>
      <c r="F2503" s="42" t="s">
        <v>558</v>
      </c>
      <c r="G2503" s="28" t="str">
        <f>IF(ISNUMBER(F2503),E2503*F2503,"")</f>
        <v/>
      </c>
      <c r="H2503" s="29"/>
      <c r="I2503" s="30"/>
      <c r="J2503" s="155">
        <v>0</v>
      </c>
    </row>
    <row r="2504" spans="1:10" ht="15.75" hidden="1" thickBot="1" x14ac:dyDescent="0.3">
      <c r="A2504" s="200"/>
      <c r="B2504" s="202"/>
      <c r="C2504" s="32"/>
      <c r="D2504" s="32"/>
      <c r="E2504" s="33"/>
      <c r="F2504" s="43" t="s">
        <v>558</v>
      </c>
      <c r="G2504" s="34" t="str">
        <f>IF(ISNUMBER(F2504),E2504*F2504,"")</f>
        <v/>
      </c>
      <c r="H2504" s="35"/>
      <c r="I2504" s="31"/>
      <c r="J2504" s="155">
        <v>0</v>
      </c>
    </row>
    <row r="2505" spans="1:10" ht="15.75" hidden="1" thickBot="1" x14ac:dyDescent="0.3">
      <c r="A2505" s="200"/>
      <c r="B2505" s="202"/>
      <c r="C2505" s="36" t="s">
        <v>3782</v>
      </c>
      <c r="D2505" s="47" t="s">
        <v>42</v>
      </c>
      <c r="E2505" s="37">
        <v>0.63</v>
      </c>
      <c r="F2505" s="31">
        <v>12.254999999999999</v>
      </c>
      <c r="G2505" s="34">
        <f>IF(ISNUMBER(F2505),E2505*F2505,"")</f>
        <v>7.7206499999999991</v>
      </c>
      <c r="H2505" s="39">
        <f>SUM(G2505:G2505)</f>
        <v>7.7206499999999991</v>
      </c>
      <c r="I2505" s="40"/>
      <c r="J2505" s="155">
        <v>0</v>
      </c>
    </row>
    <row r="2506" spans="1:10" ht="15.75" hidden="1" thickBot="1" x14ac:dyDescent="0.3">
      <c r="A2506" s="201"/>
      <c r="B2506" s="188"/>
      <c r="C2506" s="36"/>
      <c r="D2506" s="36"/>
      <c r="E2506" s="37"/>
      <c r="F2506" s="31" t="s">
        <v>558</v>
      </c>
      <c r="G2506" s="34" t="str">
        <f>IF(ISNUMBER(F2506),E2506*F2506,"")</f>
        <v/>
      </c>
      <c r="H2506" s="35"/>
      <c r="I2506" s="31"/>
      <c r="J2506" s="155">
        <v>0</v>
      </c>
    </row>
    <row r="2507" spans="1:10" ht="15.75" hidden="1" thickBot="1" x14ac:dyDescent="0.3">
      <c r="A2507" s="180" t="s">
        <v>2147</v>
      </c>
      <c r="B2507" s="186" t="str">
        <f>INDEX(Orçamentária!A:B,MATCH(Composições!A2507,Orçamentária!A:A,0),2)</f>
        <v>Ferro chato 1"x3/16"</v>
      </c>
      <c r="C2507" s="41"/>
      <c r="D2507" s="26" t="str">
        <f>TRIM(INDEX(Orçamentária!C:C,MATCH(Composições!A2507,Orçamentária!A:A,0),1))</f>
        <v>m</v>
      </c>
      <c r="E2507" s="27"/>
      <c r="F2507" s="42" t="s">
        <v>558</v>
      </c>
      <c r="G2507" s="28" t="str">
        <f>IF(ISNUMBER(F2507),E2507*F2507,"")</f>
        <v/>
      </c>
      <c r="H2507" s="29"/>
      <c r="I2507" s="30"/>
      <c r="J2507" s="155">
        <v>0</v>
      </c>
    </row>
    <row r="2508" spans="1:10" ht="15.75" hidden="1" thickBot="1" x14ac:dyDescent="0.3">
      <c r="A2508" s="200"/>
      <c r="B2508" s="202"/>
      <c r="C2508" s="32"/>
      <c r="D2508" s="32"/>
      <c r="E2508" s="33"/>
      <c r="F2508" s="43" t="s">
        <v>558</v>
      </c>
      <c r="G2508" s="34" t="str">
        <f>IF(ISNUMBER(F2508),E2508*F2508,"")</f>
        <v/>
      </c>
      <c r="H2508" s="35"/>
      <c r="I2508" s="31"/>
      <c r="J2508" s="155">
        <v>0</v>
      </c>
    </row>
    <row r="2509" spans="1:10" ht="15.75" hidden="1" thickBot="1" x14ac:dyDescent="0.3">
      <c r="A2509" s="200"/>
      <c r="B2509" s="202"/>
      <c r="C2509" s="36" t="s">
        <v>3782</v>
      </c>
      <c r="D2509" s="47" t="s">
        <v>42</v>
      </c>
      <c r="E2509" s="37">
        <v>0.95</v>
      </c>
      <c r="F2509" s="31">
        <v>12.254999999999999</v>
      </c>
      <c r="G2509" s="34">
        <f>IF(ISNUMBER(F2509),E2509*F2509,"")</f>
        <v>11.642249999999999</v>
      </c>
      <c r="H2509" s="39">
        <f>SUM(G2509:G2509)</f>
        <v>11.642249999999999</v>
      </c>
      <c r="I2509" s="40"/>
      <c r="J2509" s="155">
        <v>0</v>
      </c>
    </row>
    <row r="2510" spans="1:10" ht="15.75" hidden="1" thickBot="1" x14ac:dyDescent="0.3">
      <c r="A2510" s="201"/>
      <c r="B2510" s="188"/>
      <c r="C2510" s="36"/>
      <c r="D2510" s="36"/>
      <c r="E2510" s="37"/>
      <c r="F2510" s="31" t="s">
        <v>558</v>
      </c>
      <c r="G2510" s="34" t="str">
        <f>IF(ISNUMBER(F2510),E2510*F2510,"")</f>
        <v/>
      </c>
      <c r="H2510" s="35"/>
      <c r="I2510" s="31"/>
      <c r="J2510" s="155">
        <v>0</v>
      </c>
    </row>
    <row r="2511" spans="1:10" ht="15.75" hidden="1" thickBot="1" x14ac:dyDescent="0.3">
      <c r="A2511" s="180" t="s">
        <v>2149</v>
      </c>
      <c r="B2511" s="186" t="str">
        <f>INDEX(Orçamentária!A:B,MATCH(Composições!A2511,Orçamentária!A:A,0),2)</f>
        <v>Ferro chato  3/4"x1/4" ou 7/8"x1/4" ou 1” x 1/4”</v>
      </c>
      <c r="C2511" s="41"/>
      <c r="D2511" s="26" t="str">
        <f>TRIM(INDEX(Orçamentária!C:C,MATCH(Composições!A2511,Orçamentária!A:A,0),1))</f>
        <v>m</v>
      </c>
      <c r="E2511" s="27"/>
      <c r="F2511" s="42" t="s">
        <v>558</v>
      </c>
      <c r="G2511" s="28" t="str">
        <f>IF(ISNUMBER(F2511),E2511*F2511,"")</f>
        <v/>
      </c>
      <c r="H2511" s="29"/>
      <c r="I2511" s="30"/>
      <c r="J2511" s="155">
        <v>0</v>
      </c>
    </row>
    <row r="2512" spans="1:10" ht="15.75" hidden="1" thickBot="1" x14ac:dyDescent="0.3">
      <c r="A2512" s="200"/>
      <c r="B2512" s="202"/>
      <c r="C2512" s="32"/>
      <c r="D2512" s="32"/>
      <c r="E2512" s="33"/>
      <c r="F2512" s="43" t="s">
        <v>558</v>
      </c>
      <c r="G2512" s="34" t="str">
        <f>IF(ISNUMBER(F2512),E2512*F2512,"")</f>
        <v/>
      </c>
      <c r="H2512" s="35"/>
      <c r="I2512" s="31"/>
      <c r="J2512" s="155">
        <v>0</v>
      </c>
    </row>
    <row r="2513" spans="1:10" ht="15.75" hidden="1" thickBot="1" x14ac:dyDescent="0.3">
      <c r="A2513" s="200"/>
      <c r="B2513" s="202"/>
      <c r="C2513" s="36" t="s">
        <v>3782</v>
      </c>
      <c r="D2513" s="47" t="s">
        <v>42</v>
      </c>
      <c r="E2513" s="37">
        <v>1.1100000000000001</v>
      </c>
      <c r="F2513" s="31">
        <v>12.254999999999999</v>
      </c>
      <c r="G2513" s="34">
        <f>IF(ISNUMBER(F2513),E2513*F2513,"")</f>
        <v>13.60305</v>
      </c>
      <c r="H2513" s="39">
        <f>SUM(G2513:G2513)</f>
        <v>13.60305</v>
      </c>
      <c r="I2513" s="40"/>
      <c r="J2513" s="155">
        <v>0</v>
      </c>
    </row>
    <row r="2514" spans="1:10" ht="15.75" hidden="1" thickBot="1" x14ac:dyDescent="0.3">
      <c r="A2514" s="201"/>
      <c r="B2514" s="188"/>
      <c r="C2514" s="36"/>
      <c r="D2514" s="36"/>
      <c r="E2514" s="37"/>
      <c r="F2514" s="31" t="s">
        <v>558</v>
      </c>
      <c r="G2514" s="34" t="str">
        <f>IF(ISNUMBER(F2514),E2514*F2514,"")</f>
        <v/>
      </c>
      <c r="H2514" s="35"/>
      <c r="I2514" s="31"/>
      <c r="J2514" s="155">
        <v>0</v>
      </c>
    </row>
    <row r="2515" spans="1:10" ht="15.75" hidden="1" thickBot="1" x14ac:dyDescent="0.3">
      <c r="A2515" s="180" t="s">
        <v>2151</v>
      </c>
      <c r="B2515" s="186" t="str">
        <f>INDEX(Orçamentária!A:B,MATCH(Composições!A2515,Orçamentária!A:A,0),2)</f>
        <v>Ferro chato 3/4"x1/8"</v>
      </c>
      <c r="C2515" s="41"/>
      <c r="D2515" s="26" t="str">
        <f>TRIM(INDEX(Orçamentária!C:C,MATCH(Composições!A2515,Orçamentária!A:A,0),1))</f>
        <v>m</v>
      </c>
      <c r="E2515" s="27"/>
      <c r="F2515" s="42" t="s">
        <v>558</v>
      </c>
      <c r="G2515" s="28" t="str">
        <f>IF(ISNUMBER(F2515),E2515*F2515,"")</f>
        <v/>
      </c>
      <c r="H2515" s="29"/>
      <c r="I2515" s="30"/>
      <c r="J2515" s="155">
        <v>0</v>
      </c>
    </row>
    <row r="2516" spans="1:10" ht="15.75" hidden="1" thickBot="1" x14ac:dyDescent="0.3">
      <c r="A2516" s="200"/>
      <c r="B2516" s="202"/>
      <c r="C2516" s="32"/>
      <c r="D2516" s="32"/>
      <c r="E2516" s="33"/>
      <c r="F2516" s="43" t="s">
        <v>558</v>
      </c>
      <c r="G2516" s="34" t="str">
        <f>IF(ISNUMBER(F2516),E2516*F2516,"")</f>
        <v/>
      </c>
      <c r="H2516" s="35"/>
      <c r="I2516" s="31"/>
      <c r="J2516" s="155">
        <v>0</v>
      </c>
    </row>
    <row r="2517" spans="1:10" ht="15.75" hidden="1" thickBot="1" x14ac:dyDescent="0.3">
      <c r="A2517" s="200"/>
      <c r="B2517" s="202"/>
      <c r="C2517" s="36" t="s">
        <v>3782</v>
      </c>
      <c r="D2517" s="47" t="s">
        <v>42</v>
      </c>
      <c r="E2517" s="37">
        <v>0.48</v>
      </c>
      <c r="F2517" s="31">
        <v>12.254999999999999</v>
      </c>
      <c r="G2517" s="34">
        <f>IF(ISNUMBER(F2517),E2517*F2517,"")</f>
        <v>5.8823999999999996</v>
      </c>
      <c r="H2517" s="39">
        <f>SUM(G2517:G2517)</f>
        <v>5.8823999999999996</v>
      </c>
      <c r="I2517" s="40"/>
      <c r="J2517" s="155">
        <v>0</v>
      </c>
    </row>
    <row r="2518" spans="1:10" ht="15.75" hidden="1" thickBot="1" x14ac:dyDescent="0.3">
      <c r="A2518" s="201"/>
      <c r="B2518" s="188"/>
      <c r="C2518" s="36"/>
      <c r="D2518" s="36"/>
      <c r="E2518" s="37"/>
      <c r="F2518" s="31" t="s">
        <v>558</v>
      </c>
      <c r="G2518" s="34" t="str">
        <f>IF(ISNUMBER(F2518),E2518*F2518,"")</f>
        <v/>
      </c>
      <c r="H2518" s="35"/>
      <c r="I2518" s="31"/>
      <c r="J2518" s="155">
        <v>0</v>
      </c>
    </row>
    <row r="2519" spans="1:10" ht="15.75" hidden="1" thickBot="1" x14ac:dyDescent="0.3">
      <c r="A2519" s="180" t="s">
        <v>2153</v>
      </c>
      <c r="B2519" s="186" t="str">
        <f>INDEX(Orçamentária!A:B,MATCH(Composições!A2519,Orçamentária!A:A,0),2)</f>
        <v>Ferro chato 3/4"x3/16"</v>
      </c>
      <c r="C2519" s="41"/>
      <c r="D2519" s="26" t="str">
        <f>TRIM(INDEX(Orçamentária!C:C,MATCH(Composições!A2519,Orçamentária!A:A,0),1))</f>
        <v>m</v>
      </c>
      <c r="E2519" s="27"/>
      <c r="F2519" s="42" t="s">
        <v>558</v>
      </c>
      <c r="G2519" s="28" t="str">
        <f>IF(ISNUMBER(F2519),E2519*F2519,"")</f>
        <v/>
      </c>
      <c r="H2519" s="29"/>
      <c r="I2519" s="30"/>
      <c r="J2519" s="155">
        <v>0</v>
      </c>
    </row>
    <row r="2520" spans="1:10" ht="15.75" hidden="1" thickBot="1" x14ac:dyDescent="0.3">
      <c r="A2520" s="200"/>
      <c r="B2520" s="202"/>
      <c r="C2520" s="32"/>
      <c r="D2520" s="32"/>
      <c r="E2520" s="33"/>
      <c r="F2520" s="43" t="s">
        <v>558</v>
      </c>
      <c r="G2520" s="34" t="str">
        <f>IF(ISNUMBER(F2520),E2520*F2520,"")</f>
        <v/>
      </c>
      <c r="H2520" s="35"/>
      <c r="I2520" s="31"/>
      <c r="J2520" s="155">
        <v>0</v>
      </c>
    </row>
    <row r="2521" spans="1:10" ht="15.75" hidden="1" thickBot="1" x14ac:dyDescent="0.3">
      <c r="A2521" s="200"/>
      <c r="B2521" s="202"/>
      <c r="C2521" s="36" t="s">
        <v>3782</v>
      </c>
      <c r="D2521" s="47" t="s">
        <v>42</v>
      </c>
      <c r="E2521" s="37">
        <v>0.71</v>
      </c>
      <c r="F2521" s="31">
        <v>12.254999999999999</v>
      </c>
      <c r="G2521" s="34">
        <f>IF(ISNUMBER(F2521),E2521*F2521,"")</f>
        <v>8.7010499999999986</v>
      </c>
      <c r="H2521" s="39">
        <f>SUM(G2521:G2521)</f>
        <v>8.7010499999999986</v>
      </c>
      <c r="I2521" s="40"/>
      <c r="J2521" s="155">
        <v>0</v>
      </c>
    </row>
    <row r="2522" spans="1:10" ht="15.75" hidden="1" thickBot="1" x14ac:dyDescent="0.3">
      <c r="A2522" s="201"/>
      <c r="B2522" s="188"/>
      <c r="C2522" s="36"/>
      <c r="D2522" s="36"/>
      <c r="E2522" s="37"/>
      <c r="F2522" s="31" t="s">
        <v>558</v>
      </c>
      <c r="G2522" s="34" t="str">
        <f>IF(ISNUMBER(F2522),E2522*F2522,"")</f>
        <v/>
      </c>
      <c r="H2522" s="35"/>
      <c r="I2522" s="31"/>
      <c r="J2522" s="155">
        <v>0</v>
      </c>
    </row>
    <row r="2523" spans="1:10" ht="15.75" hidden="1" thickBot="1" x14ac:dyDescent="0.3">
      <c r="A2523" s="180" t="s">
        <v>2155</v>
      </c>
      <c r="B2523" s="186" t="str">
        <f>INDEX(Orçamentária!A:B,MATCH(Composições!A2523,Orçamentária!A:A,0),2)</f>
        <v>Ferro chato 5/8"x1/8"</v>
      </c>
      <c r="C2523" s="41"/>
      <c r="D2523" s="26" t="str">
        <f>TRIM(INDEX(Orçamentária!C:C,MATCH(Composições!A2523,Orçamentária!A:A,0),1))</f>
        <v>m</v>
      </c>
      <c r="E2523" s="27"/>
      <c r="F2523" s="42" t="s">
        <v>558</v>
      </c>
      <c r="G2523" s="28" t="str">
        <f>IF(ISNUMBER(F2523),E2523*F2523,"")</f>
        <v/>
      </c>
      <c r="H2523" s="29"/>
      <c r="I2523" s="30"/>
      <c r="J2523" s="155">
        <v>0</v>
      </c>
    </row>
    <row r="2524" spans="1:10" ht="15.75" hidden="1" thickBot="1" x14ac:dyDescent="0.3">
      <c r="A2524" s="200"/>
      <c r="B2524" s="202"/>
      <c r="C2524" s="32"/>
      <c r="D2524" s="32"/>
      <c r="E2524" s="33"/>
      <c r="F2524" s="43" t="s">
        <v>558</v>
      </c>
      <c r="G2524" s="34" t="str">
        <f>IF(ISNUMBER(F2524),E2524*F2524,"")</f>
        <v/>
      </c>
      <c r="H2524" s="35"/>
      <c r="I2524" s="31"/>
      <c r="J2524" s="155">
        <v>0</v>
      </c>
    </row>
    <row r="2525" spans="1:10" ht="15.75" hidden="1" thickBot="1" x14ac:dyDescent="0.3">
      <c r="A2525" s="200"/>
      <c r="B2525" s="202"/>
      <c r="C2525" s="36" t="s">
        <v>3782</v>
      </c>
      <c r="D2525" s="47" t="s">
        <v>42</v>
      </c>
      <c r="E2525" s="37">
        <v>0.4</v>
      </c>
      <c r="F2525" s="31">
        <v>12.254999999999999</v>
      </c>
      <c r="G2525" s="34">
        <f>IF(ISNUMBER(F2525),E2525*F2525,"")</f>
        <v>4.9020000000000001</v>
      </c>
      <c r="H2525" s="39">
        <f>SUM(G2525:G2525)</f>
        <v>4.9020000000000001</v>
      </c>
      <c r="I2525" s="40"/>
      <c r="J2525" s="155">
        <v>0</v>
      </c>
    </row>
    <row r="2526" spans="1:10" ht="15.75" hidden="1" thickBot="1" x14ac:dyDescent="0.3">
      <c r="A2526" s="201"/>
      <c r="B2526" s="188"/>
      <c r="C2526" s="36"/>
      <c r="D2526" s="36"/>
      <c r="E2526" s="37"/>
      <c r="F2526" s="31" t="s">
        <v>558</v>
      </c>
      <c r="G2526" s="34" t="str">
        <f>IF(ISNUMBER(F2526),E2526*F2526,"")</f>
        <v/>
      </c>
      <c r="H2526" s="35"/>
      <c r="I2526" s="31"/>
      <c r="J2526" s="155">
        <v>0</v>
      </c>
    </row>
    <row r="2527" spans="1:10" ht="15.75" hidden="1" thickBot="1" x14ac:dyDescent="0.3">
      <c r="A2527" s="180" t="s">
        <v>2157</v>
      </c>
      <c r="B2527" s="186" t="str">
        <f>INDEX(Orçamentária!A:B,MATCH(Composições!A2527,Orçamentária!A:A,0),2)</f>
        <v>Ferro chato 5/8"x3/16"</v>
      </c>
      <c r="C2527" s="41"/>
      <c r="D2527" s="26" t="str">
        <f>TRIM(INDEX(Orçamentária!C:C,MATCH(Composições!A2527,Orçamentária!A:A,0),1))</f>
        <v>m</v>
      </c>
      <c r="E2527" s="27"/>
      <c r="F2527" s="42" t="s">
        <v>558</v>
      </c>
      <c r="G2527" s="28" t="str">
        <f>IF(ISNUMBER(F2527),E2527*F2527,"")</f>
        <v/>
      </c>
      <c r="H2527" s="29"/>
      <c r="I2527" s="30"/>
      <c r="J2527" s="155">
        <v>0</v>
      </c>
    </row>
    <row r="2528" spans="1:10" ht="15.75" hidden="1" thickBot="1" x14ac:dyDescent="0.3">
      <c r="A2528" s="200"/>
      <c r="B2528" s="202"/>
      <c r="C2528" s="32"/>
      <c r="D2528" s="32"/>
      <c r="E2528" s="33"/>
      <c r="F2528" s="43" t="s">
        <v>558</v>
      </c>
      <c r="G2528" s="34" t="str">
        <f>IF(ISNUMBER(F2528),E2528*F2528,"")</f>
        <v/>
      </c>
      <c r="H2528" s="35"/>
      <c r="I2528" s="31"/>
      <c r="J2528" s="155">
        <v>0</v>
      </c>
    </row>
    <row r="2529" spans="1:10" ht="15.75" hidden="1" thickBot="1" x14ac:dyDescent="0.3">
      <c r="A2529" s="200"/>
      <c r="B2529" s="202"/>
      <c r="C2529" s="36" t="s">
        <v>3782</v>
      </c>
      <c r="D2529" s="47" t="s">
        <v>42</v>
      </c>
      <c r="E2529" s="37">
        <v>0.79</v>
      </c>
      <c r="F2529" s="31">
        <v>12.254999999999999</v>
      </c>
      <c r="G2529" s="34">
        <f>IF(ISNUMBER(F2529),E2529*F2529,"")</f>
        <v>9.6814499999999999</v>
      </c>
      <c r="H2529" s="39">
        <f>SUM(G2529:G2529)</f>
        <v>9.6814499999999999</v>
      </c>
      <c r="I2529" s="40"/>
      <c r="J2529" s="155">
        <v>0</v>
      </c>
    </row>
    <row r="2530" spans="1:10" ht="15.75" hidden="1" thickBot="1" x14ac:dyDescent="0.3">
      <c r="A2530" s="201"/>
      <c r="B2530" s="188"/>
      <c r="C2530" s="36"/>
      <c r="D2530" s="36"/>
      <c r="E2530" s="37"/>
      <c r="F2530" s="31" t="s">
        <v>558</v>
      </c>
      <c r="G2530" s="34" t="str">
        <f>IF(ISNUMBER(F2530),E2530*F2530,"")</f>
        <v/>
      </c>
      <c r="H2530" s="35"/>
      <c r="I2530" s="31"/>
      <c r="J2530" s="155">
        <v>0</v>
      </c>
    </row>
    <row r="2531" spans="1:10" ht="15.75" hidden="1" thickBot="1" x14ac:dyDescent="0.3">
      <c r="A2531" s="180" t="s">
        <v>2159</v>
      </c>
      <c r="B2531" s="186" t="str">
        <f>INDEX(Orçamentária!A:B,MATCH(Composições!A2531,Orçamentária!A:A,0),2)</f>
        <v>Ferro chato 7/8"x1/8"</v>
      </c>
      <c r="C2531" s="41"/>
      <c r="D2531" s="26" t="str">
        <f>TRIM(INDEX(Orçamentária!C:C,MATCH(Composições!A2531,Orçamentária!A:A,0),1))</f>
        <v>m</v>
      </c>
      <c r="E2531" s="27"/>
      <c r="F2531" s="42" t="s">
        <v>558</v>
      </c>
      <c r="G2531" s="28" t="str">
        <f>IF(ISNUMBER(F2531),E2531*F2531,"")</f>
        <v/>
      </c>
      <c r="H2531" s="29"/>
      <c r="I2531" s="30"/>
      <c r="J2531" s="155">
        <v>0</v>
      </c>
    </row>
    <row r="2532" spans="1:10" ht="15.75" hidden="1" thickBot="1" x14ac:dyDescent="0.3">
      <c r="A2532" s="200"/>
      <c r="B2532" s="202"/>
      <c r="C2532" s="32"/>
      <c r="D2532" s="32"/>
      <c r="E2532" s="33"/>
      <c r="F2532" s="43" t="s">
        <v>558</v>
      </c>
      <c r="G2532" s="34" t="str">
        <f>IF(ISNUMBER(F2532),E2532*F2532,"")</f>
        <v/>
      </c>
      <c r="H2532" s="35"/>
      <c r="I2532" s="31"/>
      <c r="J2532" s="155">
        <v>0</v>
      </c>
    </row>
    <row r="2533" spans="1:10" ht="15.75" hidden="1" thickBot="1" x14ac:dyDescent="0.3">
      <c r="A2533" s="200"/>
      <c r="B2533" s="202"/>
      <c r="C2533" s="36" t="s">
        <v>3782</v>
      </c>
      <c r="D2533" s="47" t="s">
        <v>42</v>
      </c>
      <c r="E2533" s="37">
        <v>0.55000000000000004</v>
      </c>
      <c r="F2533" s="31">
        <v>12.254999999999999</v>
      </c>
      <c r="G2533" s="34">
        <f>IF(ISNUMBER(F2533),E2533*F2533,"")</f>
        <v>6.7402499999999996</v>
      </c>
      <c r="H2533" s="39">
        <f>SUM(G2533:G2533)</f>
        <v>6.7402499999999996</v>
      </c>
      <c r="I2533" s="40"/>
      <c r="J2533" s="155">
        <v>0</v>
      </c>
    </row>
    <row r="2534" spans="1:10" ht="15.75" hidden="1" thickBot="1" x14ac:dyDescent="0.3">
      <c r="A2534" s="201"/>
      <c r="B2534" s="188"/>
      <c r="C2534" s="36"/>
      <c r="D2534" s="36"/>
      <c r="E2534" s="37"/>
      <c r="F2534" s="31" t="s">
        <v>558</v>
      </c>
      <c r="G2534" s="34" t="str">
        <f>IF(ISNUMBER(F2534),E2534*F2534,"")</f>
        <v/>
      </c>
      <c r="H2534" s="35"/>
      <c r="I2534" s="31"/>
      <c r="J2534" s="155">
        <v>0</v>
      </c>
    </row>
    <row r="2535" spans="1:10" ht="15.75" hidden="1" thickBot="1" x14ac:dyDescent="0.3">
      <c r="A2535" s="180" t="s">
        <v>2161</v>
      </c>
      <c r="B2535" s="186" t="str">
        <f>INDEX(Orçamentária!A:B,MATCH(Composições!A2535,Orçamentária!A:A,0),2)</f>
        <v>Ferro chato 7/8"x3/16"</v>
      </c>
      <c r="C2535" s="41"/>
      <c r="D2535" s="26" t="str">
        <f>TRIM(INDEX(Orçamentária!C:C,MATCH(Composições!A2535,Orçamentária!A:A,0),1))</f>
        <v>m</v>
      </c>
      <c r="E2535" s="27"/>
      <c r="F2535" s="42" t="s">
        <v>558</v>
      </c>
      <c r="G2535" s="28" t="str">
        <f>IF(ISNUMBER(F2535),E2535*F2535,"")</f>
        <v/>
      </c>
      <c r="H2535" s="29"/>
      <c r="I2535" s="30"/>
      <c r="J2535" s="155">
        <v>0</v>
      </c>
    </row>
    <row r="2536" spans="1:10" ht="15.75" hidden="1" thickBot="1" x14ac:dyDescent="0.3">
      <c r="A2536" s="200"/>
      <c r="B2536" s="202"/>
      <c r="C2536" s="32"/>
      <c r="D2536" s="32"/>
      <c r="E2536" s="33"/>
      <c r="F2536" s="43" t="s">
        <v>558</v>
      </c>
      <c r="G2536" s="34" t="str">
        <f>IF(ISNUMBER(F2536),E2536*F2536,"")</f>
        <v/>
      </c>
      <c r="H2536" s="35"/>
      <c r="I2536" s="31"/>
      <c r="J2536" s="155">
        <v>0</v>
      </c>
    </row>
    <row r="2537" spans="1:10" ht="15.75" hidden="1" thickBot="1" x14ac:dyDescent="0.3">
      <c r="A2537" s="200"/>
      <c r="B2537" s="202"/>
      <c r="C2537" s="36" t="s">
        <v>3782</v>
      </c>
      <c r="D2537" s="47" t="s">
        <v>42</v>
      </c>
      <c r="E2537" s="37">
        <v>0.83</v>
      </c>
      <c r="F2537" s="31">
        <v>12.254999999999999</v>
      </c>
      <c r="G2537" s="34">
        <f>IF(ISNUMBER(F2537),E2537*F2537,"")</f>
        <v>10.171649999999998</v>
      </c>
      <c r="H2537" s="39">
        <f>SUM(G2537:G2537)</f>
        <v>10.171649999999998</v>
      </c>
      <c r="I2537" s="40"/>
      <c r="J2537" s="155">
        <v>0</v>
      </c>
    </row>
    <row r="2538" spans="1:10" ht="15.75" hidden="1" thickBot="1" x14ac:dyDescent="0.3">
      <c r="A2538" s="201"/>
      <c r="B2538" s="188"/>
      <c r="C2538" s="36"/>
      <c r="D2538" s="36"/>
      <c r="E2538" s="37"/>
      <c r="F2538" s="31" t="s">
        <v>558</v>
      </c>
      <c r="G2538" s="34" t="str">
        <f>IF(ISNUMBER(F2538),E2538*F2538,"")</f>
        <v/>
      </c>
      <c r="H2538" s="35"/>
      <c r="I2538" s="31"/>
      <c r="J2538" s="155">
        <v>0</v>
      </c>
    </row>
    <row r="2539" spans="1:10" ht="15.75" hidden="1" thickBot="1" x14ac:dyDescent="0.3">
      <c r="A2539" s="180" t="s">
        <v>2248</v>
      </c>
      <c r="B2539" s="186" t="str">
        <f>INDEX(Orçamentária!A:B,MATCH(Composições!A2539,Orçamentária!A:A,0),2)</f>
        <v>Tela de estuque</v>
      </c>
      <c r="C2539" s="41"/>
      <c r="D2539" s="26" t="str">
        <f>TRIM(INDEX(Orçamentária!C:C,MATCH(Composições!A2539,Orçamentária!A:A,0),1))</f>
        <v>m2</v>
      </c>
      <c r="E2539" s="27"/>
      <c r="F2539" s="42" t="s">
        <v>558</v>
      </c>
      <c r="G2539" s="28" t="str">
        <f>IF(ISNUMBER(F2539),E2539*F2539,"")</f>
        <v/>
      </c>
      <c r="H2539" s="29"/>
      <c r="I2539" s="30"/>
      <c r="J2539" s="155">
        <v>0</v>
      </c>
    </row>
    <row r="2540" spans="1:10" ht="15.75" hidden="1" thickBot="1" x14ac:dyDescent="0.3">
      <c r="A2540" s="200"/>
      <c r="B2540" s="202"/>
      <c r="C2540" s="32"/>
      <c r="D2540" s="32"/>
      <c r="E2540" s="33"/>
      <c r="F2540" s="43" t="s">
        <v>558</v>
      </c>
      <c r="G2540" s="34" t="str">
        <f>IF(ISNUMBER(F2540),E2540*F2540,"")</f>
        <v/>
      </c>
      <c r="H2540" s="35"/>
      <c r="I2540" s="31"/>
      <c r="J2540" s="155">
        <v>0</v>
      </c>
    </row>
    <row r="2541" spans="1:10" ht="15.75" hidden="1" thickBot="1" x14ac:dyDescent="0.3">
      <c r="A2541" s="200"/>
      <c r="B2541" s="202"/>
      <c r="C2541" s="36" t="s">
        <v>3459</v>
      </c>
      <c r="D2541" s="47" t="s">
        <v>95</v>
      </c>
      <c r="E2541" s="37">
        <v>1</v>
      </c>
      <c r="F2541" s="31">
        <v>5.4245000000000001</v>
      </c>
      <c r="G2541" s="34">
        <f>IF(ISNUMBER(F2541),E2541*F2541,"")</f>
        <v>5.4245000000000001</v>
      </c>
      <c r="H2541" s="39">
        <f>SUM(G2541:G2541)</f>
        <v>5.4245000000000001</v>
      </c>
      <c r="I2541" s="40"/>
      <c r="J2541" s="155">
        <v>0</v>
      </c>
    </row>
    <row r="2542" spans="1:10" ht="15.75" hidden="1" thickBot="1" x14ac:dyDescent="0.3">
      <c r="A2542" s="201"/>
      <c r="B2542" s="188"/>
      <c r="C2542" s="36"/>
      <c r="D2542" s="36"/>
      <c r="E2542" s="37"/>
      <c r="F2542" s="31" t="s">
        <v>558</v>
      </c>
      <c r="G2542" s="34" t="str">
        <f>IF(ISNUMBER(F2542),E2542*F2542,"")</f>
        <v/>
      </c>
      <c r="H2542" s="35"/>
      <c r="I2542" s="31"/>
      <c r="J2542" s="155">
        <v>0</v>
      </c>
    </row>
    <row r="2543" spans="1:10" ht="15.75" hidden="1" thickBot="1" x14ac:dyDescent="0.3">
      <c r="A2543" s="180" t="s">
        <v>2252</v>
      </c>
      <c r="B2543" s="186" t="str">
        <f>INDEX(Orçamentária!A:B,MATCH(Composições!A2543,Orçamentária!A:A,0),2)</f>
        <v>Arame galvanizado, bitola 16 BWG (1,65mm)</v>
      </c>
      <c r="C2543" s="41"/>
      <c r="D2543" s="26" t="str">
        <f>TRIM(INDEX(Orçamentária!C:C,MATCH(Composições!A2543,Orçamentária!A:A,0),1))</f>
        <v>kg</v>
      </c>
      <c r="E2543" s="27"/>
      <c r="F2543" s="42" t="s">
        <v>558</v>
      </c>
      <c r="G2543" s="28" t="str">
        <f>IF(ISNUMBER(F2543),E2543*F2543,"")</f>
        <v/>
      </c>
      <c r="H2543" s="29"/>
      <c r="I2543" s="30"/>
      <c r="J2543" s="155">
        <v>0</v>
      </c>
    </row>
    <row r="2544" spans="1:10" ht="15.75" hidden="1" thickBot="1" x14ac:dyDescent="0.3">
      <c r="A2544" s="200"/>
      <c r="B2544" s="202"/>
      <c r="C2544" s="32"/>
      <c r="D2544" s="32"/>
      <c r="E2544" s="33"/>
      <c r="F2544" s="43" t="s">
        <v>558</v>
      </c>
      <c r="G2544" s="34" t="str">
        <f>IF(ISNUMBER(F2544),E2544*F2544,"")</f>
        <v/>
      </c>
      <c r="H2544" s="35"/>
      <c r="I2544" s="31"/>
      <c r="J2544" s="155">
        <v>0</v>
      </c>
    </row>
    <row r="2545" spans="1:10" ht="15.75" hidden="1" thickBot="1" x14ac:dyDescent="0.3">
      <c r="A2545" s="200"/>
      <c r="B2545" s="202"/>
      <c r="C2545" s="36" t="s">
        <v>3324</v>
      </c>
      <c r="D2545" s="47" t="s">
        <v>42</v>
      </c>
      <c r="E2545" s="37">
        <v>1</v>
      </c>
      <c r="F2545" s="31">
        <v>28.594999999999999</v>
      </c>
      <c r="G2545" s="34">
        <f>IF(ISNUMBER(F2545),E2545*F2545,"")</f>
        <v>28.594999999999999</v>
      </c>
      <c r="H2545" s="39">
        <f>SUM(G2545:G2545)</f>
        <v>28.594999999999999</v>
      </c>
      <c r="I2545" s="40"/>
      <c r="J2545" s="155">
        <v>0</v>
      </c>
    </row>
    <row r="2546" spans="1:10" ht="15.75" hidden="1" thickBot="1" x14ac:dyDescent="0.3">
      <c r="A2546" s="201"/>
      <c r="B2546" s="188"/>
      <c r="C2546" s="36"/>
      <c r="D2546" s="36"/>
      <c r="E2546" s="37"/>
      <c r="F2546" s="31" t="s">
        <v>558</v>
      </c>
      <c r="G2546" s="34" t="str">
        <f>IF(ISNUMBER(F2546),E2546*F2546,"")</f>
        <v/>
      </c>
      <c r="H2546" s="35"/>
      <c r="I2546" s="31"/>
      <c r="J2546" s="155">
        <v>0</v>
      </c>
    </row>
    <row r="2547" spans="1:10" ht="15.75" hidden="1" thickBot="1" x14ac:dyDescent="0.3">
      <c r="A2547" s="180" t="s">
        <v>2256</v>
      </c>
      <c r="B2547" s="186" t="str">
        <f>INDEX(Orçamentária!A:B,MATCH(Composições!A2547,Orçamentária!A:A,0),2)</f>
        <v>Tela em aço galvanizado, tipo alambrado, malha 2, fio 12</v>
      </c>
      <c r="C2547" s="41"/>
      <c r="D2547" s="26" t="str">
        <f>TRIM(INDEX(Orçamentária!C:C,MATCH(Composições!A2547,Orçamentária!A:A,0),1))</f>
        <v>m2</v>
      </c>
      <c r="E2547" s="27"/>
      <c r="F2547" s="42" t="s">
        <v>558</v>
      </c>
      <c r="G2547" s="28" t="str">
        <f>IF(ISNUMBER(F2547),E2547*F2547,"")</f>
        <v/>
      </c>
      <c r="H2547" s="29"/>
      <c r="I2547" s="30"/>
      <c r="J2547" s="155">
        <v>0</v>
      </c>
    </row>
    <row r="2548" spans="1:10" ht="15.75" hidden="1" thickBot="1" x14ac:dyDescent="0.3">
      <c r="A2548" s="200"/>
      <c r="B2548" s="202"/>
      <c r="C2548" s="32"/>
      <c r="D2548" s="32"/>
      <c r="E2548" s="33"/>
      <c r="F2548" s="43" t="s">
        <v>558</v>
      </c>
      <c r="G2548" s="34" t="str">
        <f>IF(ISNUMBER(F2548),E2548*F2548,"")</f>
        <v/>
      </c>
      <c r="H2548" s="35"/>
      <c r="I2548" s="31"/>
      <c r="J2548" s="155">
        <v>0</v>
      </c>
    </row>
    <row r="2549" spans="1:10" ht="26.25" hidden="1" thickBot="1" x14ac:dyDescent="0.3">
      <c r="A2549" s="200"/>
      <c r="B2549" s="202"/>
      <c r="C2549" s="36" t="s">
        <v>3458</v>
      </c>
      <c r="D2549" s="47" t="s">
        <v>95</v>
      </c>
      <c r="E2549" s="37">
        <v>1</v>
      </c>
      <c r="F2549" s="31">
        <v>38.598500000000001</v>
      </c>
      <c r="G2549" s="34">
        <f>IF(ISNUMBER(F2549),E2549*F2549,"")</f>
        <v>38.598500000000001</v>
      </c>
      <c r="H2549" s="39">
        <f>SUM(G2549:G2549)</f>
        <v>38.598500000000001</v>
      </c>
      <c r="I2549" s="40"/>
      <c r="J2549" s="155">
        <v>0</v>
      </c>
    </row>
    <row r="2550" spans="1:10" ht="15.75" hidden="1" thickBot="1" x14ac:dyDescent="0.3">
      <c r="A2550" s="201"/>
      <c r="B2550" s="188"/>
      <c r="C2550" s="36"/>
      <c r="D2550" s="36"/>
      <c r="E2550" s="37"/>
      <c r="F2550" s="31" t="s">
        <v>558</v>
      </c>
      <c r="G2550" s="34" t="str">
        <f>IF(ISNUMBER(F2550),E2550*F2550,"")</f>
        <v/>
      </c>
      <c r="H2550" s="35"/>
      <c r="I2550" s="31"/>
      <c r="J2550" s="155">
        <v>0</v>
      </c>
    </row>
    <row r="2551" spans="1:10" ht="15.75" hidden="1" thickBot="1" x14ac:dyDescent="0.3">
      <c r="A2551" s="180" t="s">
        <v>2258</v>
      </c>
      <c r="B2551" s="186" t="str">
        <f>INDEX(Orçamentária!A:B,MATCH(Composições!A2551,Orçamentária!A:A,0),2)</f>
        <v>Massa Adesiva Plástica</v>
      </c>
      <c r="C2551" s="41"/>
      <c r="D2551" s="26" t="str">
        <f>TRIM(INDEX(Orçamentária!C:C,MATCH(Composições!A2551,Orçamentária!A:A,0),1))</f>
        <v>un</v>
      </c>
      <c r="E2551" s="27"/>
      <c r="F2551" s="42" t="s">
        <v>558</v>
      </c>
      <c r="G2551" s="28" t="str">
        <f>IF(ISNUMBER(F2551),E2551*F2551,"")</f>
        <v/>
      </c>
      <c r="H2551" s="29"/>
      <c r="I2551" s="30"/>
      <c r="J2551" s="155">
        <v>0</v>
      </c>
    </row>
    <row r="2552" spans="1:10" ht="15.75" hidden="1" thickBot="1" x14ac:dyDescent="0.3">
      <c r="A2552" s="200"/>
      <c r="B2552" s="202"/>
      <c r="C2552" s="32"/>
      <c r="D2552" s="32"/>
      <c r="E2552" s="33"/>
      <c r="F2552" s="43" t="s">
        <v>558</v>
      </c>
      <c r="G2552" s="34" t="str">
        <f>IF(ISNUMBER(F2552),E2552*F2552,"")</f>
        <v/>
      </c>
      <c r="H2552" s="35"/>
      <c r="I2552" s="31"/>
      <c r="J2552" s="155">
        <v>0</v>
      </c>
    </row>
    <row r="2553" spans="1:10" ht="15.75" hidden="1" thickBot="1" x14ac:dyDescent="0.3">
      <c r="A2553" s="200"/>
      <c r="B2553" s="202"/>
      <c r="C2553" s="36" t="s">
        <v>3428</v>
      </c>
      <c r="D2553" s="47" t="s">
        <v>42</v>
      </c>
      <c r="E2553" s="37">
        <v>0.4</v>
      </c>
      <c r="F2553" s="31">
        <v>24.671499999999998</v>
      </c>
      <c r="G2553" s="34">
        <f>IF(ISNUMBER(F2553),E2553*F2553,"")</f>
        <v>9.8686000000000007</v>
      </c>
      <c r="H2553" s="39">
        <f>SUM(G2553:G2553)</f>
        <v>9.8686000000000007</v>
      </c>
      <c r="I2553" s="40"/>
      <c r="J2553" s="155">
        <v>0</v>
      </c>
    </row>
    <row r="2554" spans="1:10" ht="15.75" hidden="1" thickBot="1" x14ac:dyDescent="0.3">
      <c r="A2554" s="201"/>
      <c r="B2554" s="188"/>
      <c r="C2554" s="36"/>
      <c r="D2554" s="36"/>
      <c r="E2554" s="37"/>
      <c r="F2554" s="31" t="s">
        <v>558</v>
      </c>
      <c r="G2554" s="34" t="str">
        <f>IF(ISNUMBER(F2554),E2554*F2554,"")</f>
        <v/>
      </c>
      <c r="H2554" s="35"/>
      <c r="I2554" s="31"/>
      <c r="J2554" s="155">
        <v>0</v>
      </c>
    </row>
    <row r="2555" spans="1:10" ht="15.75" hidden="1" thickBot="1" x14ac:dyDescent="0.3">
      <c r="A2555" s="180" t="s">
        <v>782</v>
      </c>
      <c r="B2555" s="186" t="str">
        <f>INDEX(Orçamentária!A:B,MATCH(Composições!A2555,Orçamentária!A:A,0),2)</f>
        <v>Argamassa Para Contrapiso</v>
      </c>
      <c r="C2555" s="41"/>
      <c r="D2555" s="26" t="str">
        <f>TRIM(INDEX(Orçamentária!C:C,MATCH(Composições!A2555,Orçamentária!A:A,0),1))</f>
        <v>40 kg</v>
      </c>
      <c r="E2555" s="27"/>
      <c r="F2555" s="42" t="s">
        <v>558</v>
      </c>
      <c r="G2555" s="28" t="str">
        <f>IF(ISNUMBER(F2555),E2555*F2555,"")</f>
        <v/>
      </c>
      <c r="H2555" s="29"/>
      <c r="I2555" s="30"/>
      <c r="J2555" s="155">
        <v>0</v>
      </c>
    </row>
    <row r="2556" spans="1:10" ht="15.75" hidden="1" thickBot="1" x14ac:dyDescent="0.3">
      <c r="A2556" s="200"/>
      <c r="B2556" s="202"/>
      <c r="C2556" s="32"/>
      <c r="D2556" s="32"/>
      <c r="E2556" s="33"/>
      <c r="F2556" s="43" t="s">
        <v>558</v>
      </c>
      <c r="G2556" s="34" t="str">
        <f>IF(ISNUMBER(F2556),E2556*F2556,"")</f>
        <v/>
      </c>
      <c r="H2556" s="35"/>
      <c r="I2556" s="31"/>
      <c r="J2556" s="155">
        <v>0</v>
      </c>
    </row>
    <row r="2557" spans="1:10" ht="15.75" hidden="1" thickBot="1" x14ac:dyDescent="0.3">
      <c r="A2557" s="200"/>
      <c r="B2557" s="202"/>
      <c r="C2557" s="36" t="s">
        <v>783</v>
      </c>
      <c r="D2557" s="47" t="s">
        <v>42</v>
      </c>
      <c r="E2557" s="37">
        <v>40</v>
      </c>
      <c r="F2557" s="31">
        <v>0.437</v>
      </c>
      <c r="G2557" s="34">
        <f>IF(ISNUMBER(F2557),E2557*F2557,"")</f>
        <v>17.48</v>
      </c>
      <c r="H2557" s="39">
        <f>SUM(G2557:G2557)</f>
        <v>17.48</v>
      </c>
      <c r="I2557" s="40"/>
      <c r="J2557" s="155">
        <v>0</v>
      </c>
    </row>
    <row r="2558" spans="1:10" ht="15.75" hidden="1" thickBot="1" x14ac:dyDescent="0.3">
      <c r="A2558" s="201"/>
      <c r="B2558" s="188"/>
      <c r="C2558" s="36"/>
      <c r="D2558" s="36"/>
      <c r="E2558" s="37"/>
      <c r="F2558" s="31" t="s">
        <v>558</v>
      </c>
      <c r="G2558" s="34" t="str">
        <f>IF(ISNUMBER(F2558),E2558*F2558,"")</f>
        <v/>
      </c>
      <c r="H2558" s="35"/>
      <c r="I2558" s="31"/>
      <c r="J2558" s="155">
        <v>0</v>
      </c>
    </row>
    <row r="2559" spans="1:10" ht="15.75" hidden="1" thickBot="1" x14ac:dyDescent="0.3">
      <c r="A2559" s="180" t="s">
        <v>784</v>
      </c>
      <c r="B2559" s="186" t="str">
        <f>INDEX(Orçamentária!A:B,MATCH(Composições!A2559,Orçamentária!A:A,0),2)</f>
        <v>Argamassa Múltiplo Uso</v>
      </c>
      <c r="C2559" s="41"/>
      <c r="D2559" s="26" t="str">
        <f>TRIM(INDEX(Orçamentária!C:C,MATCH(Composições!A2559,Orçamentária!A:A,0),1))</f>
        <v>40 kg</v>
      </c>
      <c r="E2559" s="27"/>
      <c r="F2559" s="42" t="s">
        <v>558</v>
      </c>
      <c r="G2559" s="28" t="str">
        <f>IF(ISNUMBER(F2559),E2559*F2559,"")</f>
        <v/>
      </c>
      <c r="H2559" s="29"/>
      <c r="I2559" s="30"/>
      <c r="J2559" s="155">
        <v>0</v>
      </c>
    </row>
    <row r="2560" spans="1:10" ht="15.75" hidden="1" thickBot="1" x14ac:dyDescent="0.3">
      <c r="A2560" s="200"/>
      <c r="B2560" s="202"/>
      <c r="C2560" s="32"/>
      <c r="D2560" s="32"/>
      <c r="E2560" s="33"/>
      <c r="F2560" s="43" t="s">
        <v>558</v>
      </c>
      <c r="G2560" s="34" t="str">
        <f>IF(ISNUMBER(F2560),E2560*F2560,"")</f>
        <v/>
      </c>
      <c r="H2560" s="35"/>
      <c r="I2560" s="31"/>
      <c r="J2560" s="155">
        <v>0</v>
      </c>
    </row>
    <row r="2561" spans="1:10" ht="26.25" hidden="1" thickBot="1" x14ac:dyDescent="0.3">
      <c r="A2561" s="200"/>
      <c r="B2561" s="202"/>
      <c r="C2561" s="36" t="s">
        <v>785</v>
      </c>
      <c r="D2561" s="47" t="s">
        <v>42</v>
      </c>
      <c r="E2561" s="37">
        <v>40</v>
      </c>
      <c r="F2561" s="31">
        <v>0.46549999999999997</v>
      </c>
      <c r="G2561" s="34">
        <f>IF(ISNUMBER(F2561),E2561*F2561,"")</f>
        <v>18.619999999999997</v>
      </c>
      <c r="H2561" s="39">
        <f>SUM(G2561:G2561)</f>
        <v>18.619999999999997</v>
      </c>
      <c r="I2561" s="40"/>
      <c r="J2561" s="155">
        <v>0</v>
      </c>
    </row>
    <row r="2562" spans="1:10" ht="15.75" hidden="1" thickBot="1" x14ac:dyDescent="0.3">
      <c r="A2562" s="201"/>
      <c r="B2562" s="188"/>
      <c r="C2562" s="36"/>
      <c r="D2562" s="36"/>
      <c r="E2562" s="37"/>
      <c r="F2562" s="31" t="s">
        <v>558</v>
      </c>
      <c r="G2562" s="34" t="str">
        <f>IF(ISNUMBER(F2562),E2562*F2562,"")</f>
        <v/>
      </c>
      <c r="H2562" s="35"/>
      <c r="I2562" s="31"/>
      <c r="J2562" s="155">
        <v>0</v>
      </c>
    </row>
    <row r="2563" spans="1:10" ht="15.75" hidden="1" thickBot="1" x14ac:dyDescent="0.3">
      <c r="A2563" s="180" t="s">
        <v>786</v>
      </c>
      <c r="B2563" s="186" t="str">
        <f>INDEX(Orçamentária!A:B,MATCH(Composições!A2563,Orçamentária!A:A,0),2)</f>
        <v>Cimento Portland CP II E 32</v>
      </c>
      <c r="C2563" s="41"/>
      <c r="D2563" s="26" t="str">
        <f>TRIM(INDEX(Orçamentária!C:C,MATCH(Composições!A2563,Orçamentária!A:A,0),1))</f>
        <v>50 kg</v>
      </c>
      <c r="E2563" s="27"/>
      <c r="F2563" s="42" t="s">
        <v>558</v>
      </c>
      <c r="G2563" s="28" t="str">
        <f>IF(ISNUMBER(F2563),E2563*F2563,"")</f>
        <v/>
      </c>
      <c r="H2563" s="29"/>
      <c r="I2563" s="30"/>
      <c r="J2563" s="155">
        <v>0</v>
      </c>
    </row>
    <row r="2564" spans="1:10" ht="15.75" hidden="1" thickBot="1" x14ac:dyDescent="0.3">
      <c r="A2564" s="200"/>
      <c r="B2564" s="202"/>
      <c r="C2564" s="32"/>
      <c r="D2564" s="32"/>
      <c r="E2564" s="33"/>
      <c r="F2564" s="43" t="s">
        <v>558</v>
      </c>
      <c r="G2564" s="34" t="str">
        <f>IF(ISNUMBER(F2564),E2564*F2564,"")</f>
        <v/>
      </c>
      <c r="H2564" s="35"/>
      <c r="I2564" s="31"/>
      <c r="J2564" s="155">
        <v>0</v>
      </c>
    </row>
    <row r="2565" spans="1:10" ht="15.75" hidden="1" thickBot="1" x14ac:dyDescent="0.3">
      <c r="A2565" s="200"/>
      <c r="B2565" s="202"/>
      <c r="C2565" s="36" t="s">
        <v>787</v>
      </c>
      <c r="D2565" s="47" t="s">
        <v>42</v>
      </c>
      <c r="E2565" s="37">
        <v>50</v>
      </c>
      <c r="F2565" s="31">
        <v>0.52249999999999996</v>
      </c>
      <c r="G2565" s="34">
        <f>IF(ISNUMBER(F2565),E2565*F2565,"")</f>
        <v>26.125</v>
      </c>
      <c r="H2565" s="39">
        <f>SUM(G2565:G2565)</f>
        <v>26.125</v>
      </c>
      <c r="I2565" s="40"/>
      <c r="J2565" s="155">
        <v>0</v>
      </c>
    </row>
    <row r="2566" spans="1:10" ht="15.75" hidden="1" thickBot="1" x14ac:dyDescent="0.3">
      <c r="A2566" s="201"/>
      <c r="B2566" s="188"/>
      <c r="C2566" s="36"/>
      <c r="D2566" s="36"/>
      <c r="E2566" s="37"/>
      <c r="F2566" s="31" t="s">
        <v>558</v>
      </c>
      <c r="G2566" s="34" t="str">
        <f>IF(ISNUMBER(F2566),E2566*F2566,"")</f>
        <v/>
      </c>
      <c r="H2566" s="35"/>
      <c r="I2566" s="31"/>
      <c r="J2566" s="155">
        <v>0</v>
      </c>
    </row>
    <row r="2567" spans="1:10" ht="15.75" hidden="1" thickBot="1" x14ac:dyDescent="0.3">
      <c r="A2567" s="180" t="s">
        <v>788</v>
      </c>
      <c r="B2567" s="186" t="str">
        <f>INDEX(Orçamentária!A:B,MATCH(Composições!A2567,Orçamentária!A:A,0),2)</f>
        <v>Argamassa Colante tipo AC III</v>
      </c>
      <c r="C2567" s="41"/>
      <c r="D2567" s="26" t="str">
        <f>TRIM(INDEX(Orçamentária!C:C,MATCH(Composições!A2567,Orçamentária!A:A,0),1))</f>
        <v>20 kg</v>
      </c>
      <c r="E2567" s="27"/>
      <c r="F2567" s="42" t="s">
        <v>558</v>
      </c>
      <c r="G2567" s="28" t="str">
        <f>IF(ISNUMBER(F2567),E2567*F2567,"")</f>
        <v/>
      </c>
      <c r="H2567" s="29"/>
      <c r="I2567" s="30"/>
      <c r="J2567" s="155">
        <v>0</v>
      </c>
    </row>
    <row r="2568" spans="1:10" ht="15.75" hidden="1" thickBot="1" x14ac:dyDescent="0.3">
      <c r="A2568" s="200"/>
      <c r="B2568" s="202"/>
      <c r="C2568" s="32"/>
      <c r="D2568" s="32"/>
      <c r="E2568" s="33"/>
      <c r="F2568" s="43" t="s">
        <v>558</v>
      </c>
      <c r="G2568" s="34" t="str">
        <f>IF(ISNUMBER(F2568),E2568*F2568,"")</f>
        <v/>
      </c>
      <c r="H2568" s="35"/>
      <c r="I2568" s="31"/>
      <c r="J2568" s="155">
        <v>0</v>
      </c>
    </row>
    <row r="2569" spans="1:10" ht="15.75" hidden="1" thickBot="1" x14ac:dyDescent="0.3">
      <c r="A2569" s="200"/>
      <c r="B2569" s="202"/>
      <c r="C2569" s="36" t="s">
        <v>3619</v>
      </c>
      <c r="D2569" s="47" t="s">
        <v>42</v>
      </c>
      <c r="E2569" s="37">
        <v>20</v>
      </c>
      <c r="F2569" s="31">
        <v>1.3109999999999999</v>
      </c>
      <c r="G2569" s="34">
        <f>IF(ISNUMBER(F2569),E2569*F2569,"")</f>
        <v>26.22</v>
      </c>
      <c r="H2569" s="39">
        <f>SUM(G2569:G2569)</f>
        <v>26.22</v>
      </c>
      <c r="I2569" s="40"/>
      <c r="J2569" s="155">
        <v>0</v>
      </c>
    </row>
    <row r="2570" spans="1:10" ht="15.75" hidden="1" thickBot="1" x14ac:dyDescent="0.3">
      <c r="A2570" s="201"/>
      <c r="B2570" s="188"/>
      <c r="C2570" s="36"/>
      <c r="D2570" s="36"/>
      <c r="E2570" s="37"/>
      <c r="F2570" s="31" t="s">
        <v>558</v>
      </c>
      <c r="G2570" s="34" t="str">
        <f>IF(ISNUMBER(F2570),E2570*F2570,"")</f>
        <v/>
      </c>
      <c r="H2570" s="35"/>
      <c r="I2570" s="31"/>
      <c r="J2570" s="155">
        <v>0</v>
      </c>
    </row>
    <row r="2571" spans="1:10" ht="15.75" hidden="1" thickBot="1" x14ac:dyDescent="0.3">
      <c r="A2571" s="180" t="s">
        <v>789</v>
      </c>
      <c r="B2571" s="186" t="str">
        <f>INDEX(Orçamentária!A:B,MATCH(Composições!A2571,Orçamentária!A:A,0),2)</f>
        <v>Gesso Para Uso Geral</v>
      </c>
      <c r="C2571" s="41"/>
      <c r="D2571" s="26" t="str">
        <f>TRIM(INDEX(Orçamentária!C:C,MATCH(Composições!A2571,Orçamentária!A:A,0),1))</f>
        <v>40 kg</v>
      </c>
      <c r="E2571" s="27"/>
      <c r="F2571" s="42" t="s">
        <v>558</v>
      </c>
      <c r="G2571" s="28" t="str">
        <f>IF(ISNUMBER(F2571),E2571*F2571,"")</f>
        <v/>
      </c>
      <c r="H2571" s="29"/>
      <c r="I2571" s="30"/>
      <c r="J2571" s="155">
        <v>0</v>
      </c>
    </row>
    <row r="2572" spans="1:10" ht="15.75" hidden="1" thickBot="1" x14ac:dyDescent="0.3">
      <c r="A2572" s="200"/>
      <c r="B2572" s="202"/>
      <c r="C2572" s="32"/>
      <c r="D2572" s="32"/>
      <c r="E2572" s="33"/>
      <c r="F2572" s="43" t="s">
        <v>558</v>
      </c>
      <c r="G2572" s="34" t="str">
        <f>IF(ISNUMBER(F2572),E2572*F2572,"")</f>
        <v/>
      </c>
      <c r="H2572" s="35"/>
      <c r="I2572" s="31"/>
      <c r="J2572" s="155">
        <v>0</v>
      </c>
    </row>
    <row r="2573" spans="1:10" ht="26.25" hidden="1" thickBot="1" x14ac:dyDescent="0.3">
      <c r="A2573" s="200"/>
      <c r="B2573" s="202"/>
      <c r="C2573" s="36" t="s">
        <v>3785</v>
      </c>
      <c r="D2573" s="47" t="s">
        <v>42</v>
      </c>
      <c r="E2573" s="37">
        <v>40</v>
      </c>
      <c r="F2573" s="31">
        <v>0.3705</v>
      </c>
      <c r="G2573" s="34">
        <f>IF(ISNUMBER(F2573),E2573*F2573,"")</f>
        <v>14.82</v>
      </c>
      <c r="H2573" s="39">
        <f>SUM(G2573:G2573)</f>
        <v>14.82</v>
      </c>
      <c r="I2573" s="40"/>
      <c r="J2573" s="155">
        <v>0</v>
      </c>
    </row>
    <row r="2574" spans="1:10" ht="15.75" hidden="1" thickBot="1" x14ac:dyDescent="0.3">
      <c r="A2574" s="201"/>
      <c r="B2574" s="188"/>
      <c r="C2574" s="36"/>
      <c r="D2574" s="36"/>
      <c r="E2574" s="37"/>
      <c r="F2574" s="31" t="s">
        <v>558</v>
      </c>
      <c r="G2574" s="34" t="str">
        <f>IF(ISNUMBER(F2574),E2574*F2574,"")</f>
        <v/>
      </c>
      <c r="H2574" s="35"/>
      <c r="I2574" s="31"/>
      <c r="J2574" s="155">
        <v>0</v>
      </c>
    </row>
    <row r="2575" spans="1:10" ht="15.75" hidden="1" thickBot="1" x14ac:dyDescent="0.3">
      <c r="A2575" s="180" t="s">
        <v>790</v>
      </c>
      <c r="B2575" s="186" t="str">
        <f>INDEX(Orçamentária!A:B,MATCH(Composições!A2575,Orçamentária!A:A,0),2)</f>
        <v>Areia Média</v>
      </c>
      <c r="C2575" s="41"/>
      <c r="D2575" s="26" t="str">
        <f>TRIM(INDEX(Orçamentária!C:C,MATCH(Composições!A2575,Orçamentária!A:A,0),1))</f>
        <v>m3</v>
      </c>
      <c r="E2575" s="27"/>
      <c r="F2575" s="42" t="s">
        <v>558</v>
      </c>
      <c r="G2575" s="28" t="str">
        <f>IF(ISNUMBER(F2575),E2575*F2575,"")</f>
        <v/>
      </c>
      <c r="H2575" s="29"/>
      <c r="I2575" s="30"/>
      <c r="J2575" s="155">
        <v>0</v>
      </c>
    </row>
    <row r="2576" spans="1:10" ht="15.75" hidden="1" thickBot="1" x14ac:dyDescent="0.3">
      <c r="A2576" s="200"/>
      <c r="B2576" s="202"/>
      <c r="C2576" s="32"/>
      <c r="D2576" s="32"/>
      <c r="E2576" s="33"/>
      <c r="F2576" s="43" t="s">
        <v>558</v>
      </c>
      <c r="G2576" s="34" t="str">
        <f>IF(ISNUMBER(F2576),E2576*F2576,"")</f>
        <v/>
      </c>
      <c r="H2576" s="35"/>
      <c r="I2576" s="31"/>
      <c r="J2576" s="155">
        <v>0</v>
      </c>
    </row>
    <row r="2577" spans="1:10" ht="26.25" hidden="1" thickBot="1" x14ac:dyDescent="0.3">
      <c r="A2577" s="200"/>
      <c r="B2577" s="202"/>
      <c r="C2577" s="36" t="s">
        <v>791</v>
      </c>
      <c r="D2577" s="47" t="s">
        <v>110</v>
      </c>
      <c r="E2577" s="37">
        <v>1</v>
      </c>
      <c r="F2577" s="31">
        <v>85.5</v>
      </c>
      <c r="G2577" s="34">
        <f>IF(ISNUMBER(F2577),E2577*F2577,"")</f>
        <v>85.5</v>
      </c>
      <c r="H2577" s="39">
        <f>SUM(G2577:G2579)</f>
        <v>118.2920943</v>
      </c>
      <c r="I2577" s="40"/>
      <c r="J2577" s="155">
        <v>0</v>
      </c>
    </row>
    <row r="2578" spans="1:10" ht="51.75" hidden="1" thickBot="1" x14ac:dyDescent="0.3">
      <c r="A2578" s="200"/>
      <c r="B2578" s="202"/>
      <c r="C2578" s="36" t="s">
        <v>3617</v>
      </c>
      <c r="D2578" s="36" t="s">
        <v>110</v>
      </c>
      <c r="E2578" s="37">
        <f>E2577</f>
        <v>1</v>
      </c>
      <c r="F2578" s="34">
        <v>6.0418992999999999</v>
      </c>
      <c r="G2578" s="34">
        <f>IF(ISNUMBER(F2578),E2578*F2578,"")</f>
        <v>6.0418992999999999</v>
      </c>
      <c r="H2578" s="35"/>
      <c r="I2578" s="31"/>
      <c r="J2578" s="155">
        <v>0</v>
      </c>
    </row>
    <row r="2579" spans="1:10" ht="39" hidden="1" thickBot="1" x14ac:dyDescent="0.3">
      <c r="A2579" s="200"/>
      <c r="B2579" s="202"/>
      <c r="C2579" s="36" t="s">
        <v>792</v>
      </c>
      <c r="D2579" s="47" t="s">
        <v>793</v>
      </c>
      <c r="E2579" s="37">
        <f>E2577*20</f>
        <v>20</v>
      </c>
      <c r="F2579" s="31">
        <v>1.3375097499999999</v>
      </c>
      <c r="G2579" s="34">
        <f>IF(ISNUMBER(F2579),E2579*F2579,"")</f>
        <v>26.750194999999998</v>
      </c>
      <c r="H2579" s="35"/>
      <c r="I2579" s="31"/>
      <c r="J2579" s="155">
        <v>0</v>
      </c>
    </row>
    <row r="2580" spans="1:10" ht="15.75" hidden="1" thickBot="1" x14ac:dyDescent="0.3">
      <c r="A2580" s="200"/>
      <c r="B2580" s="202"/>
      <c r="C2580" s="36"/>
      <c r="D2580" s="47"/>
      <c r="E2580" s="37"/>
      <c r="F2580" s="31" t="s">
        <v>558</v>
      </c>
      <c r="G2580" s="34" t="str">
        <f>IF(ISNUMBER(F2580),E2580*F2580,"")</f>
        <v/>
      </c>
      <c r="H2580" s="35"/>
      <c r="I2580" s="31"/>
      <c r="J2580" s="155">
        <v>0</v>
      </c>
    </row>
    <row r="2581" spans="1:10" ht="15.75" hidden="1" thickBot="1" x14ac:dyDescent="0.3">
      <c r="A2581" s="200"/>
      <c r="B2581" s="202"/>
      <c r="C2581" s="48" t="s">
        <v>794</v>
      </c>
      <c r="D2581" s="47"/>
      <c r="E2581" s="37"/>
      <c r="F2581" s="31" t="s">
        <v>558</v>
      </c>
      <c r="G2581" s="34" t="str">
        <f>IF(ISNUMBER(F2581),E2581*F2581,"")</f>
        <v/>
      </c>
      <c r="H2581" s="35"/>
      <c r="I2581" s="31"/>
      <c r="J2581" s="155">
        <v>0</v>
      </c>
    </row>
    <row r="2582" spans="1:10" ht="15.75" hidden="1" thickBot="1" x14ac:dyDescent="0.3">
      <c r="A2582" s="201"/>
      <c r="B2582" s="188"/>
      <c r="C2582" s="36"/>
      <c r="D2582" s="36"/>
      <c r="E2582" s="37"/>
      <c r="F2582" s="31" t="s">
        <v>558</v>
      </c>
      <c r="G2582" s="34" t="str">
        <f>IF(ISNUMBER(F2582),E2582*F2582,"")</f>
        <v/>
      </c>
      <c r="H2582" s="35"/>
      <c r="I2582" s="31"/>
      <c r="J2582" s="155">
        <v>0</v>
      </c>
    </row>
    <row r="2583" spans="1:10" ht="15.75" hidden="1" thickBot="1" x14ac:dyDescent="0.3">
      <c r="A2583" s="180" t="s">
        <v>795</v>
      </c>
      <c r="B2583" s="186" t="str">
        <f>INDEX(Orçamentária!A:B,MATCH(Composições!A2583,Orçamentária!A:A,0),2)</f>
        <v>Brita Nº 0</v>
      </c>
      <c r="C2583" s="41"/>
      <c r="D2583" s="26" t="str">
        <f>TRIM(INDEX(Orçamentária!C:C,MATCH(Composições!A2583,Orçamentária!A:A,0),1))</f>
        <v>m3</v>
      </c>
      <c r="E2583" s="27"/>
      <c r="F2583" s="42" t="s">
        <v>558</v>
      </c>
      <c r="G2583" s="28" t="str">
        <f>IF(ISNUMBER(F2583),E2583*F2583,"")</f>
        <v/>
      </c>
      <c r="H2583" s="29"/>
      <c r="I2583" s="30"/>
      <c r="J2583" s="155">
        <v>0</v>
      </c>
    </row>
    <row r="2584" spans="1:10" ht="15.75" hidden="1" thickBot="1" x14ac:dyDescent="0.3">
      <c r="A2584" s="200"/>
      <c r="B2584" s="202"/>
      <c r="C2584" s="32"/>
      <c r="D2584" s="32"/>
      <c r="E2584" s="33"/>
      <c r="F2584" s="43" t="s">
        <v>558</v>
      </c>
      <c r="G2584" s="34" t="str">
        <f>IF(ISNUMBER(F2584),E2584*F2584,"")</f>
        <v/>
      </c>
      <c r="H2584" s="35"/>
      <c r="I2584" s="31"/>
      <c r="J2584" s="155">
        <v>0</v>
      </c>
    </row>
    <row r="2585" spans="1:10" ht="26.25" hidden="1" thickBot="1" x14ac:dyDescent="0.3">
      <c r="A2585" s="200"/>
      <c r="B2585" s="202"/>
      <c r="C2585" s="36" t="s">
        <v>796</v>
      </c>
      <c r="D2585" s="47" t="s">
        <v>110</v>
      </c>
      <c r="E2585" s="37">
        <v>1</v>
      </c>
      <c r="F2585" s="31">
        <v>144.29549999999998</v>
      </c>
      <c r="G2585" s="34">
        <f>IF(ISNUMBER(F2585),E2585*F2585,"")</f>
        <v>144.29549999999998</v>
      </c>
      <c r="H2585" s="39">
        <f>SUM(G2585:G2587)</f>
        <v>177.08759429999998</v>
      </c>
      <c r="I2585" s="40"/>
      <c r="J2585" s="155">
        <v>0</v>
      </c>
    </row>
    <row r="2586" spans="1:10" ht="51.75" hidden="1" thickBot="1" x14ac:dyDescent="0.3">
      <c r="A2586" s="200"/>
      <c r="B2586" s="202"/>
      <c r="C2586" s="36" t="s">
        <v>3617</v>
      </c>
      <c r="D2586" s="36" t="s">
        <v>110</v>
      </c>
      <c r="E2586" s="37">
        <f>E2585</f>
        <v>1</v>
      </c>
      <c r="F2586" s="34">
        <v>6.0418992999999999</v>
      </c>
      <c r="G2586" s="34">
        <f>IF(ISNUMBER(F2586),E2586*F2586,"")</f>
        <v>6.0418992999999999</v>
      </c>
      <c r="H2586" s="35"/>
      <c r="I2586" s="31"/>
      <c r="J2586" s="155">
        <v>0</v>
      </c>
    </row>
    <row r="2587" spans="1:10" ht="39" hidden="1" thickBot="1" x14ac:dyDescent="0.3">
      <c r="A2587" s="200"/>
      <c r="B2587" s="202"/>
      <c r="C2587" s="36" t="s">
        <v>792</v>
      </c>
      <c r="D2587" s="47" t="s">
        <v>793</v>
      </c>
      <c r="E2587" s="37">
        <f>E2585*20</f>
        <v>20</v>
      </c>
      <c r="F2587" s="31">
        <v>1.3375097499999999</v>
      </c>
      <c r="G2587" s="34">
        <f>IF(ISNUMBER(F2587),E2587*F2587,"")</f>
        <v>26.750194999999998</v>
      </c>
      <c r="H2587" s="35"/>
      <c r="I2587" s="31"/>
      <c r="J2587" s="155">
        <v>0</v>
      </c>
    </row>
    <row r="2588" spans="1:10" ht="15.75" hidden="1" thickBot="1" x14ac:dyDescent="0.3">
      <c r="A2588" s="200"/>
      <c r="B2588" s="202"/>
      <c r="C2588" s="36"/>
      <c r="D2588" s="47"/>
      <c r="E2588" s="37"/>
      <c r="F2588" s="31" t="s">
        <v>558</v>
      </c>
      <c r="G2588" s="34" t="str">
        <f>IF(ISNUMBER(F2588),E2588*F2588,"")</f>
        <v/>
      </c>
      <c r="H2588" s="35"/>
      <c r="I2588" s="31"/>
      <c r="J2588" s="155">
        <v>0</v>
      </c>
    </row>
    <row r="2589" spans="1:10" ht="15.75" hidden="1" thickBot="1" x14ac:dyDescent="0.3">
      <c r="A2589" s="200"/>
      <c r="B2589" s="202"/>
      <c r="C2589" s="48" t="s">
        <v>797</v>
      </c>
      <c r="D2589" s="47"/>
      <c r="E2589" s="37"/>
      <c r="F2589" s="31" t="s">
        <v>558</v>
      </c>
      <c r="G2589" s="34" t="str">
        <f>IF(ISNUMBER(F2589),E2589*F2589,"")</f>
        <v/>
      </c>
      <c r="H2589" s="35"/>
      <c r="I2589" s="31"/>
      <c r="J2589" s="155">
        <v>0</v>
      </c>
    </row>
    <row r="2590" spans="1:10" ht="15.75" hidden="1" thickBot="1" x14ac:dyDescent="0.3">
      <c r="A2590" s="201"/>
      <c r="B2590" s="188"/>
      <c r="C2590" s="36"/>
      <c r="D2590" s="36"/>
      <c r="E2590" s="37"/>
      <c r="F2590" s="31" t="s">
        <v>558</v>
      </c>
      <c r="G2590" s="34" t="str">
        <f>IF(ISNUMBER(F2590),E2590*F2590,"")</f>
        <v/>
      </c>
      <c r="H2590" s="35"/>
      <c r="I2590" s="31"/>
      <c r="J2590" s="155">
        <v>0</v>
      </c>
    </row>
    <row r="2591" spans="1:10" ht="15.75" hidden="1" thickBot="1" x14ac:dyDescent="0.3">
      <c r="A2591" s="180" t="s">
        <v>798</v>
      </c>
      <c r="B2591" s="186" t="str">
        <f>INDEX(Orçamentária!A:B,MATCH(Composições!A2591,Orçamentária!A:A,0),2)</f>
        <v>Brita Nº 1</v>
      </c>
      <c r="C2591" s="41"/>
      <c r="D2591" s="26" t="str">
        <f>TRIM(INDEX(Orçamentária!C:C,MATCH(Composições!A2591,Orçamentária!A:A,0),1))</f>
        <v>m3</v>
      </c>
      <c r="E2591" s="27"/>
      <c r="F2591" s="42" t="s">
        <v>558</v>
      </c>
      <c r="G2591" s="28" t="str">
        <f>IF(ISNUMBER(F2591),E2591*F2591,"")</f>
        <v/>
      </c>
      <c r="H2591" s="29"/>
      <c r="I2591" s="30"/>
      <c r="J2591" s="155">
        <v>0</v>
      </c>
    </row>
    <row r="2592" spans="1:10" ht="15.75" hidden="1" thickBot="1" x14ac:dyDescent="0.3">
      <c r="A2592" s="200"/>
      <c r="B2592" s="202"/>
      <c r="C2592" s="32"/>
      <c r="D2592" s="32"/>
      <c r="E2592" s="33"/>
      <c r="F2592" s="43" t="s">
        <v>558</v>
      </c>
      <c r="G2592" s="34" t="str">
        <f>IF(ISNUMBER(F2592),E2592*F2592,"")</f>
        <v/>
      </c>
      <c r="H2592" s="35"/>
      <c r="I2592" s="31"/>
      <c r="J2592" s="155">
        <v>0</v>
      </c>
    </row>
    <row r="2593" spans="1:10" ht="26.25" hidden="1" thickBot="1" x14ac:dyDescent="0.3">
      <c r="A2593" s="200"/>
      <c r="B2593" s="202"/>
      <c r="C2593" s="36" t="s">
        <v>799</v>
      </c>
      <c r="D2593" s="47" t="s">
        <v>110</v>
      </c>
      <c r="E2593" s="37">
        <v>1</v>
      </c>
      <c r="F2593" s="31">
        <v>124.982</v>
      </c>
      <c r="G2593" s="34">
        <f>IF(ISNUMBER(F2593),E2593*F2593,"")</f>
        <v>124.982</v>
      </c>
      <c r="H2593" s="39">
        <f>SUM(G2593:G2595)</f>
        <v>157.7740943</v>
      </c>
      <c r="I2593" s="40"/>
      <c r="J2593" s="155">
        <v>0</v>
      </c>
    </row>
    <row r="2594" spans="1:10" ht="51.75" hidden="1" thickBot="1" x14ac:dyDescent="0.3">
      <c r="A2594" s="200"/>
      <c r="B2594" s="202"/>
      <c r="C2594" s="36" t="s">
        <v>3617</v>
      </c>
      <c r="D2594" s="36" t="s">
        <v>110</v>
      </c>
      <c r="E2594" s="37">
        <f>E2593</f>
        <v>1</v>
      </c>
      <c r="F2594" s="34">
        <v>6.0418992999999999</v>
      </c>
      <c r="G2594" s="34">
        <f>IF(ISNUMBER(F2594),E2594*F2594,"")</f>
        <v>6.0418992999999999</v>
      </c>
      <c r="H2594" s="35"/>
      <c r="I2594" s="31"/>
      <c r="J2594" s="155">
        <v>0</v>
      </c>
    </row>
    <row r="2595" spans="1:10" ht="39" hidden="1" thickBot="1" x14ac:dyDescent="0.3">
      <c r="A2595" s="200"/>
      <c r="B2595" s="202"/>
      <c r="C2595" s="36" t="s">
        <v>792</v>
      </c>
      <c r="D2595" s="47" t="s">
        <v>793</v>
      </c>
      <c r="E2595" s="37">
        <f>E2593*20</f>
        <v>20</v>
      </c>
      <c r="F2595" s="31">
        <v>1.3375097499999999</v>
      </c>
      <c r="G2595" s="34">
        <f>IF(ISNUMBER(F2595),E2595*F2595,"")</f>
        <v>26.750194999999998</v>
      </c>
      <c r="H2595" s="35"/>
      <c r="I2595" s="31"/>
      <c r="J2595" s="155">
        <v>0</v>
      </c>
    </row>
    <row r="2596" spans="1:10" ht="15.75" hidden="1" thickBot="1" x14ac:dyDescent="0.3">
      <c r="A2596" s="200"/>
      <c r="B2596" s="202"/>
      <c r="C2596" s="36"/>
      <c r="D2596" s="47"/>
      <c r="E2596" s="37"/>
      <c r="F2596" s="31" t="s">
        <v>558</v>
      </c>
      <c r="G2596" s="34" t="str">
        <f>IF(ISNUMBER(F2596),E2596*F2596,"")</f>
        <v/>
      </c>
      <c r="H2596" s="35"/>
      <c r="I2596" s="31"/>
      <c r="J2596" s="155">
        <v>0</v>
      </c>
    </row>
    <row r="2597" spans="1:10" ht="15.75" hidden="1" thickBot="1" x14ac:dyDescent="0.3">
      <c r="A2597" s="200"/>
      <c r="B2597" s="202"/>
      <c r="C2597" s="48" t="s">
        <v>797</v>
      </c>
      <c r="D2597" s="47"/>
      <c r="E2597" s="37"/>
      <c r="F2597" s="31" t="s">
        <v>558</v>
      </c>
      <c r="G2597" s="34" t="str">
        <f>IF(ISNUMBER(F2597),E2597*F2597,"")</f>
        <v/>
      </c>
      <c r="H2597" s="35"/>
      <c r="I2597" s="31"/>
      <c r="J2597" s="155">
        <v>0</v>
      </c>
    </row>
    <row r="2598" spans="1:10" ht="15.75" hidden="1" thickBot="1" x14ac:dyDescent="0.3">
      <c r="A2598" s="201"/>
      <c r="B2598" s="188"/>
      <c r="C2598" s="36"/>
      <c r="D2598" s="36"/>
      <c r="E2598" s="37"/>
      <c r="F2598" s="31" t="s">
        <v>558</v>
      </c>
      <c r="G2598" s="34" t="str">
        <f>IF(ISNUMBER(F2598),E2598*F2598,"")</f>
        <v/>
      </c>
      <c r="H2598" s="35"/>
      <c r="I2598" s="31"/>
      <c r="J2598" s="155">
        <v>0</v>
      </c>
    </row>
    <row r="2599" spans="1:10" ht="15.75" hidden="1" thickBot="1" x14ac:dyDescent="0.3">
      <c r="A2599" s="180" t="s">
        <v>800</v>
      </c>
      <c r="B2599" s="186" t="str">
        <f>INDEX(Orçamentária!A:B,MATCH(Composições!A2599,Orçamentária!A:A,0),2)</f>
        <v>Bloco Cerâmico De 08 Furos</v>
      </c>
      <c r="C2599" s="41"/>
      <c r="D2599" s="26" t="str">
        <f>TRIM(INDEX(Orçamentária!C:C,MATCH(Composições!A2599,Orçamentária!A:A,0),1))</f>
        <v>un</v>
      </c>
      <c r="E2599" s="27"/>
      <c r="F2599" s="42" t="s">
        <v>558</v>
      </c>
      <c r="G2599" s="28" t="str">
        <f>IF(ISNUMBER(F2599),E2599*F2599,"")</f>
        <v/>
      </c>
      <c r="H2599" s="29"/>
      <c r="I2599" s="30"/>
      <c r="J2599" s="155">
        <v>0</v>
      </c>
    </row>
    <row r="2600" spans="1:10" ht="15.75" hidden="1" thickBot="1" x14ac:dyDescent="0.3">
      <c r="A2600" s="200"/>
      <c r="B2600" s="202"/>
      <c r="C2600" s="32"/>
      <c r="D2600" s="32"/>
      <c r="E2600" s="33"/>
      <c r="F2600" s="43" t="s">
        <v>558</v>
      </c>
      <c r="G2600" s="34" t="str">
        <f>IF(ISNUMBER(F2600),E2600*F2600,"")</f>
        <v/>
      </c>
      <c r="H2600" s="35"/>
      <c r="I2600" s="31"/>
      <c r="J2600" s="155">
        <v>0</v>
      </c>
    </row>
    <row r="2601" spans="1:10" ht="26.25" hidden="1" thickBot="1" x14ac:dyDescent="0.3">
      <c r="A2601" s="200"/>
      <c r="B2601" s="202"/>
      <c r="C2601" s="36" t="s">
        <v>3600</v>
      </c>
      <c r="D2601" s="36" t="s">
        <v>153</v>
      </c>
      <c r="E2601" s="37">
        <f>1/1000</f>
        <v>1E-3</v>
      </c>
      <c r="F2601" s="31">
        <v>779</v>
      </c>
      <c r="G2601" s="34">
        <f>IF(ISNUMBER(F2601),E2601*F2601,"")</f>
        <v>0.77900000000000003</v>
      </c>
      <c r="H2601" s="39">
        <f>SUM(G2601:G2601)</f>
        <v>0.77900000000000003</v>
      </c>
      <c r="I2601" s="40"/>
      <c r="J2601" s="155">
        <v>0</v>
      </c>
    </row>
    <row r="2602" spans="1:10" ht="15.75" hidden="1" thickBot="1" x14ac:dyDescent="0.3">
      <c r="A2602" s="201"/>
      <c r="B2602" s="188"/>
      <c r="C2602" s="36"/>
      <c r="D2602" s="36"/>
      <c r="E2602" s="37"/>
      <c r="F2602" s="31" t="s">
        <v>558</v>
      </c>
      <c r="G2602" s="34" t="str">
        <f>IF(ISNUMBER(F2602),E2602*F2602,"")</f>
        <v/>
      </c>
      <c r="H2602" s="35"/>
      <c r="I2602" s="31"/>
      <c r="J2602" s="155">
        <v>0</v>
      </c>
    </row>
    <row r="2603" spans="1:10" ht="15.75" hidden="1" thickBot="1" x14ac:dyDescent="0.3">
      <c r="A2603" s="180" t="s">
        <v>801</v>
      </c>
      <c r="B2603" s="186" t="str">
        <f>INDEX(Orçamentária!A:B,MATCH(Composições!A2603,Orçamentária!A:A,0),2)</f>
        <v>Tijolo Maciço</v>
      </c>
      <c r="C2603" s="41"/>
      <c r="D2603" s="26" t="str">
        <f>TRIM(INDEX(Orçamentária!C:C,MATCH(Composições!A2603,Orçamentária!A:A,0),1))</f>
        <v>un</v>
      </c>
      <c r="E2603" s="27"/>
      <c r="F2603" s="42" t="s">
        <v>558</v>
      </c>
      <c r="G2603" s="28" t="str">
        <f>IF(ISNUMBER(F2603),E2603*F2603,"")</f>
        <v/>
      </c>
      <c r="H2603" s="29"/>
      <c r="I2603" s="30"/>
      <c r="J2603" s="155">
        <v>0</v>
      </c>
    </row>
    <row r="2604" spans="1:10" ht="15.75" hidden="1" thickBot="1" x14ac:dyDescent="0.3">
      <c r="A2604" s="200"/>
      <c r="B2604" s="202"/>
      <c r="C2604" s="32"/>
      <c r="D2604" s="32"/>
      <c r="E2604" s="33"/>
      <c r="F2604" s="43" t="s">
        <v>558</v>
      </c>
      <c r="G2604" s="34" t="str">
        <f>IF(ISNUMBER(F2604),E2604*F2604,"")</f>
        <v/>
      </c>
      <c r="H2604" s="35"/>
      <c r="I2604" s="31"/>
      <c r="J2604" s="155">
        <v>0</v>
      </c>
    </row>
    <row r="2605" spans="1:10" ht="15.75" hidden="1" thickBot="1" x14ac:dyDescent="0.3">
      <c r="A2605" s="200"/>
      <c r="B2605" s="202"/>
      <c r="C2605" s="36" t="s">
        <v>3610</v>
      </c>
      <c r="D2605" s="36" t="s">
        <v>292</v>
      </c>
      <c r="E2605" s="37">
        <v>1</v>
      </c>
      <c r="F2605" s="31">
        <v>0.66499999999999992</v>
      </c>
      <c r="G2605" s="34">
        <f>IF(ISNUMBER(F2605),E2605*F2605,"")</f>
        <v>0.66499999999999992</v>
      </c>
      <c r="H2605" s="39">
        <f>SUM(G2605:G2605)</f>
        <v>0.66499999999999992</v>
      </c>
      <c r="I2605" s="40"/>
      <c r="J2605" s="155">
        <v>0</v>
      </c>
    </row>
    <row r="2606" spans="1:10" ht="15.75" hidden="1" thickBot="1" x14ac:dyDescent="0.3">
      <c r="A2606" s="201"/>
      <c r="B2606" s="188"/>
      <c r="C2606" s="36"/>
      <c r="D2606" s="36"/>
      <c r="E2606" s="37"/>
      <c r="F2606" s="31" t="s">
        <v>558</v>
      </c>
      <c r="G2606" s="34" t="str">
        <f>IF(ISNUMBER(F2606),E2606*F2606,"")</f>
        <v/>
      </c>
      <c r="H2606" s="35"/>
      <c r="I2606" s="31"/>
      <c r="J2606" s="155">
        <v>0</v>
      </c>
    </row>
    <row r="2607" spans="1:10" ht="15.75" hidden="1" thickBot="1" x14ac:dyDescent="0.3">
      <c r="A2607" s="180" t="s">
        <v>802</v>
      </c>
      <c r="B2607" s="186" t="str">
        <f>INDEX(Orçamentária!A:B,MATCH(Composições!A2607,Orçamentária!A:A,0),2)</f>
        <v>Bloco De Concreto Com 02 Furos</v>
      </c>
      <c r="C2607" s="41"/>
      <c r="D2607" s="26" t="str">
        <f>TRIM(INDEX(Orçamentária!C:C,MATCH(Composições!A2607,Orçamentária!A:A,0),1))</f>
        <v>un</v>
      </c>
      <c r="E2607" s="27"/>
      <c r="F2607" s="42" t="s">
        <v>558</v>
      </c>
      <c r="G2607" s="28" t="str">
        <f>IF(ISNUMBER(F2607),E2607*F2607,"")</f>
        <v/>
      </c>
      <c r="H2607" s="29"/>
      <c r="I2607" s="30"/>
      <c r="J2607" s="155">
        <v>0</v>
      </c>
    </row>
    <row r="2608" spans="1:10" ht="15.75" hidden="1" thickBot="1" x14ac:dyDescent="0.3">
      <c r="A2608" s="200"/>
      <c r="B2608" s="202"/>
      <c r="C2608" s="32"/>
      <c r="D2608" s="32"/>
      <c r="E2608" s="33"/>
      <c r="F2608" s="43" t="s">
        <v>558</v>
      </c>
      <c r="G2608" s="34" t="str">
        <f>IF(ISNUMBER(F2608),E2608*F2608,"")</f>
        <v/>
      </c>
      <c r="H2608" s="35"/>
      <c r="I2608" s="31"/>
      <c r="J2608" s="155">
        <v>0</v>
      </c>
    </row>
    <row r="2609" spans="1:10" ht="26.25" hidden="1" thickBot="1" x14ac:dyDescent="0.3">
      <c r="A2609" s="200"/>
      <c r="B2609" s="202"/>
      <c r="C2609" s="36" t="s">
        <v>3604</v>
      </c>
      <c r="D2609" s="36" t="s">
        <v>292</v>
      </c>
      <c r="E2609" s="37">
        <v>1</v>
      </c>
      <c r="F2609" s="31">
        <v>2.2989999999999999</v>
      </c>
      <c r="G2609" s="34">
        <f>IF(ISNUMBER(F2609),E2609*F2609,"")</f>
        <v>2.2989999999999999</v>
      </c>
      <c r="H2609" s="39">
        <f>SUM(G2609:G2609)</f>
        <v>2.2989999999999999</v>
      </c>
      <c r="I2609" s="40"/>
      <c r="J2609" s="155">
        <v>0</v>
      </c>
    </row>
    <row r="2610" spans="1:10" ht="15.75" hidden="1" thickBot="1" x14ac:dyDescent="0.3">
      <c r="A2610" s="201"/>
      <c r="B2610" s="188"/>
      <c r="C2610" s="36"/>
      <c r="D2610" s="36"/>
      <c r="E2610" s="37"/>
      <c r="F2610" s="31" t="s">
        <v>558</v>
      </c>
      <c r="G2610" s="34" t="str">
        <f>IF(ISNUMBER(F2610),E2610*F2610,"")</f>
        <v/>
      </c>
      <c r="H2610" s="35"/>
      <c r="I2610" s="31"/>
      <c r="J2610" s="155">
        <v>0</v>
      </c>
    </row>
    <row r="2611" spans="1:10" ht="15.75" hidden="1" thickBot="1" x14ac:dyDescent="0.3">
      <c r="A2611" s="180" t="s">
        <v>803</v>
      </c>
      <c r="B2611" s="186" t="str">
        <f>INDEX(Orçamentária!A:B,MATCH(Composições!A2611,Orçamentária!A:A,0),2)</f>
        <v>Bloco De Concreto Tipo Canaleta</v>
      </c>
      <c r="C2611" s="41"/>
      <c r="D2611" s="26" t="str">
        <f>TRIM(INDEX(Orçamentária!C:C,MATCH(Composições!A2611,Orçamentária!A:A,0),1))</f>
        <v>un</v>
      </c>
      <c r="E2611" s="27"/>
      <c r="F2611" s="42" t="s">
        <v>558</v>
      </c>
      <c r="G2611" s="28" t="str">
        <f>IF(ISNUMBER(F2611),E2611*F2611,"")</f>
        <v/>
      </c>
      <c r="H2611" s="29"/>
      <c r="I2611" s="30"/>
      <c r="J2611" s="155">
        <v>0</v>
      </c>
    </row>
    <row r="2612" spans="1:10" ht="15.75" hidden="1" thickBot="1" x14ac:dyDescent="0.3">
      <c r="A2612" s="200"/>
      <c r="B2612" s="202"/>
      <c r="C2612" s="32"/>
      <c r="D2612" s="32"/>
      <c r="E2612" s="33"/>
      <c r="F2612" s="43" t="s">
        <v>558</v>
      </c>
      <c r="G2612" s="34" t="str">
        <f>IF(ISNUMBER(F2612),E2612*F2612,"")</f>
        <v/>
      </c>
      <c r="H2612" s="35"/>
      <c r="I2612" s="31"/>
      <c r="J2612" s="155">
        <v>0</v>
      </c>
    </row>
    <row r="2613" spans="1:10" ht="15.75" hidden="1" thickBot="1" x14ac:dyDescent="0.3">
      <c r="A2613" s="200"/>
      <c r="B2613" s="202"/>
      <c r="C2613" s="36" t="s">
        <v>146</v>
      </c>
      <c r="D2613" s="36" t="s">
        <v>147</v>
      </c>
      <c r="E2613" s="37">
        <v>1</v>
      </c>
      <c r="F2613" s="31">
        <v>0</v>
      </c>
      <c r="G2613" s="34">
        <f>IF(ISNUMBER(F2613),E2613*F2613,"")</f>
        <v>0</v>
      </c>
      <c r="H2613" s="39">
        <f>SUM(G2613:G2613)</f>
        <v>0</v>
      </c>
      <c r="I2613" s="40"/>
      <c r="J2613" s="155">
        <v>0</v>
      </c>
    </row>
    <row r="2614" spans="1:10" ht="15.75" hidden="1" thickBot="1" x14ac:dyDescent="0.3">
      <c r="A2614" s="201"/>
      <c r="B2614" s="188"/>
      <c r="C2614" s="36"/>
      <c r="D2614" s="36"/>
      <c r="E2614" s="37"/>
      <c r="F2614" s="31" t="s">
        <v>558</v>
      </c>
      <c r="G2614" s="34" t="str">
        <f>IF(ISNUMBER(F2614),E2614*F2614,"")</f>
        <v/>
      </c>
      <c r="H2614" s="35"/>
      <c r="I2614" s="31"/>
      <c r="J2614" s="155">
        <v>0</v>
      </c>
    </row>
    <row r="2615" spans="1:10" ht="15.75" hidden="1" thickBot="1" x14ac:dyDescent="0.3">
      <c r="A2615" s="180" t="s">
        <v>804</v>
      </c>
      <c r="B2615" s="186" t="str">
        <f>INDEX(Orçamentária!A:B,MATCH(Composições!A2615,Orçamentária!A:A,0),2)</f>
        <v>Vergalhão Ca-60 Diâmetro 5,0 Mm</v>
      </c>
      <c r="C2615" s="41"/>
      <c r="D2615" s="26" t="str">
        <f>TRIM(INDEX(Orçamentária!C:C,MATCH(Composições!A2615,Orçamentária!A:A,0),1))</f>
        <v>m</v>
      </c>
      <c r="E2615" s="27"/>
      <c r="F2615" s="42" t="s">
        <v>558</v>
      </c>
      <c r="G2615" s="28" t="str">
        <f>IF(ISNUMBER(F2615),E2615*F2615,"")</f>
        <v/>
      </c>
      <c r="H2615" s="29"/>
      <c r="I2615" s="30"/>
      <c r="J2615" s="155">
        <v>0</v>
      </c>
    </row>
    <row r="2616" spans="1:10" ht="15.75" hidden="1" thickBot="1" x14ac:dyDescent="0.3">
      <c r="A2616" s="200"/>
      <c r="B2616" s="202"/>
      <c r="C2616" s="32"/>
      <c r="D2616" s="32"/>
      <c r="E2616" s="33"/>
      <c r="F2616" s="43" t="s">
        <v>558</v>
      </c>
      <c r="G2616" s="34" t="str">
        <f>IF(ISNUMBER(F2616),E2616*F2616,"")</f>
        <v/>
      </c>
      <c r="H2616" s="35"/>
      <c r="I2616" s="31"/>
      <c r="J2616" s="155">
        <v>0</v>
      </c>
    </row>
    <row r="2617" spans="1:10" ht="15.75" hidden="1" thickBot="1" x14ac:dyDescent="0.3">
      <c r="A2617" s="200"/>
      <c r="B2617" s="202"/>
      <c r="C2617" s="36" t="s">
        <v>3610</v>
      </c>
      <c r="D2617" s="36" t="s">
        <v>292</v>
      </c>
      <c r="E2617" s="37">
        <v>1</v>
      </c>
      <c r="F2617" s="31">
        <v>0.66499999999999992</v>
      </c>
      <c r="G2617" s="34">
        <f>IF(ISNUMBER(F2617),E2617*F2617,"")</f>
        <v>0.66499999999999992</v>
      </c>
      <c r="H2617" s="39">
        <f>SUM(G2617:G2617)</f>
        <v>0.66499999999999992</v>
      </c>
      <c r="I2617" s="40"/>
      <c r="J2617" s="155">
        <v>0</v>
      </c>
    </row>
    <row r="2618" spans="1:10" ht="15.75" hidden="1" thickBot="1" x14ac:dyDescent="0.3">
      <c r="A2618" s="201"/>
      <c r="B2618" s="188"/>
      <c r="C2618" s="36"/>
      <c r="D2618" s="36"/>
      <c r="E2618" s="37"/>
      <c r="F2618" s="31" t="s">
        <v>558</v>
      </c>
      <c r="G2618" s="34" t="str">
        <f>IF(ISNUMBER(F2618),E2618*F2618,"")</f>
        <v/>
      </c>
      <c r="H2618" s="35"/>
      <c r="I2618" s="31"/>
      <c r="J2618" s="155">
        <v>0</v>
      </c>
    </row>
    <row r="2619" spans="1:10" ht="15.75" hidden="1" thickBot="1" x14ac:dyDescent="0.3">
      <c r="A2619" s="180" t="s">
        <v>805</v>
      </c>
      <c r="B2619" s="186" t="str">
        <f>INDEX(Orçamentária!A:B,MATCH(Composições!A2619,Orçamentária!A:A,0),2)</f>
        <v>Vergalhão Ca-50 Diâmetro 6,3 Mm</v>
      </c>
      <c r="C2619" s="41"/>
      <c r="D2619" s="26" t="str">
        <f>TRIM(INDEX(Orçamentária!C:C,MATCH(Composições!A2619,Orçamentária!A:A,0),1))</f>
        <v>m</v>
      </c>
      <c r="E2619" s="27"/>
      <c r="F2619" s="42" t="s">
        <v>558</v>
      </c>
      <c r="G2619" s="28" t="str">
        <f>IF(ISNUMBER(F2619),E2619*F2619,"")</f>
        <v/>
      </c>
      <c r="H2619" s="29"/>
      <c r="I2619" s="30"/>
      <c r="J2619" s="155">
        <v>0</v>
      </c>
    </row>
    <row r="2620" spans="1:10" ht="15.75" hidden="1" thickBot="1" x14ac:dyDescent="0.3">
      <c r="A2620" s="200"/>
      <c r="B2620" s="202"/>
      <c r="C2620" s="32"/>
      <c r="D2620" s="32"/>
      <c r="E2620" s="33"/>
      <c r="F2620" s="43" t="s">
        <v>558</v>
      </c>
      <c r="G2620" s="34" t="str">
        <f>IF(ISNUMBER(F2620),E2620*F2620,"")</f>
        <v/>
      </c>
      <c r="H2620" s="35"/>
      <c r="I2620" s="31"/>
      <c r="J2620" s="155">
        <v>0</v>
      </c>
    </row>
    <row r="2621" spans="1:10" ht="15.75" hidden="1" thickBot="1" x14ac:dyDescent="0.3">
      <c r="A2621" s="200"/>
      <c r="B2621" s="202"/>
      <c r="C2621" s="36" t="s">
        <v>806</v>
      </c>
      <c r="D2621" s="36" t="s">
        <v>42</v>
      </c>
      <c r="E2621" s="37">
        <v>0.245</v>
      </c>
      <c r="F2621" s="31">
        <v>12.197999999999999</v>
      </c>
      <c r="G2621" s="34">
        <f>IF(ISNUMBER(F2621),E2621*F2621,"")</f>
        <v>2.9885099999999998</v>
      </c>
      <c r="H2621" s="39">
        <f>SUM(G2621:G2621)</f>
        <v>2.9885099999999998</v>
      </c>
      <c r="I2621" s="40"/>
      <c r="J2621" s="155">
        <v>0</v>
      </c>
    </row>
    <row r="2622" spans="1:10" ht="15.75" hidden="1" thickBot="1" x14ac:dyDescent="0.3">
      <c r="A2622" s="201"/>
      <c r="B2622" s="188"/>
      <c r="C2622" s="36"/>
      <c r="D2622" s="36"/>
      <c r="E2622" s="37"/>
      <c r="F2622" s="31" t="s">
        <v>558</v>
      </c>
      <c r="G2622" s="34" t="str">
        <f>IF(ISNUMBER(F2622),E2622*F2622,"")</f>
        <v/>
      </c>
      <c r="H2622" s="35"/>
      <c r="I2622" s="31"/>
      <c r="J2622" s="155">
        <v>0</v>
      </c>
    </row>
    <row r="2623" spans="1:10" ht="15.75" hidden="1" thickBot="1" x14ac:dyDescent="0.3">
      <c r="A2623" s="180" t="s">
        <v>807</v>
      </c>
      <c r="B2623" s="186" t="str">
        <f>INDEX(Orçamentária!A:B,MATCH(Composições!A2623,Orçamentária!A:A,0),2)</f>
        <v>Vergalhão Ca-50 Diâmetro 8,0 Mm</v>
      </c>
      <c r="C2623" s="41"/>
      <c r="D2623" s="26" t="str">
        <f>TRIM(INDEX(Orçamentária!C:C,MATCH(Composições!A2623,Orçamentária!A:A,0),1))</f>
        <v>m</v>
      </c>
      <c r="E2623" s="27"/>
      <c r="F2623" s="42" t="s">
        <v>558</v>
      </c>
      <c r="G2623" s="28" t="str">
        <f>IF(ISNUMBER(F2623),E2623*F2623,"")</f>
        <v/>
      </c>
      <c r="H2623" s="29"/>
      <c r="I2623" s="30"/>
      <c r="J2623" s="155">
        <v>0</v>
      </c>
    </row>
    <row r="2624" spans="1:10" ht="15.75" hidden="1" thickBot="1" x14ac:dyDescent="0.3">
      <c r="A2624" s="200"/>
      <c r="B2624" s="202"/>
      <c r="C2624" s="32"/>
      <c r="D2624" s="32"/>
      <c r="E2624" s="33"/>
      <c r="F2624" s="43" t="s">
        <v>558</v>
      </c>
      <c r="G2624" s="34" t="str">
        <f>IF(ISNUMBER(F2624),E2624*F2624,"")</f>
        <v/>
      </c>
      <c r="H2624" s="35"/>
      <c r="I2624" s="31"/>
      <c r="J2624" s="155">
        <v>0</v>
      </c>
    </row>
    <row r="2625" spans="1:10" ht="15.75" hidden="1" thickBot="1" x14ac:dyDescent="0.3">
      <c r="A2625" s="200"/>
      <c r="B2625" s="202"/>
      <c r="C2625" s="36" t="s">
        <v>808</v>
      </c>
      <c r="D2625" s="36" t="s">
        <v>42</v>
      </c>
      <c r="E2625" s="37">
        <v>0.39500000000000002</v>
      </c>
      <c r="F2625" s="31">
        <v>12.2645</v>
      </c>
      <c r="G2625" s="34">
        <f>IF(ISNUMBER(F2625),E2625*F2625,"")</f>
        <v>4.8444775</v>
      </c>
      <c r="H2625" s="39">
        <f>SUM(G2625:G2625)</f>
        <v>4.8444775</v>
      </c>
      <c r="I2625" s="40"/>
      <c r="J2625" s="155">
        <v>0</v>
      </c>
    </row>
    <row r="2626" spans="1:10" ht="15.75" hidden="1" thickBot="1" x14ac:dyDescent="0.3">
      <c r="A2626" s="201"/>
      <c r="B2626" s="188"/>
      <c r="C2626" s="36"/>
      <c r="D2626" s="36"/>
      <c r="E2626" s="37"/>
      <c r="F2626" s="31" t="s">
        <v>558</v>
      </c>
      <c r="G2626" s="34" t="str">
        <f>IF(ISNUMBER(F2626),E2626*F2626,"")</f>
        <v/>
      </c>
      <c r="H2626" s="35"/>
      <c r="I2626" s="31"/>
      <c r="J2626" s="155">
        <v>0</v>
      </c>
    </row>
    <row r="2627" spans="1:10" ht="15.75" hidden="1" thickBot="1" x14ac:dyDescent="0.3">
      <c r="A2627" s="180" t="s">
        <v>809</v>
      </c>
      <c r="B2627" s="186" t="str">
        <f>INDEX(Orçamentária!A:B,MATCH(Composições!A2627,Orçamentária!A:A,0),2)</f>
        <v>Vergalhão Ca-50 Diâmetro 10,0 Mm</v>
      </c>
      <c r="C2627" s="41"/>
      <c r="D2627" s="26" t="str">
        <f>TRIM(INDEX(Orçamentária!C:C,MATCH(Composições!A2627,Orçamentária!A:A,0),1))</f>
        <v>m</v>
      </c>
      <c r="E2627" s="27"/>
      <c r="F2627" s="42" t="s">
        <v>558</v>
      </c>
      <c r="G2627" s="28" t="str">
        <f>IF(ISNUMBER(F2627),E2627*F2627,"")</f>
        <v/>
      </c>
      <c r="H2627" s="29"/>
      <c r="I2627" s="30"/>
      <c r="J2627" s="155">
        <v>0</v>
      </c>
    </row>
    <row r="2628" spans="1:10" ht="15.75" hidden="1" thickBot="1" x14ac:dyDescent="0.3">
      <c r="A2628" s="200"/>
      <c r="B2628" s="202"/>
      <c r="C2628" s="32"/>
      <c r="D2628" s="32"/>
      <c r="E2628" s="33"/>
      <c r="F2628" s="43" t="s">
        <v>558</v>
      </c>
      <c r="G2628" s="34" t="str">
        <f>IF(ISNUMBER(F2628),E2628*F2628,"")</f>
        <v/>
      </c>
      <c r="H2628" s="35"/>
      <c r="I2628" s="31"/>
      <c r="J2628" s="155">
        <v>0</v>
      </c>
    </row>
    <row r="2629" spans="1:10" ht="15.75" hidden="1" thickBot="1" x14ac:dyDescent="0.3">
      <c r="A2629" s="200"/>
      <c r="B2629" s="202"/>
      <c r="C2629" s="36" t="s">
        <v>810</v>
      </c>
      <c r="D2629" s="36" t="s">
        <v>42</v>
      </c>
      <c r="E2629" s="37">
        <v>0.61699999999999999</v>
      </c>
      <c r="F2629" s="31">
        <v>11.561499999999999</v>
      </c>
      <c r="G2629" s="34">
        <f>IF(ISNUMBER(F2629),E2629*F2629,"")</f>
        <v>7.1334454999999988</v>
      </c>
      <c r="H2629" s="39">
        <f>SUM(G2629:G2629)</f>
        <v>7.1334454999999988</v>
      </c>
      <c r="I2629" s="40"/>
      <c r="J2629" s="155">
        <v>0</v>
      </c>
    </row>
    <row r="2630" spans="1:10" ht="15.75" hidden="1" thickBot="1" x14ac:dyDescent="0.3">
      <c r="A2630" s="201"/>
      <c r="B2630" s="188"/>
      <c r="C2630" s="36"/>
      <c r="D2630" s="36"/>
      <c r="E2630" s="37"/>
      <c r="F2630" s="31" t="s">
        <v>558</v>
      </c>
      <c r="G2630" s="34" t="str">
        <f>IF(ISNUMBER(F2630),E2630*F2630,"")</f>
        <v/>
      </c>
      <c r="H2630" s="35"/>
      <c r="I2630" s="31"/>
      <c r="J2630" s="155">
        <v>0</v>
      </c>
    </row>
    <row r="2631" spans="1:10" ht="15.75" hidden="1" thickBot="1" x14ac:dyDescent="0.3">
      <c r="A2631" s="180" t="s">
        <v>811</v>
      </c>
      <c r="B2631" s="186" t="str">
        <f>INDEX(Orçamentária!A:B,MATCH(Composições!A2631,Orçamentária!A:A,0),2)</f>
        <v>Vergalhão Ca-50 Diâmetro 12,5 Mm</v>
      </c>
      <c r="C2631" s="41"/>
      <c r="D2631" s="26" t="str">
        <f>TRIM(INDEX(Orçamentária!C:C,MATCH(Composições!A2631,Orçamentária!A:A,0),1))</f>
        <v>m</v>
      </c>
      <c r="E2631" s="27"/>
      <c r="F2631" s="42" t="s">
        <v>558</v>
      </c>
      <c r="G2631" s="28" t="str">
        <f>IF(ISNUMBER(F2631),E2631*F2631,"")</f>
        <v/>
      </c>
      <c r="H2631" s="29"/>
      <c r="I2631" s="30"/>
      <c r="J2631" s="155">
        <v>0</v>
      </c>
    </row>
    <row r="2632" spans="1:10" ht="15.75" hidden="1" thickBot="1" x14ac:dyDescent="0.3">
      <c r="A2632" s="200"/>
      <c r="B2632" s="202"/>
      <c r="C2632" s="32"/>
      <c r="D2632" s="32"/>
      <c r="E2632" s="33"/>
      <c r="F2632" s="43" t="s">
        <v>558</v>
      </c>
      <c r="G2632" s="34" t="str">
        <f>IF(ISNUMBER(F2632),E2632*F2632,"")</f>
        <v/>
      </c>
      <c r="H2632" s="35"/>
      <c r="I2632" s="31"/>
      <c r="J2632" s="155">
        <v>0</v>
      </c>
    </row>
    <row r="2633" spans="1:10" ht="15.75" hidden="1" thickBot="1" x14ac:dyDescent="0.3">
      <c r="A2633" s="200"/>
      <c r="B2633" s="202"/>
      <c r="C2633" s="36" t="s">
        <v>812</v>
      </c>
      <c r="D2633" s="36" t="s">
        <v>42</v>
      </c>
      <c r="E2633" s="37">
        <v>0.96299999999999997</v>
      </c>
      <c r="F2633" s="31">
        <v>10.012999999999998</v>
      </c>
      <c r="G2633" s="34">
        <f>IF(ISNUMBER(F2633),E2633*F2633,"")</f>
        <v>9.6425189999999983</v>
      </c>
      <c r="H2633" s="39">
        <f>SUM(G2633:G2633)</f>
        <v>9.6425189999999983</v>
      </c>
      <c r="I2633" s="40"/>
      <c r="J2633" s="155">
        <v>0</v>
      </c>
    </row>
    <row r="2634" spans="1:10" ht="15.75" hidden="1" thickBot="1" x14ac:dyDescent="0.3">
      <c r="A2634" s="201"/>
      <c r="B2634" s="188"/>
      <c r="C2634" s="36"/>
      <c r="D2634" s="36"/>
      <c r="E2634" s="37"/>
      <c r="F2634" s="31" t="s">
        <v>558</v>
      </c>
      <c r="G2634" s="34" t="str">
        <f>IF(ISNUMBER(F2634),E2634*F2634,"")</f>
        <v/>
      </c>
      <c r="H2634" s="35"/>
      <c r="I2634" s="31"/>
      <c r="J2634" s="155">
        <v>0</v>
      </c>
    </row>
    <row r="2635" spans="1:10" ht="15.75" hidden="1" thickBot="1" x14ac:dyDescent="0.3">
      <c r="A2635" s="180" t="s">
        <v>813</v>
      </c>
      <c r="B2635" s="186" t="str">
        <f>INDEX(Orçamentária!A:B,MATCH(Composições!A2635,Orçamentária!A:A,0),2)</f>
        <v>Arame Recozido Nº 18</v>
      </c>
      <c r="C2635" s="41"/>
      <c r="D2635" s="26" t="str">
        <f>TRIM(INDEX(Orçamentária!C:C,MATCH(Composições!A2635,Orçamentária!A:A,0),1))</f>
        <v>kg</v>
      </c>
      <c r="E2635" s="27"/>
      <c r="F2635" s="42" t="s">
        <v>558</v>
      </c>
      <c r="G2635" s="28" t="str">
        <f>IF(ISNUMBER(F2635),E2635*F2635,"")</f>
        <v/>
      </c>
      <c r="H2635" s="29"/>
      <c r="I2635" s="30"/>
      <c r="J2635" s="155">
        <v>0</v>
      </c>
    </row>
    <row r="2636" spans="1:10" ht="15.75" hidden="1" thickBot="1" x14ac:dyDescent="0.3">
      <c r="A2636" s="200"/>
      <c r="B2636" s="202"/>
      <c r="C2636" s="32"/>
      <c r="D2636" s="32"/>
      <c r="E2636" s="33"/>
      <c r="F2636" s="43" t="s">
        <v>558</v>
      </c>
      <c r="G2636" s="34" t="str">
        <f>IF(ISNUMBER(F2636),E2636*F2636,"")</f>
        <v/>
      </c>
      <c r="H2636" s="35"/>
      <c r="I2636" s="31"/>
      <c r="J2636" s="155">
        <v>0</v>
      </c>
    </row>
    <row r="2637" spans="1:10" ht="26.25" hidden="1" thickBot="1" x14ac:dyDescent="0.3">
      <c r="A2637" s="200"/>
      <c r="B2637" s="202"/>
      <c r="C2637" s="36" t="s">
        <v>3598</v>
      </c>
      <c r="D2637" s="36" t="s">
        <v>42</v>
      </c>
      <c r="E2637" s="37">
        <v>1</v>
      </c>
      <c r="F2637" s="31">
        <v>21.754999999999999</v>
      </c>
      <c r="G2637" s="34">
        <f>IF(ISNUMBER(F2637),E2637*F2637,"")</f>
        <v>21.754999999999999</v>
      </c>
      <c r="H2637" s="39">
        <f>SUM(G2637:G2637)</f>
        <v>21.754999999999999</v>
      </c>
      <c r="I2637" s="40"/>
      <c r="J2637" s="155">
        <v>0</v>
      </c>
    </row>
    <row r="2638" spans="1:10" ht="15.75" hidden="1" thickBot="1" x14ac:dyDescent="0.3">
      <c r="A2638" s="201"/>
      <c r="B2638" s="188"/>
      <c r="C2638" s="36"/>
      <c r="D2638" s="36"/>
      <c r="E2638" s="37"/>
      <c r="F2638" s="31" t="s">
        <v>558</v>
      </c>
      <c r="G2638" s="34" t="str">
        <f>IF(ISNUMBER(F2638),E2638*F2638,"")</f>
        <v/>
      </c>
      <c r="H2638" s="35"/>
      <c r="I2638" s="31"/>
      <c r="J2638" s="155">
        <v>0</v>
      </c>
    </row>
    <row r="2639" spans="1:10" ht="15.75" hidden="1" thickBot="1" x14ac:dyDescent="0.3">
      <c r="A2639" s="180" t="s">
        <v>814</v>
      </c>
      <c r="B2639" s="186" t="str">
        <f>INDEX(Orçamentária!A:B,MATCH(Composições!A2639,Orçamentária!A:A,0),2)</f>
        <v>Adesivo Estrutural Epóxi Bicomponente</v>
      </c>
      <c r="C2639" s="41"/>
      <c r="D2639" s="26" t="str">
        <f>TRIM(INDEX(Orçamentária!C:C,MATCH(Composições!A2639,Orçamentária!A:A,0),1))</f>
        <v>kg</v>
      </c>
      <c r="E2639" s="27"/>
      <c r="F2639" s="42" t="s">
        <v>558</v>
      </c>
      <c r="G2639" s="28" t="str">
        <f>IF(ISNUMBER(F2639),E2639*F2639,"")</f>
        <v/>
      </c>
      <c r="H2639" s="29"/>
      <c r="I2639" s="30"/>
      <c r="J2639" s="155">
        <v>0</v>
      </c>
    </row>
    <row r="2640" spans="1:10" ht="15.75" hidden="1" thickBot="1" x14ac:dyDescent="0.3">
      <c r="A2640" s="200"/>
      <c r="B2640" s="202"/>
      <c r="C2640" s="32"/>
      <c r="D2640" s="32"/>
      <c r="E2640" s="33"/>
      <c r="F2640" s="43" t="s">
        <v>558</v>
      </c>
      <c r="G2640" s="34" t="str">
        <f>IF(ISNUMBER(F2640),E2640*F2640,"")</f>
        <v/>
      </c>
      <c r="H2640" s="35"/>
      <c r="I2640" s="31"/>
      <c r="J2640" s="155">
        <v>0</v>
      </c>
    </row>
    <row r="2641" spans="1:10" ht="26.25" hidden="1" thickBot="1" x14ac:dyDescent="0.3">
      <c r="A2641" s="200"/>
      <c r="B2641" s="202"/>
      <c r="C2641" s="36" t="s">
        <v>3321</v>
      </c>
      <c r="D2641" s="36" t="s">
        <v>42</v>
      </c>
      <c r="E2641" s="37">
        <v>1</v>
      </c>
      <c r="F2641" s="31">
        <v>47.243499999999997</v>
      </c>
      <c r="G2641" s="34">
        <f>IF(ISNUMBER(F2641),E2641*F2641,"")</f>
        <v>47.243499999999997</v>
      </c>
      <c r="H2641" s="39">
        <f>SUM(G2641:G2641)</f>
        <v>47.243499999999997</v>
      </c>
      <c r="I2641" s="40"/>
      <c r="J2641" s="155">
        <v>0</v>
      </c>
    </row>
    <row r="2642" spans="1:10" ht="15.75" hidden="1" thickBot="1" x14ac:dyDescent="0.3">
      <c r="A2642" s="201"/>
      <c r="B2642" s="188"/>
      <c r="C2642" s="36"/>
      <c r="D2642" s="36"/>
      <c r="E2642" s="37"/>
      <c r="F2642" s="31" t="s">
        <v>558</v>
      </c>
      <c r="G2642" s="34" t="str">
        <f>IF(ISNUMBER(F2642),E2642*F2642,"")</f>
        <v/>
      </c>
      <c r="H2642" s="35"/>
      <c r="I2642" s="31"/>
      <c r="J2642" s="155">
        <v>0</v>
      </c>
    </row>
    <row r="2643" spans="1:10" ht="15.75" hidden="1" thickBot="1" x14ac:dyDescent="0.3">
      <c r="A2643" s="180" t="s">
        <v>2284</v>
      </c>
      <c r="B2643" s="186" t="str">
        <f>INDEX(Orçamentária!A:B,MATCH(Composições!A2643,Orçamentária!A:A,0),2)</f>
        <v>Selante de Silicone</v>
      </c>
      <c r="C2643" s="41"/>
      <c r="D2643" s="26" t="str">
        <f>TRIM(INDEX(Orçamentária!C:C,MATCH(Composições!A2643,Orçamentária!A:A,0),1))</f>
        <v>un</v>
      </c>
      <c r="E2643" s="27"/>
      <c r="F2643" s="42" t="s">
        <v>558</v>
      </c>
      <c r="G2643" s="28" t="str">
        <f>IF(ISNUMBER(F2643),E2643*F2643,"")</f>
        <v/>
      </c>
      <c r="H2643" s="29"/>
      <c r="I2643" s="30"/>
      <c r="J2643" s="155">
        <v>0</v>
      </c>
    </row>
    <row r="2644" spans="1:10" ht="15.75" hidden="1" thickBot="1" x14ac:dyDescent="0.3">
      <c r="A2644" s="200"/>
      <c r="B2644" s="202"/>
      <c r="C2644" s="32"/>
      <c r="D2644" s="32"/>
      <c r="E2644" s="33"/>
      <c r="F2644" s="43" t="s">
        <v>558</v>
      </c>
      <c r="G2644" s="34" t="str">
        <f>IF(ISNUMBER(F2644),E2644*F2644,"")</f>
        <v/>
      </c>
      <c r="H2644" s="35"/>
      <c r="I2644" s="31"/>
      <c r="J2644" s="155">
        <v>0</v>
      </c>
    </row>
    <row r="2645" spans="1:10" ht="15.75" hidden="1" thickBot="1" x14ac:dyDescent="0.3">
      <c r="A2645" s="200"/>
      <c r="B2645" s="202"/>
      <c r="C2645" s="36" t="s">
        <v>1175</v>
      </c>
      <c r="D2645" s="47" t="s">
        <v>20</v>
      </c>
      <c r="E2645" s="37">
        <v>1</v>
      </c>
      <c r="F2645" s="31">
        <v>20.196999999999999</v>
      </c>
      <c r="G2645" s="34">
        <f>IF(ISNUMBER(F2645),E2645*F2645,"")</f>
        <v>20.196999999999999</v>
      </c>
      <c r="H2645" s="39">
        <f>SUM(G2645:G2645)</f>
        <v>20.196999999999999</v>
      </c>
      <c r="I2645" s="40"/>
      <c r="J2645" s="155">
        <v>0</v>
      </c>
    </row>
    <row r="2646" spans="1:10" ht="15.75" hidden="1" thickBot="1" x14ac:dyDescent="0.3">
      <c r="A2646" s="201"/>
      <c r="B2646" s="188"/>
      <c r="C2646" s="36"/>
      <c r="D2646" s="36"/>
      <c r="E2646" s="37"/>
      <c r="F2646" s="31" t="s">
        <v>558</v>
      </c>
      <c r="G2646" s="34" t="str">
        <f>IF(ISNUMBER(F2646),E2646*F2646,"")</f>
        <v/>
      </c>
      <c r="H2646" s="35"/>
      <c r="I2646" s="31"/>
      <c r="J2646" s="155">
        <v>0</v>
      </c>
    </row>
    <row r="2647" spans="1:10" ht="15.75" hidden="1" thickBot="1" x14ac:dyDescent="0.3">
      <c r="A2647" s="180" t="s">
        <v>816</v>
      </c>
      <c r="B2647" s="186" t="str">
        <f>INDEX(Orçamentária!A:B,MATCH(Composições!A2647,Orçamentária!A:A,0),2)</f>
        <v>Aditivo Impermeabilizante</v>
      </c>
      <c r="C2647" s="41"/>
      <c r="D2647" s="26" t="str">
        <f>TRIM(INDEX(Orçamentária!C:C,MATCH(Composições!A2647,Orçamentária!A:A,0),1))</f>
        <v>L</v>
      </c>
      <c r="E2647" s="27"/>
      <c r="F2647" s="42" t="s">
        <v>558</v>
      </c>
      <c r="G2647" s="28" t="str">
        <f>IF(ISNUMBER(F2647),E2647*F2647,"")</f>
        <v/>
      </c>
      <c r="H2647" s="29"/>
      <c r="I2647" s="30"/>
      <c r="J2647" s="155">
        <v>0</v>
      </c>
    </row>
    <row r="2648" spans="1:10" ht="15.75" hidden="1" thickBot="1" x14ac:dyDescent="0.3">
      <c r="A2648" s="200"/>
      <c r="B2648" s="202"/>
      <c r="C2648" s="32"/>
      <c r="D2648" s="32"/>
      <c r="E2648" s="33"/>
      <c r="F2648" s="43" t="s">
        <v>558</v>
      </c>
      <c r="G2648" s="34" t="str">
        <f>IF(ISNUMBER(F2648),E2648*F2648,"")</f>
        <v/>
      </c>
      <c r="H2648" s="35"/>
      <c r="I2648" s="31"/>
      <c r="J2648" s="155">
        <v>0</v>
      </c>
    </row>
    <row r="2649" spans="1:10" ht="39" hidden="1" thickBot="1" x14ac:dyDescent="0.3">
      <c r="A2649" s="200"/>
      <c r="B2649" s="202"/>
      <c r="C2649" s="36" t="s">
        <v>817</v>
      </c>
      <c r="D2649" s="47" t="s">
        <v>103</v>
      </c>
      <c r="E2649" s="37">
        <v>1</v>
      </c>
      <c r="F2649" s="31">
        <v>6.3744999999999994</v>
      </c>
      <c r="G2649" s="34">
        <f>IF(ISNUMBER(F2649),E2649*F2649,"")</f>
        <v>6.3744999999999994</v>
      </c>
      <c r="H2649" s="39">
        <f>SUM(G2649:G2649)</f>
        <v>6.3744999999999994</v>
      </c>
      <c r="I2649" s="40"/>
      <c r="J2649" s="155">
        <v>0</v>
      </c>
    </row>
    <row r="2650" spans="1:10" ht="15.75" hidden="1" thickBot="1" x14ac:dyDescent="0.3">
      <c r="A2650" s="201"/>
      <c r="B2650" s="188"/>
      <c r="C2650" s="36"/>
      <c r="D2650" s="36"/>
      <c r="E2650" s="37"/>
      <c r="F2650" s="31" t="s">
        <v>558</v>
      </c>
      <c r="G2650" s="34" t="str">
        <f>IF(ISNUMBER(F2650),E2650*F2650,"")</f>
        <v/>
      </c>
      <c r="H2650" s="35"/>
      <c r="I2650" s="31"/>
      <c r="J2650" s="155">
        <v>0</v>
      </c>
    </row>
    <row r="2651" spans="1:10" ht="15.75" hidden="1" thickBot="1" x14ac:dyDescent="0.3">
      <c r="A2651" s="180" t="s">
        <v>2301</v>
      </c>
      <c r="B2651" s="186" t="str">
        <f>INDEX(Orçamentária!A:B,MATCH(Composições!A2651,Orçamentária!A:A,0),2)</f>
        <v>Lona Plástica</v>
      </c>
      <c r="C2651" s="41"/>
      <c r="D2651" s="26" t="str">
        <f>TRIM(INDEX(Orçamentária!C:C,MATCH(Composições!A2651,Orçamentária!A:A,0),1))</f>
        <v>m2</v>
      </c>
      <c r="E2651" s="27"/>
      <c r="F2651" s="42" t="s">
        <v>558</v>
      </c>
      <c r="G2651" s="28" t="str">
        <f>IF(ISNUMBER(F2651),E2651*F2651,"")</f>
        <v/>
      </c>
      <c r="H2651" s="29"/>
      <c r="I2651" s="30"/>
      <c r="J2651" s="155">
        <v>0</v>
      </c>
    </row>
    <row r="2652" spans="1:10" ht="15.75" hidden="1" thickBot="1" x14ac:dyDescent="0.3">
      <c r="A2652" s="200"/>
      <c r="B2652" s="202"/>
      <c r="C2652" s="32"/>
      <c r="D2652" s="32"/>
      <c r="E2652" s="33"/>
      <c r="F2652" s="43" t="s">
        <v>558</v>
      </c>
      <c r="G2652" s="34" t="str">
        <f>IF(ISNUMBER(F2652),E2652*F2652,"")</f>
        <v/>
      </c>
      <c r="H2652" s="35"/>
      <c r="I2652" s="31"/>
      <c r="J2652" s="155">
        <v>0</v>
      </c>
    </row>
    <row r="2653" spans="1:10" ht="15.75" hidden="1" thickBot="1" x14ac:dyDescent="0.3">
      <c r="A2653" s="200"/>
      <c r="B2653" s="202"/>
      <c r="C2653" s="36" t="s">
        <v>3786</v>
      </c>
      <c r="D2653" s="47" t="s">
        <v>95</v>
      </c>
      <c r="E2653" s="37">
        <v>1</v>
      </c>
      <c r="F2653" s="31">
        <v>1.159</v>
      </c>
      <c r="G2653" s="34">
        <f>IF(ISNUMBER(F2653),E2653*F2653,"")</f>
        <v>1.159</v>
      </c>
      <c r="H2653" s="39">
        <f>SUM(G2653:G2653)</f>
        <v>1.159</v>
      </c>
      <c r="I2653" s="40"/>
      <c r="J2653" s="155">
        <v>0</v>
      </c>
    </row>
    <row r="2654" spans="1:10" ht="15.75" hidden="1" thickBot="1" x14ac:dyDescent="0.3">
      <c r="A2654" s="201"/>
      <c r="B2654" s="188"/>
      <c r="C2654" s="36"/>
      <c r="D2654" s="36"/>
      <c r="E2654" s="37"/>
      <c r="F2654" s="31" t="s">
        <v>558</v>
      </c>
      <c r="G2654" s="34" t="str">
        <f>IF(ISNUMBER(F2654),E2654*F2654,"")</f>
        <v/>
      </c>
      <c r="H2654" s="35"/>
      <c r="I2654" s="31"/>
      <c r="J2654" s="155">
        <v>0</v>
      </c>
    </row>
    <row r="2655" spans="1:10" ht="15.75" hidden="1" thickBot="1" x14ac:dyDescent="0.3">
      <c r="A2655" s="180" t="s">
        <v>818</v>
      </c>
      <c r="B2655" s="186" t="str">
        <f>INDEX(Orçamentária!A:B,MATCH(Composições!A2655,Orçamentária!A:A,0),2)</f>
        <v>Supervisor(a)-Geral</v>
      </c>
      <c r="C2655" s="41"/>
      <c r="D2655" s="26" t="str">
        <f>TRIM(INDEX(Orçamentária!C:C,MATCH(Composições!A2655,Orçamentária!A:A,0),1))</f>
        <v>Profissional</v>
      </c>
      <c r="E2655" s="27"/>
      <c r="F2655" s="42" t="s">
        <v>558</v>
      </c>
      <c r="G2655" s="28" t="str">
        <f>IF(ISNUMBER(F2655),E2655*F2655,"")</f>
        <v/>
      </c>
      <c r="H2655" s="29"/>
      <c r="I2655" s="30"/>
      <c r="J2655" s="155">
        <v>0</v>
      </c>
    </row>
    <row r="2656" spans="1:10" ht="15.75" hidden="1" thickBot="1" x14ac:dyDescent="0.3">
      <c r="A2656" s="200"/>
      <c r="B2656" s="202"/>
      <c r="C2656" s="32"/>
      <c r="D2656" s="32"/>
      <c r="E2656" s="33"/>
      <c r="F2656" s="43" t="s">
        <v>558</v>
      </c>
      <c r="G2656" s="34" t="str">
        <f>IF(ISNUMBER(F2656),E2656*F2656,"")</f>
        <v/>
      </c>
      <c r="H2656" s="35"/>
      <c r="I2656" s="31"/>
      <c r="J2656" s="155">
        <v>0</v>
      </c>
    </row>
    <row r="2657" spans="1:10" ht="26.25" hidden="1" thickBot="1" x14ac:dyDescent="0.3">
      <c r="A2657" s="200"/>
      <c r="B2657" s="202"/>
      <c r="C2657" s="36" t="s">
        <v>819</v>
      </c>
      <c r="D2657" s="47" t="s">
        <v>12</v>
      </c>
      <c r="E2657" s="37">
        <f>ROUND(220/(1+112.85%),4)</f>
        <v>103.3592</v>
      </c>
      <c r="F2657" s="31">
        <v>100.3295</v>
      </c>
      <c r="G2657" s="34">
        <f>IF(ISNUMBER(F2657),E2657*F2657,"")</f>
        <v>10369.976856400001</v>
      </c>
      <c r="H2657" s="39">
        <f>SUM(G2657:G2657)</f>
        <v>10369.976856400001</v>
      </c>
      <c r="I2657" s="40"/>
      <c r="J2657" s="155">
        <v>0</v>
      </c>
    </row>
    <row r="2658" spans="1:10" ht="15.75" hidden="1" thickBot="1" x14ac:dyDescent="0.3">
      <c r="A2658" s="200"/>
      <c r="B2658" s="202"/>
      <c r="C2658" s="36"/>
      <c r="D2658" s="47"/>
      <c r="E2658" s="37"/>
      <c r="F2658" s="31" t="s">
        <v>558</v>
      </c>
      <c r="G2658" s="34" t="str">
        <f>IF(ISNUMBER(F2658),E2658*F2658,"")</f>
        <v/>
      </c>
      <c r="H2658" s="39"/>
      <c r="I2658" s="40"/>
      <c r="J2658" s="155">
        <v>0</v>
      </c>
    </row>
    <row r="2659" spans="1:10" ht="26.25" hidden="1" thickBot="1" x14ac:dyDescent="0.3">
      <c r="A2659" s="200"/>
      <c r="B2659" s="202"/>
      <c r="C2659" s="48" t="s">
        <v>820</v>
      </c>
      <c r="D2659" s="47"/>
      <c r="E2659" s="37"/>
      <c r="F2659" s="31" t="s">
        <v>558</v>
      </c>
      <c r="G2659" s="34" t="str">
        <f>IF(ISNUMBER(F2659),E2659*F2659,"")</f>
        <v/>
      </c>
      <c r="H2659" s="39"/>
      <c r="I2659" s="40"/>
      <c r="J2659" s="155">
        <v>0</v>
      </c>
    </row>
    <row r="2660" spans="1:10" ht="15.75" hidden="1" thickBot="1" x14ac:dyDescent="0.3">
      <c r="A2660" s="201"/>
      <c r="B2660" s="188"/>
      <c r="C2660" s="36"/>
      <c r="D2660" s="36"/>
      <c r="E2660" s="37"/>
      <c r="F2660" s="31" t="s">
        <v>558</v>
      </c>
      <c r="G2660" s="34" t="str">
        <f>IF(ISNUMBER(F2660),E2660*F2660,"")</f>
        <v/>
      </c>
      <c r="H2660" s="35"/>
      <c r="I2660" s="31"/>
      <c r="J2660" s="155">
        <v>0</v>
      </c>
    </row>
    <row r="2661" spans="1:10" ht="15.75" hidden="1" thickBot="1" x14ac:dyDescent="0.3">
      <c r="A2661" s="180" t="s">
        <v>821</v>
      </c>
      <c r="B2661" s="186" t="str">
        <f>INDEX(Orçamentária!A:B,MATCH(Composições!A2661,Orçamentária!A:A,0),2)</f>
        <v>Apoio Técnico Administrativo – Controle de Almoxarifado</v>
      </c>
      <c r="C2661" s="41"/>
      <c r="D2661" s="26" t="str">
        <f>TRIM(INDEX(Orçamentária!C:C,MATCH(Composições!A2661,Orçamentária!A:A,0),1))</f>
        <v>Profissional</v>
      </c>
      <c r="E2661" s="27"/>
      <c r="F2661" s="42" t="s">
        <v>558</v>
      </c>
      <c r="G2661" s="28" t="str">
        <f>IF(ISNUMBER(F2661),E2661*F2661,"")</f>
        <v/>
      </c>
      <c r="H2661" s="29"/>
      <c r="I2661" s="30"/>
      <c r="J2661" s="155">
        <v>0</v>
      </c>
    </row>
    <row r="2662" spans="1:10" ht="15.75" hidden="1" thickBot="1" x14ac:dyDescent="0.3">
      <c r="A2662" s="181"/>
      <c r="B2662" s="202"/>
      <c r="C2662" s="32"/>
      <c r="D2662" s="32"/>
      <c r="E2662" s="33"/>
      <c r="F2662" s="43" t="s">
        <v>558</v>
      </c>
      <c r="G2662" s="34" t="str">
        <f>IF(ISNUMBER(F2662),E2662*F2662,"")</f>
        <v/>
      </c>
      <c r="H2662" s="35"/>
      <c r="I2662" s="31"/>
      <c r="J2662" s="155">
        <v>0</v>
      </c>
    </row>
    <row r="2663" spans="1:10" ht="15.75" hidden="1" thickBot="1" x14ac:dyDescent="0.3">
      <c r="A2663" s="181"/>
      <c r="B2663" s="202"/>
      <c r="C2663" s="36" t="s">
        <v>822</v>
      </c>
      <c r="D2663" s="47" t="s">
        <v>12</v>
      </c>
      <c r="E2663" s="37">
        <f>ROUND(220/(1+112.85%),4)</f>
        <v>103.3592</v>
      </c>
      <c r="F2663" s="31">
        <v>26.058499999999999</v>
      </c>
      <c r="G2663" s="34">
        <f>IF(ISNUMBER(F2663),E2663*F2663,"")</f>
        <v>2693.3857131999998</v>
      </c>
      <c r="H2663" s="39">
        <f>SUM(G2663:G2663)</f>
        <v>2693.3857131999998</v>
      </c>
      <c r="I2663" s="40"/>
      <c r="J2663" s="155">
        <v>0</v>
      </c>
    </row>
    <row r="2664" spans="1:10" ht="15.75" hidden="1" thickBot="1" x14ac:dyDescent="0.3">
      <c r="A2664" s="181"/>
      <c r="B2664" s="202"/>
      <c r="C2664" s="36"/>
      <c r="D2664" s="47"/>
      <c r="E2664" s="37"/>
      <c r="F2664" s="31" t="s">
        <v>558</v>
      </c>
      <c r="G2664" s="34" t="str">
        <f>IF(ISNUMBER(F2664),E2664*F2664,"")</f>
        <v/>
      </c>
      <c r="H2664" s="39"/>
      <c r="I2664" s="40"/>
      <c r="J2664" s="155">
        <v>0</v>
      </c>
    </row>
    <row r="2665" spans="1:10" ht="26.25" hidden="1" thickBot="1" x14ac:dyDescent="0.3">
      <c r="A2665" s="181"/>
      <c r="B2665" s="202"/>
      <c r="C2665" s="48" t="s">
        <v>820</v>
      </c>
      <c r="D2665" s="47"/>
      <c r="E2665" s="37"/>
      <c r="F2665" s="31" t="s">
        <v>558</v>
      </c>
      <c r="G2665" s="34" t="str">
        <f>IF(ISNUMBER(F2665),E2665*F2665,"")</f>
        <v/>
      </c>
      <c r="H2665" s="39"/>
      <c r="I2665" s="40"/>
      <c r="J2665" s="155">
        <v>0</v>
      </c>
    </row>
    <row r="2666" spans="1:10" ht="15.75" hidden="1" thickBot="1" x14ac:dyDescent="0.3">
      <c r="A2666" s="182"/>
      <c r="B2666" s="188"/>
      <c r="C2666" s="36"/>
      <c r="D2666" s="36"/>
      <c r="E2666" s="37"/>
      <c r="F2666" s="31" t="s">
        <v>558</v>
      </c>
      <c r="G2666" s="34" t="str">
        <f>IF(ISNUMBER(F2666),E2666*F2666,"")</f>
        <v/>
      </c>
      <c r="H2666" s="35"/>
      <c r="I2666" s="31"/>
      <c r="J2666" s="155">
        <v>0</v>
      </c>
    </row>
    <row r="2667" spans="1:10" ht="15.75" hidden="1" thickBot="1" x14ac:dyDescent="0.3">
      <c r="A2667" s="180" t="s">
        <v>823</v>
      </c>
      <c r="B2667" s="186" t="str">
        <f>INDEX(Orçamentária!A:B,MATCH(Composições!A2667,Orçamentária!A:A,0),2)</f>
        <v>Ajudante de Serviços Gerais</v>
      </c>
      <c r="C2667" s="41"/>
      <c r="D2667" s="26" t="str">
        <f>TRIM(INDEX(Orçamentária!C:C,MATCH(Composições!A2667,Orçamentária!A:A,0),1))</f>
        <v>Profissional</v>
      </c>
      <c r="E2667" s="27"/>
      <c r="F2667" s="42" t="s">
        <v>558</v>
      </c>
      <c r="G2667" s="28" t="str">
        <f>IF(ISNUMBER(F2667),E2667*F2667,"")</f>
        <v/>
      </c>
      <c r="H2667" s="29"/>
      <c r="I2667" s="30"/>
      <c r="J2667" s="155">
        <v>0</v>
      </c>
    </row>
    <row r="2668" spans="1:10" ht="15.75" hidden="1" thickBot="1" x14ac:dyDescent="0.3">
      <c r="A2668" s="200"/>
      <c r="B2668" s="202"/>
      <c r="C2668" s="32"/>
      <c r="D2668" s="32"/>
      <c r="E2668" s="33"/>
      <c r="F2668" s="43" t="s">
        <v>558</v>
      </c>
      <c r="G2668" s="34" t="str">
        <f>IF(ISNUMBER(F2668),E2668*F2668,"")</f>
        <v/>
      </c>
      <c r="H2668" s="35"/>
      <c r="I2668" s="31"/>
      <c r="J2668" s="155">
        <v>0</v>
      </c>
    </row>
    <row r="2669" spans="1:10" ht="15.75" hidden="1" thickBot="1" x14ac:dyDescent="0.3">
      <c r="A2669" s="200"/>
      <c r="B2669" s="202"/>
      <c r="C2669" s="36" t="s">
        <v>743</v>
      </c>
      <c r="D2669" s="47" t="s">
        <v>12</v>
      </c>
      <c r="E2669" s="37">
        <f>ROUND(220/(1+112.85%),4)</f>
        <v>103.3592</v>
      </c>
      <c r="F2669" s="31">
        <v>16.729499999999998</v>
      </c>
      <c r="G2669" s="34">
        <f>IF(ISNUMBER(F2669),E2669*F2669,"")</f>
        <v>1729.1477363999998</v>
      </c>
      <c r="H2669" s="39">
        <f>SUM(G2669:G2669)</f>
        <v>1729.1477363999998</v>
      </c>
      <c r="I2669" s="40"/>
      <c r="J2669" s="155">
        <v>0</v>
      </c>
    </row>
    <row r="2670" spans="1:10" ht="15.75" hidden="1" thickBot="1" x14ac:dyDescent="0.3">
      <c r="A2670" s="200"/>
      <c r="B2670" s="202"/>
      <c r="C2670" s="36"/>
      <c r="D2670" s="47"/>
      <c r="E2670" s="37"/>
      <c r="F2670" s="31" t="s">
        <v>558</v>
      </c>
      <c r="G2670" s="34" t="str">
        <f>IF(ISNUMBER(F2670),E2670*F2670,"")</f>
        <v/>
      </c>
      <c r="H2670" s="39"/>
      <c r="I2670" s="40"/>
      <c r="J2670" s="155">
        <v>0</v>
      </c>
    </row>
    <row r="2671" spans="1:10" ht="26.25" hidden="1" thickBot="1" x14ac:dyDescent="0.3">
      <c r="A2671" s="200"/>
      <c r="B2671" s="202"/>
      <c r="C2671" s="48" t="s">
        <v>820</v>
      </c>
      <c r="D2671" s="47"/>
      <c r="E2671" s="37"/>
      <c r="F2671" s="31" t="s">
        <v>558</v>
      </c>
      <c r="G2671" s="34" t="str">
        <f>IF(ISNUMBER(F2671),E2671*F2671,"")</f>
        <v/>
      </c>
      <c r="H2671" s="39"/>
      <c r="I2671" s="40"/>
      <c r="J2671" s="155">
        <v>0</v>
      </c>
    </row>
    <row r="2672" spans="1:10" ht="15.75" hidden="1" thickBot="1" x14ac:dyDescent="0.3">
      <c r="A2672" s="201"/>
      <c r="B2672" s="188"/>
      <c r="C2672" s="36"/>
      <c r="D2672" s="36"/>
      <c r="E2672" s="37"/>
      <c r="F2672" s="31" t="s">
        <v>558</v>
      </c>
      <c r="G2672" s="34" t="str">
        <f>IF(ISNUMBER(F2672),E2672*F2672,"")</f>
        <v/>
      </c>
      <c r="H2672" s="35"/>
      <c r="I2672" s="31"/>
      <c r="J2672" s="155">
        <v>0</v>
      </c>
    </row>
    <row r="2673" spans="1:10" ht="15.75" hidden="1" thickBot="1" x14ac:dyDescent="0.3">
      <c r="A2673" s="180" t="s">
        <v>824</v>
      </c>
      <c r="B2673" s="186" t="str">
        <f>INDEX(Orçamentária!A:B,MATCH(Composições!A2673,Orçamentária!A:A,0),2)</f>
        <v>Ajudante de Marceneiro(a)</v>
      </c>
      <c r="C2673" s="41"/>
      <c r="D2673" s="26" t="str">
        <f>TRIM(INDEX(Orçamentária!C:C,MATCH(Composições!A2673,Orçamentária!A:A,0),1))</f>
        <v>Profissional</v>
      </c>
      <c r="E2673" s="27"/>
      <c r="F2673" s="42" t="s">
        <v>558</v>
      </c>
      <c r="G2673" s="28" t="str">
        <f>IF(ISNUMBER(F2673),E2673*F2673,"")</f>
        <v/>
      </c>
      <c r="H2673" s="29"/>
      <c r="I2673" s="30"/>
      <c r="J2673" s="155">
        <v>0</v>
      </c>
    </row>
    <row r="2674" spans="1:10" ht="15.75" hidden="1" thickBot="1" x14ac:dyDescent="0.3">
      <c r="A2674" s="200"/>
      <c r="B2674" s="202"/>
      <c r="C2674" s="32"/>
      <c r="D2674" s="32"/>
      <c r="E2674" s="33"/>
      <c r="F2674" s="43" t="s">
        <v>558</v>
      </c>
      <c r="G2674" s="34" t="str">
        <f>IF(ISNUMBER(F2674),E2674*F2674,"")</f>
        <v/>
      </c>
      <c r="H2674" s="35"/>
      <c r="I2674" s="31"/>
      <c r="J2674" s="155">
        <v>0</v>
      </c>
    </row>
    <row r="2675" spans="1:10" ht="15.75" hidden="1" thickBot="1" x14ac:dyDescent="0.3">
      <c r="A2675" s="200"/>
      <c r="B2675" s="202"/>
      <c r="C2675" s="36" t="s">
        <v>825</v>
      </c>
      <c r="D2675" s="47" t="s">
        <v>12</v>
      </c>
      <c r="E2675" s="37">
        <f>ROUND(220/(1+112.85%),4)</f>
        <v>103.3592</v>
      </c>
      <c r="F2675" s="31">
        <v>18.962</v>
      </c>
      <c r="G2675" s="34">
        <f>IF(ISNUMBER(F2675),E2675*F2675,"")</f>
        <v>1959.8971504000001</v>
      </c>
      <c r="H2675" s="39">
        <f>SUM(G2675:G2675)</f>
        <v>1959.8971504000001</v>
      </c>
      <c r="I2675" s="40"/>
      <c r="J2675" s="155">
        <v>0</v>
      </c>
    </row>
    <row r="2676" spans="1:10" ht="15.75" hidden="1" thickBot="1" x14ac:dyDescent="0.3">
      <c r="A2676" s="200"/>
      <c r="B2676" s="202"/>
      <c r="C2676" s="36"/>
      <c r="D2676" s="47"/>
      <c r="E2676" s="37"/>
      <c r="F2676" s="31" t="s">
        <v>558</v>
      </c>
      <c r="G2676" s="34" t="str">
        <f>IF(ISNUMBER(F2676),E2676*F2676,"")</f>
        <v/>
      </c>
      <c r="H2676" s="39"/>
      <c r="I2676" s="40"/>
      <c r="J2676" s="155">
        <v>0</v>
      </c>
    </row>
    <row r="2677" spans="1:10" ht="26.25" hidden="1" thickBot="1" x14ac:dyDescent="0.3">
      <c r="A2677" s="200"/>
      <c r="B2677" s="202"/>
      <c r="C2677" s="48" t="s">
        <v>820</v>
      </c>
      <c r="D2677" s="47"/>
      <c r="E2677" s="37"/>
      <c r="F2677" s="31" t="s">
        <v>558</v>
      </c>
      <c r="G2677" s="34" t="str">
        <f>IF(ISNUMBER(F2677),E2677*F2677,"")</f>
        <v/>
      </c>
      <c r="H2677" s="39"/>
      <c r="I2677" s="40"/>
      <c r="J2677" s="155">
        <v>0</v>
      </c>
    </row>
    <row r="2678" spans="1:10" ht="15.75" hidden="1" thickBot="1" x14ac:dyDescent="0.3">
      <c r="A2678" s="201"/>
      <c r="B2678" s="188"/>
      <c r="C2678" s="36"/>
      <c r="D2678" s="36"/>
      <c r="E2678" s="37"/>
      <c r="F2678" s="31" t="s">
        <v>558</v>
      </c>
      <c r="G2678" s="34" t="str">
        <f>IF(ISNUMBER(F2678),E2678*F2678,"")</f>
        <v/>
      </c>
      <c r="H2678" s="35"/>
      <c r="I2678" s="31"/>
      <c r="J2678" s="155">
        <v>0</v>
      </c>
    </row>
    <row r="2679" spans="1:10" ht="15.75" hidden="1" thickBot="1" x14ac:dyDescent="0.3">
      <c r="A2679" s="180" t="s">
        <v>826</v>
      </c>
      <c r="B2679" s="186" t="str">
        <f>INDEX(Orçamentária!A:B,MATCH(Composições!A2679,Orçamentária!A:A,0),2)</f>
        <v>Ajudante de Serralheiro(a)</v>
      </c>
      <c r="C2679" s="41"/>
      <c r="D2679" s="26" t="str">
        <f>TRIM(INDEX(Orçamentária!C:C,MATCH(Composições!A2679,Orçamentária!A:A,0),1))</f>
        <v>Profissional</v>
      </c>
      <c r="E2679" s="27"/>
      <c r="F2679" s="42" t="s">
        <v>558</v>
      </c>
      <c r="G2679" s="28" t="str">
        <f>IF(ISNUMBER(F2679),E2679*F2679,"")</f>
        <v/>
      </c>
      <c r="H2679" s="29"/>
      <c r="I2679" s="30"/>
      <c r="J2679" s="155">
        <v>0</v>
      </c>
    </row>
    <row r="2680" spans="1:10" ht="15.75" hidden="1" thickBot="1" x14ac:dyDescent="0.3">
      <c r="A2680" s="200"/>
      <c r="B2680" s="202"/>
      <c r="C2680" s="32"/>
      <c r="D2680" s="32"/>
      <c r="E2680" s="33"/>
      <c r="F2680" s="43" t="s">
        <v>558</v>
      </c>
      <c r="G2680" s="34" t="str">
        <f>IF(ISNUMBER(F2680),E2680*F2680,"")</f>
        <v/>
      </c>
      <c r="H2680" s="35"/>
      <c r="I2680" s="31"/>
      <c r="J2680" s="155">
        <v>0</v>
      </c>
    </row>
    <row r="2681" spans="1:10" ht="15.75" hidden="1" thickBot="1" x14ac:dyDescent="0.3">
      <c r="A2681" s="200"/>
      <c r="B2681" s="202"/>
      <c r="C2681" s="36" t="s">
        <v>827</v>
      </c>
      <c r="D2681" s="47" t="s">
        <v>12</v>
      </c>
      <c r="E2681" s="37">
        <f>ROUND(220/(1+112.85%),4)</f>
        <v>103.3592</v>
      </c>
      <c r="F2681" s="31">
        <v>18.344499999999996</v>
      </c>
      <c r="G2681" s="34">
        <f>IF(ISNUMBER(F2681),E2681*F2681,"")</f>
        <v>1896.0728443999997</v>
      </c>
      <c r="H2681" s="39">
        <f>SUM(G2681:G2681)</f>
        <v>1896.0728443999997</v>
      </c>
      <c r="I2681" s="40"/>
      <c r="J2681" s="155">
        <v>0</v>
      </c>
    </row>
    <row r="2682" spans="1:10" ht="15.75" hidden="1" thickBot="1" x14ac:dyDescent="0.3">
      <c r="A2682" s="200"/>
      <c r="B2682" s="202"/>
      <c r="C2682" s="36"/>
      <c r="D2682" s="47"/>
      <c r="E2682" s="37"/>
      <c r="F2682" s="31" t="s">
        <v>558</v>
      </c>
      <c r="G2682" s="34" t="str">
        <f>IF(ISNUMBER(F2682),E2682*F2682,"")</f>
        <v/>
      </c>
      <c r="H2682" s="39"/>
      <c r="I2682" s="40"/>
      <c r="J2682" s="155">
        <v>0</v>
      </c>
    </row>
    <row r="2683" spans="1:10" ht="26.25" hidden="1" thickBot="1" x14ac:dyDescent="0.3">
      <c r="A2683" s="200"/>
      <c r="B2683" s="202"/>
      <c r="C2683" s="48" t="s">
        <v>820</v>
      </c>
      <c r="D2683" s="47"/>
      <c r="E2683" s="37"/>
      <c r="F2683" s="31" t="s">
        <v>558</v>
      </c>
      <c r="G2683" s="34" t="str">
        <f>IF(ISNUMBER(F2683),E2683*F2683,"")</f>
        <v/>
      </c>
      <c r="H2683" s="39"/>
      <c r="I2683" s="40"/>
      <c r="J2683" s="155">
        <v>0</v>
      </c>
    </row>
    <row r="2684" spans="1:10" ht="15.75" hidden="1" thickBot="1" x14ac:dyDescent="0.3">
      <c r="A2684" s="201"/>
      <c r="B2684" s="188"/>
      <c r="C2684" s="36"/>
      <c r="D2684" s="36"/>
      <c r="E2684" s="37"/>
      <c r="F2684" s="31" t="s">
        <v>558</v>
      </c>
      <c r="G2684" s="34" t="str">
        <f>IF(ISNUMBER(F2684),E2684*F2684,"")</f>
        <v/>
      </c>
      <c r="H2684" s="35"/>
      <c r="I2684" s="31"/>
      <c r="J2684" s="155">
        <v>0</v>
      </c>
    </row>
    <row r="2685" spans="1:10" ht="15.75" hidden="1" thickBot="1" x14ac:dyDescent="0.3">
      <c r="A2685" s="180" t="s">
        <v>828</v>
      </c>
      <c r="B2685" s="186" t="str">
        <f>INDEX(Orçamentária!A:B,MATCH(Composições!A2685,Orçamentária!A:A,0),2)</f>
        <v>Lustrador(a) de Móveis</v>
      </c>
      <c r="C2685" s="41"/>
      <c r="D2685" s="26" t="str">
        <f>TRIM(INDEX(Orçamentária!C:C,MATCH(Composições!A2685,Orçamentária!A:A,0),1))</f>
        <v>Profissional</v>
      </c>
      <c r="E2685" s="27"/>
      <c r="F2685" s="42" t="s">
        <v>558</v>
      </c>
      <c r="G2685" s="28" t="str">
        <f>IF(ISNUMBER(F2685),E2685*F2685,"")</f>
        <v/>
      </c>
      <c r="H2685" s="29"/>
      <c r="I2685" s="30"/>
      <c r="J2685" s="155">
        <v>0</v>
      </c>
    </row>
    <row r="2686" spans="1:10" ht="15.75" hidden="1" thickBot="1" x14ac:dyDescent="0.3">
      <c r="A2686" s="200"/>
      <c r="B2686" s="202"/>
      <c r="C2686" s="32"/>
      <c r="D2686" s="32"/>
      <c r="E2686" s="33"/>
      <c r="F2686" s="43" t="s">
        <v>558</v>
      </c>
      <c r="G2686" s="34" t="str">
        <f>IF(ISNUMBER(F2686),E2686*F2686,"")</f>
        <v/>
      </c>
      <c r="H2686" s="35"/>
      <c r="I2686" s="31"/>
      <c r="J2686" s="155">
        <v>0</v>
      </c>
    </row>
    <row r="2687" spans="1:10" ht="15.75" hidden="1" thickBot="1" x14ac:dyDescent="0.3">
      <c r="A2687" s="200"/>
      <c r="B2687" s="202"/>
      <c r="C2687" s="36" t="s">
        <v>643</v>
      </c>
      <c r="D2687" s="47" t="s">
        <v>12</v>
      </c>
      <c r="E2687" s="37">
        <f>ROUND(220/(1+112.85%),4)</f>
        <v>103.3592</v>
      </c>
      <c r="F2687" s="31">
        <v>22.895</v>
      </c>
      <c r="G2687" s="34">
        <f>IF(ISNUMBER(F2687),E2687*F2687,"")</f>
        <v>2366.4088839999999</v>
      </c>
      <c r="H2687" s="39">
        <f>SUM(G2687:G2687)</f>
        <v>2366.4088839999999</v>
      </c>
      <c r="I2687" s="40"/>
      <c r="J2687" s="155">
        <v>0</v>
      </c>
    </row>
    <row r="2688" spans="1:10" ht="15.75" hidden="1" thickBot="1" x14ac:dyDescent="0.3">
      <c r="A2688" s="200"/>
      <c r="B2688" s="202"/>
      <c r="C2688" s="36"/>
      <c r="D2688" s="47"/>
      <c r="E2688" s="37"/>
      <c r="F2688" s="31" t="s">
        <v>558</v>
      </c>
      <c r="G2688" s="34" t="str">
        <f>IF(ISNUMBER(F2688),E2688*F2688,"")</f>
        <v/>
      </c>
      <c r="H2688" s="39"/>
      <c r="I2688" s="40"/>
      <c r="J2688" s="155">
        <v>0</v>
      </c>
    </row>
    <row r="2689" spans="1:10" ht="26.25" hidden="1" thickBot="1" x14ac:dyDescent="0.3">
      <c r="A2689" s="200"/>
      <c r="B2689" s="202"/>
      <c r="C2689" s="48" t="s">
        <v>820</v>
      </c>
      <c r="D2689" s="47"/>
      <c r="E2689" s="37"/>
      <c r="F2689" s="31" t="s">
        <v>558</v>
      </c>
      <c r="G2689" s="34" t="str">
        <f>IF(ISNUMBER(F2689),E2689*F2689,"")</f>
        <v/>
      </c>
      <c r="H2689" s="39"/>
      <c r="I2689" s="40"/>
      <c r="J2689" s="155">
        <v>0</v>
      </c>
    </row>
    <row r="2690" spans="1:10" ht="15.75" hidden="1" thickBot="1" x14ac:dyDescent="0.3">
      <c r="A2690" s="201"/>
      <c r="B2690" s="188"/>
      <c r="C2690" s="36"/>
      <c r="D2690" s="36"/>
      <c r="E2690" s="37"/>
      <c r="F2690" s="31" t="s">
        <v>558</v>
      </c>
      <c r="G2690" s="34" t="str">
        <f>IF(ISNUMBER(F2690),E2690*F2690,"")</f>
        <v/>
      </c>
      <c r="H2690" s="35"/>
      <c r="I2690" s="31"/>
      <c r="J2690" s="155">
        <v>0</v>
      </c>
    </row>
    <row r="2691" spans="1:10" ht="15.75" hidden="1" thickBot="1" x14ac:dyDescent="0.3">
      <c r="A2691" s="180" t="s">
        <v>829</v>
      </c>
      <c r="B2691" s="186" t="str">
        <f>INDEX(Orçamentária!A:B,MATCH(Composições!A2691,Orçamentária!A:A,0),2)</f>
        <v>Marceneiro(a)</v>
      </c>
      <c r="C2691" s="41"/>
      <c r="D2691" s="26" t="str">
        <f>TRIM(INDEX(Orçamentária!C:C,MATCH(Composições!A2691,Orçamentária!A:A,0),1))</f>
        <v>Profissional</v>
      </c>
      <c r="E2691" s="27"/>
      <c r="F2691" s="42" t="s">
        <v>558</v>
      </c>
      <c r="G2691" s="28" t="str">
        <f>IF(ISNUMBER(F2691),E2691*F2691,"")</f>
        <v/>
      </c>
      <c r="H2691" s="29"/>
      <c r="I2691" s="30"/>
      <c r="J2691" s="155">
        <v>0</v>
      </c>
    </row>
    <row r="2692" spans="1:10" ht="15.75" hidden="1" thickBot="1" x14ac:dyDescent="0.3">
      <c r="A2692" s="200"/>
      <c r="B2692" s="202"/>
      <c r="C2692" s="32"/>
      <c r="D2692" s="32"/>
      <c r="E2692" s="33"/>
      <c r="F2692" s="43" t="s">
        <v>558</v>
      </c>
      <c r="G2692" s="34" t="str">
        <f>IF(ISNUMBER(F2692),E2692*F2692,"")</f>
        <v/>
      </c>
      <c r="H2692" s="35"/>
      <c r="I2692" s="31"/>
      <c r="J2692" s="155">
        <v>0</v>
      </c>
    </row>
    <row r="2693" spans="1:10" ht="15.75" hidden="1" thickBot="1" x14ac:dyDescent="0.3">
      <c r="A2693" s="200"/>
      <c r="B2693" s="202"/>
      <c r="C2693" s="36" t="s">
        <v>643</v>
      </c>
      <c r="D2693" s="47" t="s">
        <v>12</v>
      </c>
      <c r="E2693" s="37">
        <f>ROUND(220/(1+112.85%),4)</f>
        <v>103.3592</v>
      </c>
      <c r="F2693" s="31">
        <v>22.895</v>
      </c>
      <c r="G2693" s="34">
        <f>IF(ISNUMBER(F2693),E2693*F2693,"")</f>
        <v>2366.4088839999999</v>
      </c>
      <c r="H2693" s="39">
        <f>SUM(G2693:G2693)</f>
        <v>2366.4088839999999</v>
      </c>
      <c r="I2693" s="40"/>
      <c r="J2693" s="155">
        <v>0</v>
      </c>
    </row>
    <row r="2694" spans="1:10" ht="15.75" hidden="1" thickBot="1" x14ac:dyDescent="0.3">
      <c r="A2694" s="200"/>
      <c r="B2694" s="202"/>
      <c r="C2694" s="36"/>
      <c r="D2694" s="47"/>
      <c r="E2694" s="37"/>
      <c r="F2694" s="31" t="s">
        <v>558</v>
      </c>
      <c r="G2694" s="34" t="str">
        <f>IF(ISNUMBER(F2694),E2694*F2694,"")</f>
        <v/>
      </c>
      <c r="H2694" s="39"/>
      <c r="I2694" s="40"/>
      <c r="J2694" s="155">
        <v>0</v>
      </c>
    </row>
    <row r="2695" spans="1:10" ht="26.25" hidden="1" thickBot="1" x14ac:dyDescent="0.3">
      <c r="A2695" s="200"/>
      <c r="B2695" s="202"/>
      <c r="C2695" s="48" t="s">
        <v>820</v>
      </c>
      <c r="D2695" s="47"/>
      <c r="E2695" s="37"/>
      <c r="F2695" s="31" t="s">
        <v>558</v>
      </c>
      <c r="G2695" s="34" t="str">
        <f>IF(ISNUMBER(F2695),E2695*F2695,"")</f>
        <v/>
      </c>
      <c r="H2695" s="39"/>
      <c r="I2695" s="40"/>
      <c r="J2695" s="155">
        <v>0</v>
      </c>
    </row>
    <row r="2696" spans="1:10" ht="15.75" hidden="1" thickBot="1" x14ac:dyDescent="0.3">
      <c r="A2696" s="201"/>
      <c r="B2696" s="188"/>
      <c r="C2696" s="36"/>
      <c r="D2696" s="36"/>
      <c r="E2696" s="37"/>
      <c r="F2696" s="31" t="s">
        <v>558</v>
      </c>
      <c r="G2696" s="34" t="str">
        <f>IF(ISNUMBER(F2696),E2696*F2696,"")</f>
        <v/>
      </c>
      <c r="H2696" s="35"/>
      <c r="I2696" s="31"/>
      <c r="J2696" s="155">
        <v>0</v>
      </c>
    </row>
    <row r="2697" spans="1:10" ht="15.75" hidden="1" thickBot="1" x14ac:dyDescent="0.3">
      <c r="A2697" s="180" t="s">
        <v>830</v>
      </c>
      <c r="B2697" s="186" t="str">
        <f>INDEX(Orçamentária!A:B,MATCH(Composições!A2697,Orçamentária!A:A,0),2)</f>
        <v>Serralheiro(a)</v>
      </c>
      <c r="C2697" s="41"/>
      <c r="D2697" s="26" t="str">
        <f>TRIM(INDEX(Orçamentária!C:C,MATCH(Composições!A2697,Orçamentária!A:A,0),1))</f>
        <v>Profissional</v>
      </c>
      <c r="E2697" s="27"/>
      <c r="F2697" s="42" t="s">
        <v>558</v>
      </c>
      <c r="G2697" s="28" t="str">
        <f>IF(ISNUMBER(F2697),E2697*F2697,"")</f>
        <v/>
      </c>
      <c r="H2697" s="29"/>
      <c r="I2697" s="30"/>
      <c r="J2697" s="155">
        <v>0</v>
      </c>
    </row>
    <row r="2698" spans="1:10" ht="15.75" hidden="1" thickBot="1" x14ac:dyDescent="0.3">
      <c r="A2698" s="200"/>
      <c r="B2698" s="202"/>
      <c r="C2698" s="32"/>
      <c r="D2698" s="32"/>
      <c r="E2698" s="33"/>
      <c r="F2698" s="43" t="s">
        <v>558</v>
      </c>
      <c r="G2698" s="34" t="str">
        <f>IF(ISNUMBER(F2698),E2698*F2698,"")</f>
        <v/>
      </c>
      <c r="H2698" s="35"/>
      <c r="I2698" s="31"/>
      <c r="J2698" s="155">
        <v>0</v>
      </c>
    </row>
    <row r="2699" spans="1:10" ht="15.75" hidden="1" thickBot="1" x14ac:dyDescent="0.3">
      <c r="A2699" s="200"/>
      <c r="B2699" s="202"/>
      <c r="C2699" s="36" t="s">
        <v>653</v>
      </c>
      <c r="D2699" s="47" t="s">
        <v>12</v>
      </c>
      <c r="E2699" s="37">
        <f>ROUND(220/(1+112.85%),4)</f>
        <v>103.3592</v>
      </c>
      <c r="F2699" s="31">
        <v>22.591000000000001</v>
      </c>
      <c r="G2699" s="34">
        <f>IF(ISNUMBER(F2699),E2699*F2699,"")</f>
        <v>2334.9876872</v>
      </c>
      <c r="H2699" s="39">
        <f>SUM(G2699:G2699)</f>
        <v>2334.9876872</v>
      </c>
      <c r="I2699" s="40"/>
      <c r="J2699" s="155">
        <v>0</v>
      </c>
    </row>
    <row r="2700" spans="1:10" ht="15.75" hidden="1" thickBot="1" x14ac:dyDescent="0.3">
      <c r="A2700" s="200"/>
      <c r="B2700" s="202"/>
      <c r="C2700" s="36"/>
      <c r="D2700" s="47"/>
      <c r="E2700" s="37"/>
      <c r="F2700" s="31" t="s">
        <v>558</v>
      </c>
      <c r="G2700" s="34" t="str">
        <f>IF(ISNUMBER(F2700),E2700*F2700,"")</f>
        <v/>
      </c>
      <c r="H2700" s="39"/>
      <c r="I2700" s="40"/>
      <c r="J2700" s="155">
        <v>0</v>
      </c>
    </row>
    <row r="2701" spans="1:10" ht="26.25" hidden="1" thickBot="1" x14ac:dyDescent="0.3">
      <c r="A2701" s="200"/>
      <c r="B2701" s="202"/>
      <c r="C2701" s="48" t="s">
        <v>820</v>
      </c>
      <c r="D2701" s="47"/>
      <c r="E2701" s="37"/>
      <c r="F2701" s="31" t="s">
        <v>558</v>
      </c>
      <c r="G2701" s="34" t="str">
        <f>IF(ISNUMBER(F2701),E2701*F2701,"")</f>
        <v/>
      </c>
      <c r="H2701" s="39"/>
      <c r="I2701" s="40"/>
      <c r="J2701" s="155">
        <v>0</v>
      </c>
    </row>
    <row r="2702" spans="1:10" ht="15.75" hidden="1" thickBot="1" x14ac:dyDescent="0.3">
      <c r="A2702" s="201"/>
      <c r="B2702" s="188"/>
      <c r="C2702" s="36"/>
      <c r="D2702" s="36"/>
      <c r="E2702" s="37"/>
      <c r="F2702" s="31" t="s">
        <v>558</v>
      </c>
      <c r="G2702" s="34" t="str">
        <f>IF(ISNUMBER(F2702),E2702*F2702,"")</f>
        <v/>
      </c>
      <c r="H2702" s="35"/>
      <c r="I2702" s="31"/>
      <c r="J2702" s="155">
        <v>0</v>
      </c>
    </row>
    <row r="2703" spans="1:10" ht="15.75" hidden="1" thickBot="1" x14ac:dyDescent="0.3">
      <c r="A2703" s="180" t="s">
        <v>831</v>
      </c>
      <c r="B2703" s="186" t="str">
        <f>INDEX(Orçamentária!A:B,MATCH(Composições!A2703,Orçamentária!A:A,0),2)</f>
        <v>Mestre de Obras (Posto de Trabalho)</v>
      </c>
      <c r="C2703" s="41"/>
      <c r="D2703" s="26" t="str">
        <f>TRIM(INDEX(Orçamentária!C:C,MATCH(Composições!A2703,Orçamentária!A:A,0),1))</f>
        <v>Profissional</v>
      </c>
      <c r="E2703" s="27"/>
      <c r="F2703" s="42" t="s">
        <v>558</v>
      </c>
      <c r="G2703" s="28" t="str">
        <f>IF(ISNUMBER(F2703),E2703*F2703,"")</f>
        <v/>
      </c>
      <c r="H2703" s="29"/>
      <c r="I2703" s="30"/>
      <c r="J2703" s="155">
        <v>0</v>
      </c>
    </row>
    <row r="2704" spans="1:10" ht="15.75" hidden="1" thickBot="1" x14ac:dyDescent="0.3">
      <c r="A2704" s="200"/>
      <c r="B2704" s="202"/>
      <c r="C2704" s="32"/>
      <c r="D2704" s="32"/>
      <c r="E2704" s="33"/>
      <c r="F2704" s="43" t="s">
        <v>558</v>
      </c>
      <c r="G2704" s="34" t="str">
        <f>IF(ISNUMBER(F2704),E2704*F2704,"")</f>
        <v/>
      </c>
      <c r="H2704" s="35"/>
      <c r="I2704" s="31"/>
      <c r="J2704" s="155">
        <v>0</v>
      </c>
    </row>
    <row r="2705" spans="1:10" ht="15.75" hidden="1" thickBot="1" x14ac:dyDescent="0.3">
      <c r="A2705" s="200"/>
      <c r="B2705" s="202"/>
      <c r="C2705" s="36" t="s">
        <v>14</v>
      </c>
      <c r="D2705" s="47" t="s">
        <v>12</v>
      </c>
      <c r="E2705" s="37">
        <f>ROUND(220/(1+112.85%),4)</f>
        <v>103.3592</v>
      </c>
      <c r="F2705" s="31">
        <v>27.179499999999997</v>
      </c>
      <c r="G2705" s="34">
        <f>IF(ISNUMBER(F2705),E2705*F2705,"")</f>
        <v>2809.2513763999996</v>
      </c>
      <c r="H2705" s="39">
        <f>SUM(G2705:G2705)</f>
        <v>2809.2513763999996</v>
      </c>
      <c r="I2705" s="40"/>
      <c r="J2705" s="155">
        <v>0</v>
      </c>
    </row>
    <row r="2706" spans="1:10" ht="15.75" hidden="1" thickBot="1" x14ac:dyDescent="0.3">
      <c r="A2706" s="200"/>
      <c r="B2706" s="202"/>
      <c r="C2706" s="36"/>
      <c r="D2706" s="47"/>
      <c r="E2706" s="37"/>
      <c r="F2706" s="31" t="s">
        <v>558</v>
      </c>
      <c r="G2706" s="34" t="str">
        <f>IF(ISNUMBER(F2706),E2706*F2706,"")</f>
        <v/>
      </c>
      <c r="H2706" s="39"/>
      <c r="I2706" s="40"/>
      <c r="J2706" s="155">
        <v>0</v>
      </c>
    </row>
    <row r="2707" spans="1:10" ht="26.25" hidden="1" thickBot="1" x14ac:dyDescent="0.3">
      <c r="A2707" s="200"/>
      <c r="B2707" s="202"/>
      <c r="C2707" s="48" t="s">
        <v>820</v>
      </c>
      <c r="D2707" s="47"/>
      <c r="E2707" s="37"/>
      <c r="F2707" s="31" t="s">
        <v>558</v>
      </c>
      <c r="G2707" s="34" t="str">
        <f>IF(ISNUMBER(F2707),E2707*F2707,"")</f>
        <v/>
      </c>
      <c r="H2707" s="39"/>
      <c r="I2707" s="40"/>
      <c r="J2707" s="155">
        <v>0</v>
      </c>
    </row>
    <row r="2708" spans="1:10" ht="15.75" hidden="1" thickBot="1" x14ac:dyDescent="0.3">
      <c r="A2708" s="201"/>
      <c r="B2708" s="188"/>
      <c r="C2708" s="36"/>
      <c r="D2708" s="36"/>
      <c r="E2708" s="37"/>
      <c r="F2708" s="31" t="s">
        <v>558</v>
      </c>
      <c r="G2708" s="34" t="str">
        <f>IF(ISNUMBER(F2708),E2708*F2708,"")</f>
        <v/>
      </c>
      <c r="H2708" s="35"/>
      <c r="I2708" s="31"/>
      <c r="J2708" s="155">
        <v>0</v>
      </c>
    </row>
    <row r="2709" spans="1:10" ht="15.75" hidden="1" thickBot="1" x14ac:dyDescent="0.3">
      <c r="A2709" s="180" t="s">
        <v>832</v>
      </c>
      <c r="B2709" s="186" t="str">
        <f>INDEX(Orçamentária!A:B,MATCH(Composições!A2709,Orçamentária!A:A,0),2)</f>
        <v>Oficial de Serviços Gerais</v>
      </c>
      <c r="C2709" s="41"/>
      <c r="D2709" s="26" t="str">
        <f>TRIM(INDEX(Orçamentária!C:C,MATCH(Composições!A2709,Orçamentária!A:A,0),1))</f>
        <v>Profissional</v>
      </c>
      <c r="E2709" s="27"/>
      <c r="F2709" s="42" t="s">
        <v>558</v>
      </c>
      <c r="G2709" s="28" t="str">
        <f>IF(ISNUMBER(F2709),E2709*F2709,"")</f>
        <v/>
      </c>
      <c r="H2709" s="29"/>
      <c r="I2709" s="30"/>
      <c r="J2709" s="155">
        <v>0</v>
      </c>
    </row>
    <row r="2710" spans="1:10" ht="15.75" hidden="1" thickBot="1" x14ac:dyDescent="0.3">
      <c r="A2710" s="200"/>
      <c r="B2710" s="202"/>
      <c r="C2710" s="32"/>
      <c r="D2710" s="32"/>
      <c r="E2710" s="33"/>
      <c r="F2710" s="43" t="s">
        <v>558</v>
      </c>
      <c r="G2710" s="34" t="str">
        <f>IF(ISNUMBER(F2710),E2710*F2710,"")</f>
        <v/>
      </c>
      <c r="H2710" s="35"/>
      <c r="I2710" s="31"/>
      <c r="J2710" s="155">
        <v>0</v>
      </c>
    </row>
    <row r="2711" spans="1:10" ht="15.75" hidden="1" thickBot="1" x14ac:dyDescent="0.3">
      <c r="A2711" s="200"/>
      <c r="B2711" s="202"/>
      <c r="C2711" s="36" t="s">
        <v>750</v>
      </c>
      <c r="D2711" s="47" t="s">
        <v>12</v>
      </c>
      <c r="E2711" s="37">
        <f>ROUND(220/(1+112.85%),4)</f>
        <v>103.3592</v>
      </c>
      <c r="F2711" s="31">
        <v>22.704999999999998</v>
      </c>
      <c r="G2711" s="34">
        <f>IF(ISNUMBER(F2711),E2711*F2711,"")</f>
        <v>2346.7706359999997</v>
      </c>
      <c r="H2711" s="39">
        <f>SUM(G2711:G2711)</f>
        <v>2346.7706359999997</v>
      </c>
      <c r="I2711" s="40"/>
      <c r="J2711" s="155">
        <v>0</v>
      </c>
    </row>
    <row r="2712" spans="1:10" ht="15.75" hidden="1" thickBot="1" x14ac:dyDescent="0.3">
      <c r="A2712" s="200"/>
      <c r="B2712" s="202"/>
      <c r="C2712" s="36"/>
      <c r="D2712" s="47"/>
      <c r="E2712" s="37"/>
      <c r="F2712" s="31" t="s">
        <v>558</v>
      </c>
      <c r="G2712" s="34" t="str">
        <f>IF(ISNUMBER(F2712),E2712*F2712,"")</f>
        <v/>
      </c>
      <c r="H2712" s="39"/>
      <c r="I2712" s="40"/>
      <c r="J2712" s="155">
        <v>0</v>
      </c>
    </row>
    <row r="2713" spans="1:10" ht="26.25" hidden="1" thickBot="1" x14ac:dyDescent="0.3">
      <c r="A2713" s="200"/>
      <c r="B2713" s="202"/>
      <c r="C2713" s="48" t="s">
        <v>820</v>
      </c>
      <c r="D2713" s="47"/>
      <c r="E2713" s="37"/>
      <c r="F2713" s="31" t="s">
        <v>558</v>
      </c>
      <c r="G2713" s="34" t="str">
        <f>IF(ISNUMBER(F2713),E2713*F2713,"")</f>
        <v/>
      </c>
      <c r="H2713" s="39"/>
      <c r="I2713" s="40"/>
      <c r="J2713" s="155">
        <v>0</v>
      </c>
    </row>
    <row r="2714" spans="1:10" ht="15.75" hidden="1" thickBot="1" x14ac:dyDescent="0.3">
      <c r="A2714" s="201"/>
      <c r="B2714" s="188"/>
      <c r="C2714" s="36"/>
      <c r="D2714" s="36"/>
      <c r="E2714" s="37"/>
      <c r="F2714" s="31" t="s">
        <v>558</v>
      </c>
      <c r="G2714" s="34" t="str">
        <f>IF(ISNUMBER(F2714),E2714*F2714,"")</f>
        <v/>
      </c>
      <c r="H2714" s="35"/>
      <c r="I2714" s="31"/>
      <c r="J2714" s="155">
        <v>0</v>
      </c>
    </row>
    <row r="2715" spans="1:10" ht="15.75" hidden="1" thickBot="1" x14ac:dyDescent="0.3">
      <c r="A2715" s="197" t="s">
        <v>2752</v>
      </c>
      <c r="B2715" s="186" t="str">
        <f>INDEX(Orçamentária!A:B,MATCH(Composições!A2715,Orçamentária!A:A,0),2)</f>
        <v>Capa de chuva</v>
      </c>
      <c r="C2715" s="41"/>
      <c r="D2715" s="26" t="str">
        <f>TRIM(INDEX(Orçamentária!C:C,MATCH(Composições!A2715,Orçamentária!A:A,0),1))</f>
        <v>un</v>
      </c>
      <c r="E2715" s="27"/>
      <c r="F2715" s="49" t="s">
        <v>558</v>
      </c>
      <c r="G2715" s="28" t="str">
        <f>IF(ISNUMBER(F2715),E2715*F2715,"")</f>
        <v/>
      </c>
      <c r="H2715" s="29"/>
      <c r="I2715" s="30"/>
      <c r="J2715" s="155">
        <v>0</v>
      </c>
    </row>
    <row r="2716" spans="1:10" ht="15.75" hidden="1" thickBot="1" x14ac:dyDescent="0.3">
      <c r="A2716" s="198"/>
      <c r="B2716" s="187"/>
      <c r="C2716" s="169"/>
      <c r="D2716" s="169"/>
      <c r="E2716" s="170"/>
      <c r="F2716" s="54" t="s">
        <v>558</v>
      </c>
      <c r="G2716" s="54" t="str">
        <f>IF(ISNUMBER(F2716),E2716*F2716,"")</f>
        <v/>
      </c>
      <c r="H2716" s="73"/>
      <c r="I2716" s="74"/>
      <c r="J2716" s="155">
        <v>0</v>
      </c>
    </row>
    <row r="2717" spans="1:10" ht="26.25" hidden="1" thickBot="1" x14ac:dyDescent="0.3">
      <c r="A2717" s="198"/>
      <c r="B2717" s="187"/>
      <c r="C2717" s="36" t="s">
        <v>3337</v>
      </c>
      <c r="D2717" s="162" t="s">
        <v>20</v>
      </c>
      <c r="E2717" s="163">
        <v>1</v>
      </c>
      <c r="F2717" s="31">
        <v>17.090499999999999</v>
      </c>
      <c r="G2717" s="54">
        <f>IF(ISNUMBER(F2717),E2717*F2717,"")</f>
        <v>17.090499999999999</v>
      </c>
      <c r="H2717" s="39">
        <f>SUM(G2717:G2717)</f>
        <v>17.090499999999999</v>
      </c>
      <c r="I2717" s="40"/>
      <c r="J2717" s="155">
        <v>0</v>
      </c>
    </row>
    <row r="2718" spans="1:10" ht="15.75" hidden="1" thickBot="1" x14ac:dyDescent="0.3">
      <c r="A2718" s="199"/>
      <c r="B2718" s="188"/>
      <c r="C2718" s="55"/>
      <c r="D2718" s="165"/>
      <c r="E2718" s="66"/>
      <c r="F2718" s="76" t="s">
        <v>558</v>
      </c>
      <c r="G2718" s="76" t="str">
        <f>IF(ISNUMBER(F2718),E2718*F2718,"")</f>
        <v/>
      </c>
      <c r="H2718" s="77"/>
      <c r="I2718" s="74"/>
      <c r="J2718" s="155">
        <v>0</v>
      </c>
    </row>
    <row r="2719" spans="1:10" ht="15.75" hidden="1" thickBot="1" x14ac:dyDescent="0.3">
      <c r="A2719" s="180" t="s">
        <v>2771</v>
      </c>
      <c r="B2719" s="186" t="str">
        <f>INDEX(Orçamentária!A:B,MATCH(Composições!A2719,Orçamentária!A:A,0),2)</f>
        <v>Talabarte em Y</v>
      </c>
      <c r="C2719" s="41"/>
      <c r="D2719" s="26" t="str">
        <f>TRIM(INDEX(Orçamentária!C:C,MATCH(Composições!A2719,Orçamentária!A:A,0),1))</f>
        <v>un</v>
      </c>
      <c r="E2719" s="27"/>
      <c r="F2719" s="49" t="s">
        <v>558</v>
      </c>
      <c r="G2719" s="28" t="str">
        <f>IF(ISNUMBER(F2719),E2719*F2719,"")</f>
        <v/>
      </c>
      <c r="H2719" s="29"/>
      <c r="I2719" s="30"/>
      <c r="J2719" s="155">
        <v>0</v>
      </c>
    </row>
    <row r="2720" spans="1:10" ht="15.75" hidden="1" thickBot="1" x14ac:dyDescent="0.3">
      <c r="A2720" s="200"/>
      <c r="B2720" s="202"/>
      <c r="C2720" s="169"/>
      <c r="D2720" s="169"/>
      <c r="E2720" s="170"/>
      <c r="F2720" s="54" t="s">
        <v>558</v>
      </c>
      <c r="G2720" s="54" t="str">
        <f>IF(ISNUMBER(F2720),E2720*F2720,"")</f>
        <v/>
      </c>
      <c r="H2720" s="73"/>
      <c r="I2720" s="31"/>
      <c r="J2720" s="155">
        <v>0</v>
      </c>
    </row>
    <row r="2721" spans="1:10" ht="26.25" hidden="1" thickBot="1" x14ac:dyDescent="0.3">
      <c r="A2721" s="200"/>
      <c r="B2721" s="202"/>
      <c r="C2721" s="36" t="s">
        <v>3449</v>
      </c>
      <c r="D2721" s="162" t="s">
        <v>20</v>
      </c>
      <c r="E2721" s="163">
        <v>1</v>
      </c>
      <c r="F2721" s="31">
        <v>175.8545</v>
      </c>
      <c r="G2721" s="54">
        <f>IF(ISNUMBER(F2721),E2721*F2721,"")</f>
        <v>175.8545</v>
      </c>
      <c r="H2721" s="39">
        <f>SUM(G2721:G2721)</f>
        <v>175.8545</v>
      </c>
      <c r="I2721" s="40"/>
      <c r="J2721" s="155">
        <v>0</v>
      </c>
    </row>
    <row r="2722" spans="1:10" ht="15.75" hidden="1" thickBot="1" x14ac:dyDescent="0.3">
      <c r="A2722" s="201"/>
      <c r="B2722" s="188"/>
      <c r="C2722" s="36"/>
      <c r="D2722" s="36"/>
      <c r="E2722" s="37"/>
      <c r="F2722" s="31" t="s">
        <v>558</v>
      </c>
      <c r="G2722" s="34" t="str">
        <f>IF(ISNUMBER(F2722),E2722*F2722,"")</f>
        <v/>
      </c>
      <c r="H2722" s="35"/>
      <c r="I2722" s="31"/>
      <c r="J2722" s="155">
        <v>0</v>
      </c>
    </row>
    <row r="2723" spans="1:10" ht="15.75" hidden="1" thickBot="1" x14ac:dyDescent="0.3">
      <c r="A2723" s="197" t="s">
        <v>2773</v>
      </c>
      <c r="B2723" s="186" t="str">
        <f>INDEX(Orçamentária!A:B,MATCH(Composições!A2719,Orçamentária!A:A,0),2)</f>
        <v>Talabarte em Y</v>
      </c>
      <c r="C2723" s="41"/>
      <c r="D2723" s="26" t="str">
        <f>TRIM(INDEX(Orçamentária!C:C,MATCH(Composições!A2723,Orçamentária!A:A,0),1))</f>
        <v>un</v>
      </c>
      <c r="E2723" s="27"/>
      <c r="F2723" s="49" t="s">
        <v>558</v>
      </c>
      <c r="G2723" s="28" t="str">
        <f>IF(ISNUMBER(F2723),E2723*F2723,"")</f>
        <v/>
      </c>
      <c r="H2723" s="29"/>
      <c r="I2723" s="30"/>
      <c r="J2723" s="155">
        <v>0</v>
      </c>
    </row>
    <row r="2724" spans="1:10" ht="15.75" hidden="1" thickBot="1" x14ac:dyDescent="0.3">
      <c r="A2724" s="198"/>
      <c r="B2724" s="187"/>
      <c r="C2724" s="169"/>
      <c r="D2724" s="169"/>
      <c r="E2724" s="170"/>
      <c r="F2724" s="54" t="s">
        <v>558</v>
      </c>
      <c r="G2724" s="54" t="str">
        <f>IF(ISNUMBER(F2724),E2724*F2724,"")</f>
        <v/>
      </c>
      <c r="H2724" s="73"/>
      <c r="I2724" s="74"/>
      <c r="J2724" s="155">
        <v>0</v>
      </c>
    </row>
    <row r="2725" spans="1:10" ht="26.25" hidden="1" thickBot="1" x14ac:dyDescent="0.3">
      <c r="A2725" s="198"/>
      <c r="B2725" s="187"/>
      <c r="C2725" s="36" t="s">
        <v>3472</v>
      </c>
      <c r="D2725" s="162" t="s">
        <v>20</v>
      </c>
      <c r="E2725" s="163">
        <v>1</v>
      </c>
      <c r="F2725" s="31">
        <v>154.489</v>
      </c>
      <c r="G2725" s="54">
        <f>IF(ISNUMBER(F2725),E2725*F2725,"")</f>
        <v>154.489</v>
      </c>
      <c r="H2725" s="39">
        <f>SUM(G2725:G2725)</f>
        <v>154.489</v>
      </c>
      <c r="I2725" s="40"/>
      <c r="J2725" s="155">
        <v>0</v>
      </c>
    </row>
    <row r="2726" spans="1:10" ht="15.75" hidden="1" thickBot="1" x14ac:dyDescent="0.3">
      <c r="A2726" s="199"/>
      <c r="B2726" s="188"/>
      <c r="C2726" s="55"/>
      <c r="D2726" s="165"/>
      <c r="E2726" s="66"/>
      <c r="F2726" s="76" t="s">
        <v>558</v>
      </c>
      <c r="G2726" s="76" t="str">
        <f>IF(ISNUMBER(F2726),E2726*F2726,"")</f>
        <v/>
      </c>
      <c r="H2726" s="77"/>
      <c r="I2726" s="74"/>
      <c r="J2726" s="155">
        <v>0</v>
      </c>
    </row>
    <row r="2727" spans="1:10" ht="15.75" hidden="1" thickBot="1" x14ac:dyDescent="0.3">
      <c r="A2727" s="180" t="s">
        <v>833</v>
      </c>
      <c r="B2727" s="186" t="str">
        <f>INDEX(Orçamentária!A:B,MATCH(Composições!A2727,Orçamentária!A:A,0),2)</f>
        <v>Instalação de vidro (comum, temperado, aramado ou laminado) reaproveitado</v>
      </c>
      <c r="C2727" s="41"/>
      <c r="D2727" s="26" t="str">
        <f>TRIM(INDEX(Orçamentária!C:C,MATCH(Composições!A2727,Orçamentária!A:A,0),1))</f>
        <v>m2</v>
      </c>
      <c r="E2727" s="27"/>
      <c r="F2727" s="42" t="s">
        <v>558</v>
      </c>
      <c r="G2727" s="28" t="str">
        <f>IF(ISNUMBER(F2727),E2727*F2727,"")</f>
        <v/>
      </c>
      <c r="H2727" s="29"/>
      <c r="I2727" s="30"/>
      <c r="J2727" s="155">
        <v>0</v>
      </c>
    </row>
    <row r="2728" spans="1:10" ht="15.75" hidden="1" thickBot="1" x14ac:dyDescent="0.3">
      <c r="A2728" s="200"/>
      <c r="B2728" s="202"/>
      <c r="C2728" s="32"/>
      <c r="D2728" s="32"/>
      <c r="E2728" s="33"/>
      <c r="F2728" s="43" t="s">
        <v>558</v>
      </c>
      <c r="G2728" s="34" t="str">
        <f>IF(ISNUMBER(F2728),E2728*F2728,"")</f>
        <v/>
      </c>
      <c r="H2728" s="35"/>
      <c r="I2728" s="31"/>
      <c r="J2728" s="155">
        <v>0</v>
      </c>
    </row>
    <row r="2729" spans="1:10" ht="15.75" hidden="1" thickBot="1" x14ac:dyDescent="0.3">
      <c r="A2729" s="200"/>
      <c r="B2729" s="202"/>
      <c r="C2729" s="36" t="s">
        <v>68</v>
      </c>
      <c r="D2729" s="47" t="s">
        <v>12</v>
      </c>
      <c r="E2729" s="37">
        <v>1</v>
      </c>
      <c r="F2729" s="31">
        <v>21.080500000000001</v>
      </c>
      <c r="G2729" s="34">
        <f>IF(ISNUMBER(F2729),E2729*F2729,"")</f>
        <v>21.080500000000001</v>
      </c>
      <c r="H2729" s="39">
        <f>SUM(G2729:G2730)</f>
        <v>30.903500000000001</v>
      </c>
      <c r="I2729" s="40"/>
      <c r="J2729" s="155">
        <v>0</v>
      </c>
    </row>
    <row r="2730" spans="1:10" ht="15.75" hidden="1" thickBot="1" x14ac:dyDescent="0.3">
      <c r="A2730" s="200"/>
      <c r="B2730" s="202"/>
      <c r="C2730" s="36" t="s">
        <v>302</v>
      </c>
      <c r="D2730" s="36" t="s">
        <v>834</v>
      </c>
      <c r="E2730" s="37">
        <v>2</v>
      </c>
      <c r="F2730" s="34">
        <v>4.9114999999999993</v>
      </c>
      <c r="G2730" s="34">
        <f>IF(ISNUMBER(F2730),E2730*F2730,"")</f>
        <v>9.8229999999999986</v>
      </c>
      <c r="H2730" s="35"/>
      <c r="I2730" s="31"/>
      <c r="J2730" s="155">
        <v>0</v>
      </c>
    </row>
    <row r="2731" spans="1:10" ht="15.75" hidden="1" thickBot="1" x14ac:dyDescent="0.3">
      <c r="A2731" s="201"/>
      <c r="B2731" s="188"/>
      <c r="C2731" s="36"/>
      <c r="D2731" s="36"/>
      <c r="E2731" s="37"/>
      <c r="F2731" s="31" t="s">
        <v>558</v>
      </c>
      <c r="G2731" s="34" t="str">
        <f>IF(ISNUMBER(F2731),E2731*F2731,"")</f>
        <v/>
      </c>
      <c r="H2731" s="35"/>
      <c r="I2731" s="31"/>
      <c r="J2731" s="155">
        <v>0</v>
      </c>
    </row>
    <row r="2732" spans="1:10" ht="15.75" hidden="1" thickBot="1" x14ac:dyDescent="0.3">
      <c r="A2732" s="180" t="s">
        <v>835</v>
      </c>
      <c r="B2732" s="186" t="str">
        <f>INDEX(Orçamentária!A:B,MATCH(Composições!A2732,Orçamentária!A:A,0),2)</f>
        <v>Vidro temperado incolor com 8mm de espessura</v>
      </c>
      <c r="C2732" s="41"/>
      <c r="D2732" s="26" t="str">
        <f>TRIM(INDEX(Orçamentária!C:C,MATCH(Composições!A2732,Orçamentária!A:A,0),1))</f>
        <v>m2</v>
      </c>
      <c r="E2732" s="27"/>
      <c r="F2732" s="42" t="s">
        <v>558</v>
      </c>
      <c r="G2732" s="28" t="str">
        <f>IF(ISNUMBER(F2732),E2732*F2732,"")</f>
        <v/>
      </c>
      <c r="H2732" s="29"/>
      <c r="I2732" s="30"/>
      <c r="J2732" s="155">
        <v>0</v>
      </c>
    </row>
    <row r="2733" spans="1:10" ht="15.75" hidden="1" thickBot="1" x14ac:dyDescent="0.3">
      <c r="A2733" s="200"/>
      <c r="B2733" s="202"/>
      <c r="C2733" s="32"/>
      <c r="D2733" s="32"/>
      <c r="E2733" s="33"/>
      <c r="F2733" s="43" t="s">
        <v>558</v>
      </c>
      <c r="G2733" s="34" t="str">
        <f>IF(ISNUMBER(F2733),E2733*F2733,"")</f>
        <v/>
      </c>
      <c r="H2733" s="35"/>
      <c r="I2733" s="31"/>
      <c r="J2733" s="155">
        <v>0</v>
      </c>
    </row>
    <row r="2734" spans="1:10" ht="15.75" hidden="1" thickBot="1" x14ac:dyDescent="0.3">
      <c r="A2734" s="200"/>
      <c r="B2734" s="202"/>
      <c r="C2734" s="36" t="s">
        <v>838</v>
      </c>
      <c r="D2734" s="36" t="s">
        <v>1034</v>
      </c>
      <c r="E2734" s="37">
        <v>1</v>
      </c>
      <c r="F2734" s="34">
        <v>140.9135</v>
      </c>
      <c r="G2734" s="34">
        <f>IF(ISNUMBER(F2734),E2734*F2734,"")</f>
        <v>140.9135</v>
      </c>
      <c r="H2734" s="39">
        <f>SUM(G2734:G2740)</f>
        <v>242.07284399999998</v>
      </c>
      <c r="I2734" s="40"/>
      <c r="J2734" s="155">
        <v>0</v>
      </c>
    </row>
    <row r="2735" spans="1:10" ht="39" hidden="1" thickBot="1" x14ac:dyDescent="0.3">
      <c r="A2735" s="200"/>
      <c r="B2735" s="202"/>
      <c r="C2735" s="36" t="s">
        <v>3327</v>
      </c>
      <c r="D2735" s="36" t="s">
        <v>292</v>
      </c>
      <c r="E2735" s="37">
        <v>1.913</v>
      </c>
      <c r="F2735" s="34">
        <v>0.3135</v>
      </c>
      <c r="G2735" s="34">
        <f>IF(ISNUMBER(F2735),E2735*F2735,"")</f>
        <v>0.59972550000000002</v>
      </c>
      <c r="H2735" s="35"/>
      <c r="I2735" s="31"/>
      <c r="J2735" s="155">
        <v>0</v>
      </c>
    </row>
    <row r="2736" spans="1:10" ht="15.75" hidden="1" thickBot="1" x14ac:dyDescent="0.3">
      <c r="A2736" s="200"/>
      <c r="B2736" s="202"/>
      <c r="C2736" s="36" t="s">
        <v>874</v>
      </c>
      <c r="D2736" s="36" t="s">
        <v>938</v>
      </c>
      <c r="E2736" s="37">
        <v>0.83899999999999997</v>
      </c>
      <c r="F2736" s="34">
        <v>38.341999999999999</v>
      </c>
      <c r="G2736" s="34">
        <f>IF(ISNUMBER(F2736),E2736*F2736,"")</f>
        <v>32.168937999999997</v>
      </c>
      <c r="H2736" s="35"/>
      <c r="I2736" s="31"/>
      <c r="J2736" s="155">
        <v>0</v>
      </c>
    </row>
    <row r="2737" spans="1:10" ht="26.25" hidden="1" thickBot="1" x14ac:dyDescent="0.3">
      <c r="A2737" s="200"/>
      <c r="B2737" s="202"/>
      <c r="C2737" s="36" t="s">
        <v>3402</v>
      </c>
      <c r="D2737" s="36" t="s">
        <v>513</v>
      </c>
      <c r="E2737" s="37">
        <v>2.605</v>
      </c>
      <c r="F2737" s="34">
        <v>1.9094999999999998</v>
      </c>
      <c r="G2737" s="34">
        <f>IF(ISNUMBER(F2737),E2737*F2737,"")</f>
        <v>4.9742474999999997</v>
      </c>
      <c r="H2737" s="35"/>
      <c r="I2737" s="31"/>
      <c r="J2737" s="155">
        <v>0</v>
      </c>
    </row>
    <row r="2738" spans="1:10" ht="15.75" hidden="1" thickBot="1" x14ac:dyDescent="0.3">
      <c r="A2738" s="200"/>
      <c r="B2738" s="202"/>
      <c r="C2738" s="36" t="s">
        <v>1175</v>
      </c>
      <c r="D2738" s="36" t="s">
        <v>292</v>
      </c>
      <c r="E2738" s="37">
        <v>0.34599999999999997</v>
      </c>
      <c r="F2738" s="34">
        <v>20.196999999999999</v>
      </c>
      <c r="G2738" s="34">
        <f>IF(ISNUMBER(F2738),E2738*F2738,"")</f>
        <v>6.9881619999999991</v>
      </c>
      <c r="H2738" s="35"/>
      <c r="I2738" s="31"/>
      <c r="J2738" s="155">
        <v>0</v>
      </c>
    </row>
    <row r="2739" spans="1:10" ht="15.75" hidden="1" thickBot="1" x14ac:dyDescent="0.3">
      <c r="A2739" s="200"/>
      <c r="B2739" s="202"/>
      <c r="C2739" s="36" t="s">
        <v>743</v>
      </c>
      <c r="D2739" s="36" t="s">
        <v>742</v>
      </c>
      <c r="E2739" s="37">
        <v>1.4690000000000001</v>
      </c>
      <c r="F2739" s="34">
        <v>16.729499999999998</v>
      </c>
      <c r="G2739" s="34">
        <f>IF(ISNUMBER(F2739),E2739*F2739,"")</f>
        <v>24.575635499999997</v>
      </c>
      <c r="H2739" s="35"/>
      <c r="I2739" s="31"/>
      <c r="J2739" s="155">
        <v>0</v>
      </c>
    </row>
    <row r="2740" spans="1:10" ht="15.75" hidden="1" thickBot="1" x14ac:dyDescent="0.3">
      <c r="A2740" s="200"/>
      <c r="B2740" s="202"/>
      <c r="C2740" s="36" t="s">
        <v>3313</v>
      </c>
      <c r="D2740" s="36" t="s">
        <v>742</v>
      </c>
      <c r="E2740" s="37">
        <v>1.5109999999999999</v>
      </c>
      <c r="F2740" s="34">
        <v>21.080500000000001</v>
      </c>
      <c r="G2740" s="34">
        <f>IF(ISNUMBER(F2740),E2740*F2740,"")</f>
        <v>31.852635499999998</v>
      </c>
      <c r="H2740" s="35"/>
      <c r="I2740" s="31"/>
      <c r="J2740" s="155">
        <v>0</v>
      </c>
    </row>
    <row r="2741" spans="1:10" ht="15.75" hidden="1" thickBot="1" x14ac:dyDescent="0.3">
      <c r="A2741" s="201"/>
      <c r="B2741" s="188"/>
      <c r="C2741" s="36"/>
      <c r="D2741" s="36"/>
      <c r="E2741" s="37"/>
      <c r="F2741" s="31" t="s">
        <v>558</v>
      </c>
      <c r="G2741" s="34" t="str">
        <f>IF(ISNUMBER(F2741),E2741*F2741,"")</f>
        <v/>
      </c>
      <c r="H2741" s="35"/>
      <c r="I2741" s="31"/>
      <c r="J2741" s="155">
        <v>0</v>
      </c>
    </row>
    <row r="2742" spans="1:10" ht="15.75" hidden="1" thickBot="1" x14ac:dyDescent="0.3">
      <c r="A2742" s="180" t="s">
        <v>837</v>
      </c>
      <c r="B2742" s="186" t="str">
        <f>INDEX(Orçamentária!A:B,MATCH(Composições!A2742,Orçamentária!A:A,0),2)</f>
        <v>Vidro liso comum transparente 5mm</v>
      </c>
      <c r="C2742" s="41"/>
      <c r="D2742" s="26" t="str">
        <f>TRIM(INDEX(Orçamentária!C:C,MATCH(Composições!A2742,Orçamentária!A:A,0),1))</f>
        <v>m2</v>
      </c>
      <c r="E2742" s="27"/>
      <c r="F2742" s="42" t="s">
        <v>558</v>
      </c>
      <c r="G2742" s="28" t="str">
        <f>IF(ISNUMBER(F2742),E2742*F2742,"")</f>
        <v/>
      </c>
      <c r="H2742" s="29"/>
      <c r="I2742" s="30"/>
      <c r="J2742" s="155">
        <v>0</v>
      </c>
    </row>
    <row r="2743" spans="1:10" ht="15.75" hidden="1" thickBot="1" x14ac:dyDescent="0.3">
      <c r="A2743" s="200"/>
      <c r="B2743" s="202"/>
      <c r="C2743" s="32"/>
      <c r="D2743" s="32"/>
      <c r="E2743" s="33"/>
      <c r="F2743" s="43" t="s">
        <v>558</v>
      </c>
      <c r="G2743" s="34" t="str">
        <f>IF(ISNUMBER(F2743),E2743*F2743,"")</f>
        <v/>
      </c>
      <c r="H2743" s="35"/>
      <c r="I2743" s="31"/>
      <c r="J2743" s="155">
        <v>0</v>
      </c>
    </row>
    <row r="2744" spans="1:10" ht="15.75" hidden="1" thickBot="1" x14ac:dyDescent="0.3">
      <c r="A2744" s="200"/>
      <c r="B2744" s="202"/>
      <c r="C2744" s="36" t="s">
        <v>68</v>
      </c>
      <c r="D2744" s="47" t="s">
        <v>12</v>
      </c>
      <c r="E2744" s="37">
        <v>1</v>
      </c>
      <c r="F2744" s="34">
        <v>21.080500000000001</v>
      </c>
      <c r="G2744" s="34">
        <f>IF(ISNUMBER(F2744),E2744*F2744,"")</f>
        <v>21.080500000000001</v>
      </c>
      <c r="H2744" s="39">
        <f>SUM(G2744:G2746)</f>
        <v>121.0395</v>
      </c>
      <c r="I2744" s="40"/>
      <c r="J2744" s="155">
        <v>0</v>
      </c>
    </row>
    <row r="2745" spans="1:10" ht="15.75" hidden="1" thickBot="1" x14ac:dyDescent="0.3">
      <c r="A2745" s="200"/>
      <c r="B2745" s="202"/>
      <c r="C2745" s="36" t="s">
        <v>302</v>
      </c>
      <c r="D2745" s="47" t="s">
        <v>834</v>
      </c>
      <c r="E2745" s="37">
        <v>2</v>
      </c>
      <c r="F2745" s="31">
        <v>4.9114999999999993</v>
      </c>
      <c r="G2745" s="34">
        <f>IF(ISNUMBER(F2745),E2745*F2745,"")</f>
        <v>9.8229999999999986</v>
      </c>
      <c r="H2745" s="35"/>
      <c r="I2745" s="31"/>
      <c r="J2745" s="155">
        <v>0</v>
      </c>
    </row>
    <row r="2746" spans="1:10" ht="15.75" hidden="1" thickBot="1" x14ac:dyDescent="0.3">
      <c r="A2746" s="200"/>
      <c r="B2746" s="202"/>
      <c r="C2746" s="36" t="s">
        <v>836</v>
      </c>
      <c r="D2746" s="36" t="s">
        <v>95</v>
      </c>
      <c r="E2746" s="37">
        <v>1</v>
      </c>
      <c r="F2746" s="31">
        <v>90.135999999999996</v>
      </c>
      <c r="G2746" s="34">
        <f>IF(ISNUMBER(F2746),E2746*F2746,"")</f>
        <v>90.135999999999996</v>
      </c>
      <c r="H2746" s="35"/>
      <c r="I2746" s="31"/>
      <c r="J2746" s="155">
        <v>0</v>
      </c>
    </row>
    <row r="2747" spans="1:10" ht="15.75" hidden="1" thickBot="1" x14ac:dyDescent="0.3">
      <c r="A2747" s="201"/>
      <c r="B2747" s="188"/>
      <c r="C2747" s="36"/>
      <c r="D2747" s="36"/>
      <c r="E2747" s="37"/>
      <c r="F2747" s="31" t="s">
        <v>558</v>
      </c>
      <c r="G2747" s="34" t="str">
        <f>IF(ISNUMBER(F2747),E2747*F2747,"")</f>
        <v/>
      </c>
      <c r="H2747" s="35"/>
      <c r="I2747" s="31"/>
      <c r="J2747" s="155">
        <v>0</v>
      </c>
    </row>
    <row r="2748" spans="1:10" ht="15.75" hidden="1" thickBot="1" x14ac:dyDescent="0.3">
      <c r="A2748" s="180" t="s">
        <v>2780</v>
      </c>
      <c r="B2748" s="186" t="str">
        <f>INDEX(Orçamentária!A:B,MATCH(Composições!A2748,Orçamentária!A:A,0),2)</f>
        <v>Corte em vidro ou espelho reaproveitado</v>
      </c>
      <c r="C2748" s="41"/>
      <c r="D2748" s="26" t="str">
        <f>TRIM(INDEX(Orçamentária!C:C,MATCH(Composições!A2748,Orçamentária!A:A,0),1))</f>
        <v>m</v>
      </c>
      <c r="E2748" s="27"/>
      <c r="F2748" s="42" t="s">
        <v>558</v>
      </c>
      <c r="G2748" s="28" t="str">
        <f>IF(ISNUMBER(F2748),E2748*F2748,"")</f>
        <v/>
      </c>
      <c r="H2748" s="29"/>
      <c r="I2748" s="30"/>
      <c r="J2748" s="155">
        <v>0</v>
      </c>
    </row>
    <row r="2749" spans="1:10" ht="15.75" hidden="1" thickBot="1" x14ac:dyDescent="0.3">
      <c r="A2749" s="200"/>
      <c r="B2749" s="202"/>
      <c r="C2749" s="32"/>
      <c r="D2749" s="32"/>
      <c r="E2749" s="33"/>
      <c r="F2749" s="43" t="s">
        <v>558</v>
      </c>
      <c r="G2749" s="34" t="str">
        <f>IF(ISNUMBER(F2749),E2749*F2749,"")</f>
        <v/>
      </c>
      <c r="H2749" s="35"/>
      <c r="I2749" s="31"/>
      <c r="J2749" s="155">
        <v>0</v>
      </c>
    </row>
    <row r="2750" spans="1:10" ht="15.75" hidden="1" thickBot="1" x14ac:dyDescent="0.3">
      <c r="A2750" s="200"/>
      <c r="B2750" s="202"/>
      <c r="C2750" s="36" t="s">
        <v>68</v>
      </c>
      <c r="D2750" s="47" t="s">
        <v>12</v>
      </c>
      <c r="E2750" s="37">
        <v>0.5</v>
      </c>
      <c r="F2750" s="31">
        <v>21.080500000000001</v>
      </c>
      <c r="G2750" s="34">
        <f>IF(ISNUMBER(F2750),E2750*F2750,"")</f>
        <v>10.54025</v>
      </c>
      <c r="H2750" s="39">
        <f>SUM(G2750:G2751)</f>
        <v>18.905000000000001</v>
      </c>
      <c r="I2750" s="40"/>
      <c r="J2750" s="155">
        <v>0</v>
      </c>
    </row>
    <row r="2751" spans="1:10" ht="15.75" hidden="1" thickBot="1" x14ac:dyDescent="0.3">
      <c r="A2751" s="200"/>
      <c r="B2751" s="202"/>
      <c r="C2751" s="36" t="s">
        <v>23</v>
      </c>
      <c r="D2751" s="47" t="s">
        <v>12</v>
      </c>
      <c r="E2751" s="37">
        <v>0.5</v>
      </c>
      <c r="F2751" s="31">
        <v>16.729499999999998</v>
      </c>
      <c r="G2751" s="34">
        <f>IF(ISNUMBER(F2751),E2751*F2751,"")</f>
        <v>8.364749999999999</v>
      </c>
      <c r="H2751" s="35"/>
      <c r="I2751" s="31"/>
      <c r="J2751" s="155">
        <v>0</v>
      </c>
    </row>
    <row r="2752" spans="1:10" ht="15.75" hidden="1" thickBot="1" x14ac:dyDescent="0.3">
      <c r="A2752" s="201"/>
      <c r="B2752" s="188"/>
      <c r="C2752" s="36"/>
      <c r="D2752" s="36"/>
      <c r="E2752" s="37"/>
      <c r="F2752" s="31" t="s">
        <v>558</v>
      </c>
      <c r="G2752" s="34" t="str">
        <f>IF(ISNUMBER(F2752),E2752*F2752,"")</f>
        <v/>
      </c>
      <c r="H2752" s="35"/>
      <c r="I2752" s="31"/>
      <c r="J2752" s="155">
        <v>0</v>
      </c>
    </row>
    <row r="2753" spans="1:10" ht="15.75" hidden="1" thickBot="1" x14ac:dyDescent="0.3">
      <c r="A2753" s="180" t="s">
        <v>2782</v>
      </c>
      <c r="B2753" s="186" t="str">
        <f>INDEX(Orçamentária!A:B,MATCH(Composições!A2753,Orçamentária!A:A,0),2)</f>
        <v>Lapidação de vidro / espelho reaproveitado</v>
      </c>
      <c r="C2753" s="41"/>
      <c r="D2753" s="26" t="str">
        <f>TRIM(INDEX(Orçamentária!C:C,MATCH(Composições!A2753,Orçamentária!A:A,0),1))</f>
        <v>m</v>
      </c>
      <c r="E2753" s="27"/>
      <c r="F2753" s="42" t="s">
        <v>558</v>
      </c>
      <c r="G2753" s="28" t="str">
        <f>IF(ISNUMBER(F2753),E2753*F2753,"")</f>
        <v/>
      </c>
      <c r="H2753" s="29"/>
      <c r="I2753" s="30"/>
      <c r="J2753" s="155">
        <v>0</v>
      </c>
    </row>
    <row r="2754" spans="1:10" ht="15.75" hidden="1" thickBot="1" x14ac:dyDescent="0.3">
      <c r="A2754" s="200"/>
      <c r="B2754" s="202"/>
      <c r="C2754" s="32"/>
      <c r="D2754" s="32"/>
      <c r="E2754" s="33"/>
      <c r="F2754" s="43" t="s">
        <v>558</v>
      </c>
      <c r="G2754" s="34" t="str">
        <f>IF(ISNUMBER(F2754),E2754*F2754,"")</f>
        <v/>
      </c>
      <c r="H2754" s="35"/>
      <c r="I2754" s="31"/>
      <c r="J2754" s="155">
        <v>0</v>
      </c>
    </row>
    <row r="2755" spans="1:10" ht="15.75" hidden="1" thickBot="1" x14ac:dyDescent="0.3">
      <c r="A2755" s="200"/>
      <c r="B2755" s="202"/>
      <c r="C2755" s="36" t="s">
        <v>68</v>
      </c>
      <c r="D2755" s="47" t="s">
        <v>12</v>
      </c>
      <c r="E2755" s="37">
        <v>0.75</v>
      </c>
      <c r="F2755" s="31">
        <v>21.080500000000001</v>
      </c>
      <c r="G2755" s="34">
        <f>IF(ISNUMBER(F2755),E2755*F2755,"")</f>
        <v>15.810375000000001</v>
      </c>
      <c r="H2755" s="39">
        <f>SUM(G2755:G2756)</f>
        <v>28.357499999999998</v>
      </c>
      <c r="I2755" s="40"/>
      <c r="J2755" s="155">
        <v>0</v>
      </c>
    </row>
    <row r="2756" spans="1:10" ht="15.75" hidden="1" thickBot="1" x14ac:dyDescent="0.3">
      <c r="A2756" s="200"/>
      <c r="B2756" s="202"/>
      <c r="C2756" s="36" t="s">
        <v>23</v>
      </c>
      <c r="D2756" s="47" t="s">
        <v>12</v>
      </c>
      <c r="E2756" s="37">
        <v>0.75</v>
      </c>
      <c r="F2756" s="31">
        <v>16.729499999999998</v>
      </c>
      <c r="G2756" s="34">
        <f>IF(ISNUMBER(F2756),E2756*F2756,"")</f>
        <v>12.547124999999998</v>
      </c>
      <c r="H2756" s="35"/>
      <c r="I2756" s="31"/>
      <c r="J2756" s="155">
        <v>0</v>
      </c>
    </row>
    <row r="2757" spans="1:10" ht="15.75" hidden="1" thickBot="1" x14ac:dyDescent="0.3">
      <c r="A2757" s="201"/>
      <c r="B2757" s="188"/>
      <c r="C2757" s="36"/>
      <c r="D2757" s="36"/>
      <c r="E2757" s="37"/>
      <c r="F2757" s="31" t="s">
        <v>558</v>
      </c>
      <c r="G2757" s="34" t="str">
        <f>IF(ISNUMBER(F2757),E2757*F2757,"")</f>
        <v/>
      </c>
      <c r="H2757" s="35"/>
      <c r="I2757" s="31"/>
      <c r="J2757" s="155">
        <v>0</v>
      </c>
    </row>
    <row r="2758" spans="1:10" ht="15.75" hidden="1" thickBot="1" x14ac:dyDescent="0.3">
      <c r="A2758" s="180" t="s">
        <v>839</v>
      </c>
      <c r="B2758" s="186" t="str">
        <f>INDEX(Orçamentária!A:B,MATCH(Composições!A2758,Orçamentária!A:A,0),2)</f>
        <v>Vidro temperado incolor com 10 mm de espessura</v>
      </c>
      <c r="C2758" s="41"/>
      <c r="D2758" s="26" t="str">
        <f>TRIM(INDEX(Orçamentária!C:C,MATCH(Composições!A2758,Orçamentária!A:A,0),1))</f>
        <v>m2</v>
      </c>
      <c r="E2758" s="27"/>
      <c r="F2758" s="42" t="s">
        <v>558</v>
      </c>
      <c r="G2758" s="28" t="str">
        <f>IF(ISNUMBER(F2758),E2758*F2758,"")</f>
        <v/>
      </c>
      <c r="H2758" s="29"/>
      <c r="I2758" s="30"/>
      <c r="J2758" s="155">
        <v>0</v>
      </c>
    </row>
    <row r="2759" spans="1:10" ht="15.75" hidden="1" thickBot="1" x14ac:dyDescent="0.3">
      <c r="A2759" s="200"/>
      <c r="B2759" s="202"/>
      <c r="C2759" s="32"/>
      <c r="D2759" s="32"/>
      <c r="E2759" s="33"/>
      <c r="F2759" s="43" t="s">
        <v>558</v>
      </c>
      <c r="G2759" s="34" t="str">
        <f>IF(ISNUMBER(F2759),E2759*F2759,"")</f>
        <v/>
      </c>
      <c r="H2759" s="35"/>
      <c r="I2759" s="31"/>
      <c r="J2759" s="155">
        <v>0</v>
      </c>
    </row>
    <row r="2760" spans="1:10" ht="15.75" hidden="1" thickBot="1" x14ac:dyDescent="0.3">
      <c r="A2760" s="200"/>
      <c r="B2760" s="202"/>
      <c r="C2760" s="36" t="s">
        <v>840</v>
      </c>
      <c r="D2760" s="36" t="s">
        <v>1034</v>
      </c>
      <c r="E2760" s="37">
        <v>1</v>
      </c>
      <c r="F2760" s="34">
        <v>182.94149999999999</v>
      </c>
      <c r="G2760" s="34">
        <f>IF(ISNUMBER(F2760),E2760*F2760,"")</f>
        <v>182.94149999999999</v>
      </c>
      <c r="H2760" s="39">
        <f>SUM(G2760:G2766)</f>
        <v>275.77596549999998</v>
      </c>
      <c r="I2760" s="40"/>
      <c r="J2760" s="155">
        <v>0</v>
      </c>
    </row>
    <row r="2761" spans="1:10" ht="39" hidden="1" thickBot="1" x14ac:dyDescent="0.3">
      <c r="A2761" s="200"/>
      <c r="B2761" s="202"/>
      <c r="C2761" s="36" t="s">
        <v>3327</v>
      </c>
      <c r="D2761" s="36" t="s">
        <v>292</v>
      </c>
      <c r="E2761" s="37">
        <v>1.7050000000000001</v>
      </c>
      <c r="F2761" s="34">
        <v>0.3135</v>
      </c>
      <c r="G2761" s="34">
        <f>IF(ISNUMBER(F2761),E2761*F2761,"")</f>
        <v>0.53451749999999998</v>
      </c>
      <c r="H2761" s="35"/>
      <c r="I2761" s="31"/>
      <c r="J2761" s="155">
        <v>0</v>
      </c>
    </row>
    <row r="2762" spans="1:10" ht="15.75" hidden="1" thickBot="1" x14ac:dyDescent="0.3">
      <c r="A2762" s="200"/>
      <c r="B2762" s="202"/>
      <c r="C2762" s="36" t="s">
        <v>874</v>
      </c>
      <c r="D2762" s="36" t="s">
        <v>938</v>
      </c>
      <c r="E2762" s="37">
        <v>0.748</v>
      </c>
      <c r="F2762" s="34">
        <v>38.341999999999999</v>
      </c>
      <c r="G2762" s="34">
        <f>IF(ISNUMBER(F2762),E2762*F2762,"")</f>
        <v>28.679815999999999</v>
      </c>
      <c r="H2762" s="35"/>
      <c r="I2762" s="31"/>
      <c r="J2762" s="155">
        <v>0</v>
      </c>
    </row>
    <row r="2763" spans="1:10" ht="26.25" hidden="1" thickBot="1" x14ac:dyDescent="0.3">
      <c r="A2763" s="200"/>
      <c r="B2763" s="202"/>
      <c r="C2763" s="36" t="s">
        <v>3402</v>
      </c>
      <c r="D2763" s="36" t="s">
        <v>513</v>
      </c>
      <c r="E2763" s="37">
        <v>2.3220000000000001</v>
      </c>
      <c r="F2763" s="34">
        <v>1.9094999999999998</v>
      </c>
      <c r="G2763" s="34">
        <f>IF(ISNUMBER(F2763),E2763*F2763,"")</f>
        <v>4.4338589999999991</v>
      </c>
      <c r="H2763" s="35"/>
      <c r="I2763" s="31"/>
      <c r="J2763" s="155">
        <v>0</v>
      </c>
    </row>
    <row r="2764" spans="1:10" ht="15.75" hidden="1" thickBot="1" x14ac:dyDescent="0.3">
      <c r="A2764" s="200"/>
      <c r="B2764" s="202"/>
      <c r="C2764" s="36" t="s">
        <v>1175</v>
      </c>
      <c r="D2764" s="36" t="s">
        <v>292</v>
      </c>
      <c r="E2764" s="37">
        <v>0.309</v>
      </c>
      <c r="F2764" s="34">
        <v>20.196999999999999</v>
      </c>
      <c r="G2764" s="34">
        <f>IF(ISNUMBER(F2764),E2764*F2764,"")</f>
        <v>6.2408729999999997</v>
      </c>
      <c r="H2764" s="35"/>
      <c r="I2764" s="31"/>
      <c r="J2764" s="155">
        <v>0</v>
      </c>
    </row>
    <row r="2765" spans="1:10" ht="15.75" hidden="1" thickBot="1" x14ac:dyDescent="0.3">
      <c r="A2765" s="200"/>
      <c r="B2765" s="202"/>
      <c r="C2765" s="36" t="s">
        <v>743</v>
      </c>
      <c r="D2765" s="36" t="s">
        <v>742</v>
      </c>
      <c r="E2765" s="37">
        <v>1.3779999999999999</v>
      </c>
      <c r="F2765" s="31">
        <v>16.729499999999998</v>
      </c>
      <c r="G2765" s="34">
        <f>IF(ISNUMBER(F2765),E2765*F2765,"")</f>
        <v>23.053250999999996</v>
      </c>
      <c r="H2765" s="35"/>
      <c r="I2765" s="31"/>
      <c r="J2765" s="155">
        <v>0</v>
      </c>
    </row>
    <row r="2766" spans="1:10" ht="15.75" hidden="1" thickBot="1" x14ac:dyDescent="0.3">
      <c r="A2766" s="200"/>
      <c r="B2766" s="202"/>
      <c r="C2766" s="36" t="s">
        <v>3313</v>
      </c>
      <c r="D2766" s="36" t="s">
        <v>742</v>
      </c>
      <c r="E2766" s="37">
        <v>1.4179999999999999</v>
      </c>
      <c r="F2766" s="31">
        <v>21.080500000000001</v>
      </c>
      <c r="G2766" s="34">
        <f>IF(ISNUMBER(F2766),E2766*F2766,"")</f>
        <v>29.892149</v>
      </c>
      <c r="H2766" s="35"/>
      <c r="I2766" s="31"/>
      <c r="J2766" s="155">
        <v>0</v>
      </c>
    </row>
    <row r="2767" spans="1:10" ht="15.75" hidden="1" thickBot="1" x14ac:dyDescent="0.3">
      <c r="A2767" s="201"/>
      <c r="B2767" s="188"/>
      <c r="C2767" s="36"/>
      <c r="D2767" s="36"/>
      <c r="E2767" s="37"/>
      <c r="F2767" s="31" t="s">
        <v>558</v>
      </c>
      <c r="G2767" s="34" t="str">
        <f>IF(ISNUMBER(F2767),E2767*F2767,"")</f>
        <v/>
      </c>
      <c r="H2767" s="35"/>
      <c r="I2767" s="31"/>
      <c r="J2767" s="155">
        <v>0</v>
      </c>
    </row>
    <row r="2768" spans="1:10" ht="15.75" hidden="1" thickBot="1" x14ac:dyDescent="0.3">
      <c r="A2768" s="180" t="s">
        <v>841</v>
      </c>
      <c r="B2768" s="186" t="str">
        <f>INDEX(Orçamentária!A:B,MATCH(Composições!A2768,Orçamentária!A:A,0),2)</f>
        <v>Bucha para pivô de dobradiça para vidro temperado</v>
      </c>
      <c r="C2768" s="41"/>
      <c r="D2768" s="26" t="str">
        <f>TRIM(INDEX(Orçamentária!C:C,MATCH(Composições!A2768,Orçamentária!A:A,0),1))</f>
        <v>un</v>
      </c>
      <c r="E2768" s="27"/>
      <c r="F2768" s="42" t="s">
        <v>558</v>
      </c>
      <c r="G2768" s="28" t="str">
        <f>IF(ISNUMBER(F2768),E2768*F2768,"")</f>
        <v/>
      </c>
      <c r="H2768" s="29"/>
      <c r="I2768" s="30"/>
      <c r="J2768" s="155">
        <v>0</v>
      </c>
    </row>
    <row r="2769" spans="1:10" ht="15.75" hidden="1" thickBot="1" x14ac:dyDescent="0.3">
      <c r="A2769" s="200"/>
      <c r="B2769" s="202"/>
      <c r="C2769" s="32"/>
      <c r="D2769" s="32"/>
      <c r="E2769" s="33"/>
      <c r="F2769" s="43" t="s">
        <v>558</v>
      </c>
      <c r="G2769" s="34" t="str">
        <f>IF(ISNUMBER(F2769),E2769*F2769,"")</f>
        <v/>
      </c>
      <c r="H2769" s="35"/>
      <c r="I2769" s="31"/>
      <c r="J2769" s="155">
        <v>0</v>
      </c>
    </row>
    <row r="2770" spans="1:10" ht="15.75" hidden="1" thickBot="1" x14ac:dyDescent="0.3">
      <c r="A2770" s="200"/>
      <c r="B2770" s="202"/>
      <c r="C2770" s="36" t="s">
        <v>68</v>
      </c>
      <c r="D2770" s="36" t="s">
        <v>12</v>
      </c>
      <c r="E2770" s="37">
        <v>0.15</v>
      </c>
      <c r="F2770" s="34">
        <v>21.080500000000001</v>
      </c>
      <c r="G2770" s="34">
        <f>IF(ISNUMBER(F2770),E2770*F2770,"")</f>
        <v>3.1620750000000002</v>
      </c>
      <c r="H2770" s="39">
        <f>SUM(G2770:G2771)</f>
        <v>3.1620750000000002</v>
      </c>
      <c r="I2770" s="40"/>
      <c r="J2770" s="155">
        <v>0</v>
      </c>
    </row>
    <row r="2771" spans="1:10" ht="26.25" hidden="1" thickBot="1" x14ac:dyDescent="0.3">
      <c r="A2771" s="200"/>
      <c r="B2771" s="202"/>
      <c r="C2771" s="36" t="s">
        <v>842</v>
      </c>
      <c r="D2771" s="36" t="s">
        <v>20</v>
      </c>
      <c r="E2771" s="37">
        <v>1</v>
      </c>
      <c r="F2771" s="31">
        <v>0</v>
      </c>
      <c r="G2771" s="34">
        <f>IF(ISNUMBER(F2771),E2771*F2771,"")</f>
        <v>0</v>
      </c>
      <c r="H2771" s="35"/>
      <c r="I2771" s="31"/>
      <c r="J2771" s="155">
        <v>0</v>
      </c>
    </row>
    <row r="2772" spans="1:10" ht="15.75" hidden="1" thickBot="1" x14ac:dyDescent="0.3">
      <c r="A2772" s="201"/>
      <c r="B2772" s="188"/>
      <c r="C2772" s="36"/>
      <c r="D2772" s="36"/>
      <c r="E2772" s="37"/>
      <c r="F2772" s="31" t="s">
        <v>558</v>
      </c>
      <c r="G2772" s="34" t="str">
        <f>IF(ISNUMBER(F2772),E2772*F2772,"")</f>
        <v/>
      </c>
      <c r="H2772" s="35"/>
      <c r="I2772" s="31"/>
      <c r="J2772" s="155">
        <v>0</v>
      </c>
    </row>
    <row r="2773" spans="1:10" ht="15.75" hidden="1" thickBot="1" x14ac:dyDescent="0.3">
      <c r="A2773" s="180" t="s">
        <v>843</v>
      </c>
      <c r="B2773" s="186" t="str">
        <f>INDEX(Orçamentária!A:B,MATCH(Composições!A2773,Orçamentária!A:A,0),2)</f>
        <v>Suporte para bandeira de vidro temperado, com ponto de giro para dobradiça</v>
      </c>
      <c r="C2773" s="41"/>
      <c r="D2773" s="26" t="str">
        <f>TRIM(INDEX(Orçamentária!C:C,MATCH(Composições!A2773,Orçamentária!A:A,0),1))</f>
        <v>un</v>
      </c>
      <c r="E2773" s="27"/>
      <c r="F2773" s="42" t="s">
        <v>558</v>
      </c>
      <c r="G2773" s="28" t="str">
        <f>IF(ISNUMBER(F2773),E2773*F2773,"")</f>
        <v/>
      </c>
      <c r="H2773" s="29"/>
      <c r="I2773" s="30"/>
      <c r="J2773" s="155">
        <v>0</v>
      </c>
    </row>
    <row r="2774" spans="1:10" ht="15.75" hidden="1" thickBot="1" x14ac:dyDescent="0.3">
      <c r="A2774" s="200"/>
      <c r="B2774" s="202"/>
      <c r="C2774" s="32"/>
      <c r="D2774" s="32"/>
      <c r="E2774" s="33"/>
      <c r="F2774" s="43" t="s">
        <v>558</v>
      </c>
      <c r="G2774" s="34" t="str">
        <f>IF(ISNUMBER(F2774),E2774*F2774,"")</f>
        <v/>
      </c>
      <c r="H2774" s="35"/>
      <c r="I2774" s="31"/>
      <c r="J2774" s="155">
        <v>0</v>
      </c>
    </row>
    <row r="2775" spans="1:10" ht="15.75" hidden="1" thickBot="1" x14ac:dyDescent="0.3">
      <c r="A2775" s="200"/>
      <c r="B2775" s="202"/>
      <c r="C2775" s="36" t="s">
        <v>68</v>
      </c>
      <c r="D2775" s="47" t="s">
        <v>12</v>
      </c>
      <c r="E2775" s="37">
        <v>0.3</v>
      </c>
      <c r="F2775" s="34">
        <v>21.080500000000001</v>
      </c>
      <c r="G2775" s="34">
        <f>IF(ISNUMBER(F2775),E2775*F2775,"")</f>
        <v>6.3241500000000004</v>
      </c>
      <c r="H2775" s="39">
        <f>SUM(G2775:G2776)</f>
        <v>6.3241500000000004</v>
      </c>
      <c r="I2775" s="40"/>
      <c r="J2775" s="155">
        <v>0</v>
      </c>
    </row>
    <row r="2776" spans="1:10" ht="26.25" hidden="1" thickBot="1" x14ac:dyDescent="0.3">
      <c r="A2776" s="200"/>
      <c r="B2776" s="202"/>
      <c r="C2776" s="36" t="s">
        <v>844</v>
      </c>
      <c r="D2776" s="47" t="s">
        <v>20</v>
      </c>
      <c r="E2776" s="37">
        <v>1</v>
      </c>
      <c r="F2776" s="31">
        <v>0</v>
      </c>
      <c r="G2776" s="34">
        <f>IF(ISNUMBER(F2776),E2776*F2776,"")</f>
        <v>0</v>
      </c>
      <c r="H2776" s="35"/>
      <c r="I2776" s="31"/>
      <c r="J2776" s="155">
        <v>0</v>
      </c>
    </row>
    <row r="2777" spans="1:10" ht="15.75" hidden="1" thickBot="1" x14ac:dyDescent="0.3">
      <c r="A2777" s="201"/>
      <c r="B2777" s="188"/>
      <c r="C2777" s="36"/>
      <c r="D2777" s="36"/>
      <c r="E2777" s="37"/>
      <c r="F2777" s="31" t="s">
        <v>558</v>
      </c>
      <c r="G2777" s="34" t="str">
        <f>IF(ISNUMBER(F2777),E2777*F2777,"")</f>
        <v/>
      </c>
      <c r="H2777" s="35"/>
      <c r="I2777" s="31"/>
      <c r="J2777" s="155">
        <v>0</v>
      </c>
    </row>
    <row r="2778" spans="1:10" ht="15.75" hidden="1" thickBot="1" x14ac:dyDescent="0.3">
      <c r="A2778" s="180" t="s">
        <v>845</v>
      </c>
      <c r="B2778" s="186" t="str">
        <f>INDEX(Orçamentária!A:B,MATCH(Composições!A2778,Orçamentária!A:A,0),2)</f>
        <v>Suporte de canto, simples, para vidro temperado</v>
      </c>
      <c r="C2778" s="41"/>
      <c r="D2778" s="26" t="str">
        <f>TRIM(INDEX(Orçamentária!C:C,MATCH(Composições!A2778,Orçamentária!A:A,0),1))</f>
        <v>un</v>
      </c>
      <c r="E2778" s="27"/>
      <c r="F2778" s="42" t="s">
        <v>558</v>
      </c>
      <c r="G2778" s="28" t="str">
        <f>IF(ISNUMBER(F2778),E2778*F2778,"")</f>
        <v/>
      </c>
      <c r="H2778" s="29"/>
      <c r="I2778" s="30"/>
      <c r="J2778" s="155">
        <v>0</v>
      </c>
    </row>
    <row r="2779" spans="1:10" ht="15.75" hidden="1" thickBot="1" x14ac:dyDescent="0.3">
      <c r="A2779" s="200"/>
      <c r="B2779" s="202"/>
      <c r="C2779" s="32"/>
      <c r="D2779" s="32"/>
      <c r="E2779" s="33"/>
      <c r="F2779" s="43" t="s">
        <v>558</v>
      </c>
      <c r="G2779" s="34" t="str">
        <f>IF(ISNUMBER(F2779),E2779*F2779,"")</f>
        <v/>
      </c>
      <c r="H2779" s="35"/>
      <c r="I2779" s="31"/>
      <c r="J2779" s="155">
        <v>0</v>
      </c>
    </row>
    <row r="2780" spans="1:10" ht="15.75" hidden="1" thickBot="1" x14ac:dyDescent="0.3">
      <c r="A2780" s="200"/>
      <c r="B2780" s="202"/>
      <c r="C2780" s="36" t="s">
        <v>68</v>
      </c>
      <c r="D2780" s="36" t="s">
        <v>12</v>
      </c>
      <c r="E2780" s="37">
        <v>0.15</v>
      </c>
      <c r="F2780" s="34">
        <v>21.080500000000001</v>
      </c>
      <c r="G2780" s="34">
        <f>IF(ISNUMBER(F2780),E2780*F2780,"")</f>
        <v>3.1620750000000002</v>
      </c>
      <c r="H2780" s="39">
        <f>SUM(G2780:G2781)</f>
        <v>3.1620750000000002</v>
      </c>
      <c r="I2780" s="40"/>
      <c r="J2780" s="155">
        <v>0</v>
      </c>
    </row>
    <row r="2781" spans="1:10" ht="26.25" hidden="1" thickBot="1" x14ac:dyDescent="0.3">
      <c r="A2781" s="200"/>
      <c r="B2781" s="202"/>
      <c r="C2781" s="36" t="s">
        <v>846</v>
      </c>
      <c r="D2781" s="36" t="s">
        <v>20</v>
      </c>
      <c r="E2781" s="37">
        <v>1</v>
      </c>
      <c r="F2781" s="31">
        <v>0</v>
      </c>
      <c r="G2781" s="34">
        <f>IF(ISNUMBER(F2781),E2781*F2781,"")</f>
        <v>0</v>
      </c>
      <c r="H2781" s="35"/>
      <c r="I2781" s="31"/>
      <c r="J2781" s="155">
        <v>0</v>
      </c>
    </row>
    <row r="2782" spans="1:10" ht="15.75" hidden="1" thickBot="1" x14ac:dyDescent="0.3">
      <c r="A2782" s="201"/>
      <c r="B2782" s="188"/>
      <c r="C2782" s="36"/>
      <c r="D2782" s="36"/>
      <c r="E2782" s="37"/>
      <c r="F2782" s="31" t="s">
        <v>558</v>
      </c>
      <c r="G2782" s="34" t="str">
        <f>IF(ISNUMBER(F2782),E2782*F2782,"")</f>
        <v/>
      </c>
      <c r="H2782" s="35"/>
      <c r="I2782" s="31"/>
      <c r="J2782" s="155">
        <v>0</v>
      </c>
    </row>
    <row r="2783" spans="1:10" ht="15.75" hidden="1" thickBot="1" x14ac:dyDescent="0.3">
      <c r="A2783" s="180" t="s">
        <v>847</v>
      </c>
      <c r="B2783" s="186" t="str">
        <f>INDEX(Orçamentária!A:B,MATCH(Composições!A2783,Orçamentária!A:A,0),2)</f>
        <v>Suporte de união, sem batedor, para dois ou três vidros temperados</v>
      </c>
      <c r="C2783" s="41"/>
      <c r="D2783" s="26" t="str">
        <f>TRIM(INDEX(Orçamentária!C:C,MATCH(Composições!A2783,Orçamentária!A:A,0),1))</f>
        <v>un</v>
      </c>
      <c r="E2783" s="27"/>
      <c r="F2783" s="42" t="s">
        <v>558</v>
      </c>
      <c r="G2783" s="28" t="str">
        <f>IF(ISNUMBER(F2783),E2783*F2783,"")</f>
        <v/>
      </c>
      <c r="H2783" s="29"/>
      <c r="I2783" s="30"/>
      <c r="J2783" s="155">
        <v>0</v>
      </c>
    </row>
    <row r="2784" spans="1:10" ht="15.75" hidden="1" thickBot="1" x14ac:dyDescent="0.3">
      <c r="A2784" s="200"/>
      <c r="B2784" s="202"/>
      <c r="C2784" s="32"/>
      <c r="D2784" s="32"/>
      <c r="E2784" s="33"/>
      <c r="F2784" s="43" t="s">
        <v>558</v>
      </c>
      <c r="G2784" s="34" t="str">
        <f>IF(ISNUMBER(F2784),E2784*F2784,"")</f>
        <v/>
      </c>
      <c r="H2784" s="35"/>
      <c r="I2784" s="31"/>
      <c r="J2784" s="155">
        <v>0</v>
      </c>
    </row>
    <row r="2785" spans="1:10" ht="15.75" hidden="1" thickBot="1" x14ac:dyDescent="0.3">
      <c r="A2785" s="200"/>
      <c r="B2785" s="202"/>
      <c r="C2785" s="36" t="s">
        <v>68</v>
      </c>
      <c r="D2785" s="36" t="s">
        <v>12</v>
      </c>
      <c r="E2785" s="37">
        <v>0.3</v>
      </c>
      <c r="F2785" s="34">
        <v>21.080500000000001</v>
      </c>
      <c r="G2785" s="34">
        <f>IF(ISNUMBER(F2785),E2785*F2785,"")</f>
        <v>6.3241500000000004</v>
      </c>
      <c r="H2785" s="39">
        <f>SUM(G2785:G2786)</f>
        <v>6.3241500000000004</v>
      </c>
      <c r="I2785" s="40"/>
      <c r="J2785" s="155">
        <v>0</v>
      </c>
    </row>
    <row r="2786" spans="1:10" ht="26.25" hidden="1" thickBot="1" x14ac:dyDescent="0.3">
      <c r="A2786" s="200"/>
      <c r="B2786" s="202"/>
      <c r="C2786" s="36" t="s">
        <v>848</v>
      </c>
      <c r="D2786" s="36" t="s">
        <v>20</v>
      </c>
      <c r="E2786" s="37">
        <v>1</v>
      </c>
      <c r="F2786" s="31">
        <v>0</v>
      </c>
      <c r="G2786" s="34">
        <f>IF(ISNUMBER(F2786),E2786*F2786,"")</f>
        <v>0</v>
      </c>
      <c r="H2786" s="35"/>
      <c r="I2786" s="31"/>
      <c r="J2786" s="155">
        <v>0</v>
      </c>
    </row>
    <row r="2787" spans="1:10" ht="15.75" hidden="1" thickBot="1" x14ac:dyDescent="0.3">
      <c r="A2787" s="200"/>
      <c r="B2787" s="202"/>
      <c r="C2787" s="36"/>
      <c r="D2787" s="36"/>
      <c r="E2787" s="37"/>
      <c r="F2787" s="31" t="s">
        <v>558</v>
      </c>
      <c r="G2787" s="34" t="str">
        <f>IF(ISNUMBER(F2787),E2787*F2787,"")</f>
        <v/>
      </c>
      <c r="H2787" s="35"/>
      <c r="I2787" s="31"/>
      <c r="J2787" s="155">
        <v>0</v>
      </c>
    </row>
    <row r="2788" spans="1:10" ht="39.75" hidden="1" thickBot="1" x14ac:dyDescent="0.3">
      <c r="A2788" s="200"/>
      <c r="B2788" s="202"/>
      <c r="C2788" s="149" t="s">
        <v>849</v>
      </c>
      <c r="D2788" s="36"/>
      <c r="E2788" s="37"/>
      <c r="F2788" s="31" t="s">
        <v>558</v>
      </c>
      <c r="G2788" s="34" t="str">
        <f>IF(ISNUMBER(F2788),E2788*F2788,"")</f>
        <v/>
      </c>
      <c r="H2788" s="35"/>
      <c r="I2788" s="31"/>
      <c r="J2788" s="155">
        <v>0</v>
      </c>
    </row>
    <row r="2789" spans="1:10" ht="15.75" hidden="1" thickBot="1" x14ac:dyDescent="0.3">
      <c r="A2789" s="201"/>
      <c r="B2789" s="188"/>
      <c r="C2789" s="36"/>
      <c r="D2789" s="36"/>
      <c r="E2789" s="37"/>
      <c r="F2789" s="31" t="s">
        <v>558</v>
      </c>
      <c r="G2789" s="34" t="str">
        <f>IF(ISNUMBER(F2789),E2789*F2789,"")</f>
        <v/>
      </c>
      <c r="H2789" s="35"/>
      <c r="I2789" s="31"/>
      <c r="J2789" s="155">
        <v>0</v>
      </c>
    </row>
    <row r="2790" spans="1:10" ht="15.75" hidden="1" thickBot="1" x14ac:dyDescent="0.3">
      <c r="A2790" s="180" t="s">
        <v>850</v>
      </c>
      <c r="B2790" s="186" t="str">
        <f>INDEX(Orçamentária!A:B,MATCH(Composições!A2790,Orçamentária!A:A,0),2)</f>
        <v>Botão de correção para vidro temperado</v>
      </c>
      <c r="C2790" s="41"/>
      <c r="D2790" s="26" t="str">
        <f>TRIM(INDEX(Orçamentária!C:C,MATCH(Composições!A2790,Orçamentária!A:A,0),1))</f>
        <v>un</v>
      </c>
      <c r="E2790" s="27"/>
      <c r="F2790" s="42" t="s">
        <v>558</v>
      </c>
      <c r="G2790" s="28" t="str">
        <f>IF(ISNUMBER(F2790),E2790*F2790,"")</f>
        <v/>
      </c>
      <c r="H2790" s="29"/>
      <c r="I2790" s="30"/>
      <c r="J2790" s="155">
        <v>0</v>
      </c>
    </row>
    <row r="2791" spans="1:10" ht="15.75" hidden="1" thickBot="1" x14ac:dyDescent="0.3">
      <c r="A2791" s="200"/>
      <c r="B2791" s="202"/>
      <c r="C2791" s="32"/>
      <c r="D2791" s="32"/>
      <c r="E2791" s="33"/>
      <c r="F2791" s="43" t="s">
        <v>558</v>
      </c>
      <c r="G2791" s="34" t="str">
        <f>IF(ISNUMBER(F2791),E2791*F2791,"")</f>
        <v/>
      </c>
      <c r="H2791" s="35"/>
      <c r="I2791" s="31"/>
      <c r="J2791" s="155">
        <v>0</v>
      </c>
    </row>
    <row r="2792" spans="1:10" ht="15.75" hidden="1" thickBot="1" x14ac:dyDescent="0.3">
      <c r="A2792" s="200"/>
      <c r="B2792" s="202"/>
      <c r="C2792" s="36" t="s">
        <v>68</v>
      </c>
      <c r="D2792" s="36" t="s">
        <v>12</v>
      </c>
      <c r="E2792" s="37">
        <v>0.15</v>
      </c>
      <c r="F2792" s="34">
        <v>21.080500000000001</v>
      </c>
      <c r="G2792" s="34">
        <f>IF(ISNUMBER(F2792),E2792*F2792,"")</f>
        <v>3.1620750000000002</v>
      </c>
      <c r="H2792" s="39">
        <f>SUM(G2792:G2793)</f>
        <v>3.1620750000000002</v>
      </c>
      <c r="I2792" s="40"/>
      <c r="J2792" s="155">
        <v>0</v>
      </c>
    </row>
    <row r="2793" spans="1:10" ht="15.75" hidden="1" thickBot="1" x14ac:dyDescent="0.3">
      <c r="A2793" s="200"/>
      <c r="B2793" s="202"/>
      <c r="C2793" s="36" t="s">
        <v>851</v>
      </c>
      <c r="D2793" s="36" t="s">
        <v>20</v>
      </c>
      <c r="E2793" s="37">
        <v>1</v>
      </c>
      <c r="F2793" s="31">
        <v>0</v>
      </c>
      <c r="G2793" s="34">
        <f>IF(ISNUMBER(F2793),E2793*F2793,"")</f>
        <v>0</v>
      </c>
      <c r="H2793" s="35"/>
      <c r="I2793" s="31"/>
      <c r="J2793" s="155">
        <v>0</v>
      </c>
    </row>
    <row r="2794" spans="1:10" ht="15.75" hidden="1" thickBot="1" x14ac:dyDescent="0.3">
      <c r="A2794" s="201"/>
      <c r="B2794" s="188"/>
      <c r="C2794" s="36"/>
      <c r="D2794" s="36"/>
      <c r="E2794" s="37"/>
      <c r="F2794" s="31" t="s">
        <v>558</v>
      </c>
      <c r="G2794" s="34" t="str">
        <f>IF(ISNUMBER(F2794),E2794*F2794,"")</f>
        <v/>
      </c>
      <c r="H2794" s="35"/>
      <c r="I2794" s="31"/>
      <c r="J2794" s="155">
        <v>0</v>
      </c>
    </row>
    <row r="2795" spans="1:10" ht="15.75" hidden="1" thickBot="1" x14ac:dyDescent="0.3">
      <c r="A2795" s="180" t="s">
        <v>852</v>
      </c>
      <c r="B2795" s="186" t="str">
        <f>INDEX(Orçamentária!A:B,MATCH(Composições!A2795,Orçamentária!A:A,0),2)</f>
        <v>Fechadura bico-de-papagaio, com furo, para vidro temperado</v>
      </c>
      <c r="C2795" s="41"/>
      <c r="D2795" s="26" t="str">
        <f>TRIM(INDEX(Orçamentária!C:C,MATCH(Composições!A2795,Orçamentária!A:A,0),1))</f>
        <v>un</v>
      </c>
      <c r="E2795" s="27"/>
      <c r="F2795" s="42" t="s">
        <v>558</v>
      </c>
      <c r="G2795" s="28" t="str">
        <f>IF(ISNUMBER(F2795),E2795*F2795,"")</f>
        <v/>
      </c>
      <c r="H2795" s="29"/>
      <c r="I2795" s="30"/>
      <c r="J2795" s="155">
        <v>0</v>
      </c>
    </row>
    <row r="2796" spans="1:10" ht="15.75" hidden="1" thickBot="1" x14ac:dyDescent="0.3">
      <c r="A2796" s="200"/>
      <c r="B2796" s="202"/>
      <c r="C2796" s="32"/>
      <c r="D2796" s="32"/>
      <c r="E2796" s="33"/>
      <c r="F2796" s="43" t="s">
        <v>558</v>
      </c>
      <c r="G2796" s="34" t="str">
        <f>IF(ISNUMBER(F2796),E2796*F2796,"")</f>
        <v/>
      </c>
      <c r="H2796" s="35"/>
      <c r="I2796" s="31"/>
      <c r="J2796" s="155">
        <v>0</v>
      </c>
    </row>
    <row r="2797" spans="1:10" ht="15.75" hidden="1" thickBot="1" x14ac:dyDescent="0.3">
      <c r="A2797" s="200"/>
      <c r="B2797" s="202"/>
      <c r="C2797" s="36" t="s">
        <v>68</v>
      </c>
      <c r="D2797" s="36" t="s">
        <v>12</v>
      </c>
      <c r="E2797" s="37">
        <v>0.4</v>
      </c>
      <c r="F2797" s="34">
        <v>21.080500000000001</v>
      </c>
      <c r="G2797" s="34">
        <f>IF(ISNUMBER(F2797),E2797*F2797,"")</f>
        <v>8.4321999999999999</v>
      </c>
      <c r="H2797" s="39">
        <f>SUM(G2797:G2798)</f>
        <v>8.4321999999999999</v>
      </c>
      <c r="I2797" s="40"/>
      <c r="J2797" s="155">
        <v>0</v>
      </c>
    </row>
    <row r="2798" spans="1:10" ht="26.25" hidden="1" thickBot="1" x14ac:dyDescent="0.3">
      <c r="A2798" s="200"/>
      <c r="B2798" s="202"/>
      <c r="C2798" s="36" t="s">
        <v>853</v>
      </c>
      <c r="D2798" s="36" t="s">
        <v>20</v>
      </c>
      <c r="E2798" s="37">
        <v>1</v>
      </c>
      <c r="F2798" s="31" t="s">
        <v>558</v>
      </c>
      <c r="G2798" s="34" t="str">
        <f>IF(ISNUMBER(F2798),E2798*F2798,"")</f>
        <v/>
      </c>
      <c r="H2798" s="35"/>
      <c r="I2798" s="31"/>
      <c r="J2798" s="155">
        <v>0</v>
      </c>
    </row>
    <row r="2799" spans="1:10" ht="15.75" hidden="1" thickBot="1" x14ac:dyDescent="0.3">
      <c r="A2799" s="201"/>
      <c r="B2799" s="188"/>
      <c r="C2799" s="36"/>
      <c r="D2799" s="36"/>
      <c r="E2799" s="37"/>
      <c r="F2799" s="31" t="s">
        <v>558</v>
      </c>
      <c r="G2799" s="34" t="str">
        <f>IF(ISNUMBER(F2799),E2799*F2799,"")</f>
        <v/>
      </c>
      <c r="H2799" s="35"/>
      <c r="I2799" s="31"/>
      <c r="J2799" s="155">
        <v>0</v>
      </c>
    </row>
    <row r="2800" spans="1:10" ht="15.75" hidden="1" thickBot="1" x14ac:dyDescent="0.3">
      <c r="A2800" s="180" t="s">
        <v>854</v>
      </c>
      <c r="B2800" s="186" t="str">
        <f>INDEX(Orçamentária!A:B,MATCH(Composições!A2800,Orçamentária!A:A,0),2)</f>
        <v>Fechadura bico-de-papagaio, com furo, para janela de vidro temperado</v>
      </c>
      <c r="C2800" s="41"/>
      <c r="D2800" s="26" t="str">
        <f>TRIM(INDEX(Orçamentária!C:C,MATCH(Composições!A2800,Orçamentária!A:A,0),1))</f>
        <v>un</v>
      </c>
      <c r="E2800" s="27"/>
      <c r="F2800" s="42" t="s">
        <v>558</v>
      </c>
      <c r="G2800" s="28" t="str">
        <f>IF(ISNUMBER(F2800),E2800*F2800,"")</f>
        <v/>
      </c>
      <c r="H2800" s="29"/>
      <c r="I2800" s="30"/>
      <c r="J2800" s="155">
        <v>0</v>
      </c>
    </row>
    <row r="2801" spans="1:10" ht="15.75" hidden="1" thickBot="1" x14ac:dyDescent="0.3">
      <c r="A2801" s="200"/>
      <c r="B2801" s="202"/>
      <c r="C2801" s="32"/>
      <c r="D2801" s="32"/>
      <c r="E2801" s="33"/>
      <c r="F2801" s="43" t="s">
        <v>558</v>
      </c>
      <c r="G2801" s="34" t="str">
        <f>IF(ISNUMBER(F2801),E2801*F2801,"")</f>
        <v/>
      </c>
      <c r="H2801" s="35"/>
      <c r="I2801" s="31"/>
      <c r="J2801" s="155">
        <v>0</v>
      </c>
    </row>
    <row r="2802" spans="1:10" ht="15.75" hidden="1" thickBot="1" x14ac:dyDescent="0.3">
      <c r="A2802" s="200"/>
      <c r="B2802" s="202"/>
      <c r="C2802" s="36" t="s">
        <v>68</v>
      </c>
      <c r="D2802" s="36" t="s">
        <v>12</v>
      </c>
      <c r="E2802" s="37">
        <v>0.4</v>
      </c>
      <c r="F2802" s="34">
        <v>21.080500000000001</v>
      </c>
      <c r="G2802" s="34">
        <f>IF(ISNUMBER(F2802),E2802*F2802,"")</f>
        <v>8.4321999999999999</v>
      </c>
      <c r="H2802" s="39">
        <f>SUM(G2802:G2803)</f>
        <v>8.4321999999999999</v>
      </c>
      <c r="I2802" s="40"/>
      <c r="J2802" s="155">
        <v>0</v>
      </c>
    </row>
    <row r="2803" spans="1:10" ht="39" hidden="1" thickBot="1" x14ac:dyDescent="0.3">
      <c r="A2803" s="200"/>
      <c r="B2803" s="202"/>
      <c r="C2803" s="36" t="s">
        <v>855</v>
      </c>
      <c r="D2803" s="36" t="s">
        <v>20</v>
      </c>
      <c r="E2803" s="37">
        <v>1</v>
      </c>
      <c r="F2803" s="31" t="s">
        <v>558</v>
      </c>
      <c r="G2803" s="34" t="str">
        <f>IF(ISNUMBER(F2803),E2803*F2803,"")</f>
        <v/>
      </c>
      <c r="H2803" s="35"/>
      <c r="I2803" s="31"/>
      <c r="J2803" s="155">
        <v>0</v>
      </c>
    </row>
    <row r="2804" spans="1:10" ht="15.75" hidden="1" thickBot="1" x14ac:dyDescent="0.3">
      <c r="A2804" s="201"/>
      <c r="B2804" s="188"/>
      <c r="C2804" s="36"/>
      <c r="D2804" s="36"/>
      <c r="E2804" s="37"/>
      <c r="F2804" s="31" t="s">
        <v>558</v>
      </c>
      <c r="G2804" s="34" t="str">
        <f>IF(ISNUMBER(F2804),E2804*F2804,"")</f>
        <v/>
      </c>
      <c r="H2804" s="35"/>
      <c r="I2804" s="31"/>
      <c r="J2804" s="155">
        <v>0</v>
      </c>
    </row>
    <row r="2805" spans="1:10" ht="15.75" hidden="1" thickBot="1" x14ac:dyDescent="0.3">
      <c r="A2805" s="180" t="s">
        <v>856</v>
      </c>
      <c r="B2805" s="186" t="str">
        <f>INDEX(Orçamentária!A:B,MATCH(Composições!A2805,Orçamentária!A:A,0),2)</f>
        <v>Fechadura para porta de abrir de vidro temperado</v>
      </c>
      <c r="C2805" s="41"/>
      <c r="D2805" s="26" t="str">
        <f>TRIM(INDEX(Orçamentária!C:C,MATCH(Composições!A2805,Orçamentária!A:A,0),1))</f>
        <v>un</v>
      </c>
      <c r="E2805" s="27"/>
      <c r="F2805" s="42" t="s">
        <v>558</v>
      </c>
      <c r="G2805" s="28" t="str">
        <f>IF(ISNUMBER(F2805),E2805*F2805,"")</f>
        <v/>
      </c>
      <c r="H2805" s="29"/>
      <c r="I2805" s="30"/>
      <c r="J2805" s="155">
        <v>0</v>
      </c>
    </row>
    <row r="2806" spans="1:10" ht="15.75" hidden="1" thickBot="1" x14ac:dyDescent="0.3">
      <c r="A2806" s="200"/>
      <c r="B2806" s="202"/>
      <c r="C2806" s="32"/>
      <c r="D2806" s="32"/>
      <c r="E2806" s="33"/>
      <c r="F2806" s="43" t="s">
        <v>558</v>
      </c>
      <c r="G2806" s="34" t="str">
        <f>IF(ISNUMBER(F2806),E2806*F2806,"")</f>
        <v/>
      </c>
      <c r="H2806" s="35"/>
      <c r="I2806" s="31"/>
      <c r="J2806" s="155">
        <v>0</v>
      </c>
    </row>
    <row r="2807" spans="1:10" ht="15.75" hidden="1" thickBot="1" x14ac:dyDescent="0.3">
      <c r="A2807" s="200"/>
      <c r="B2807" s="202"/>
      <c r="C2807" s="36" t="s">
        <v>68</v>
      </c>
      <c r="D2807" s="36" t="s">
        <v>12</v>
      </c>
      <c r="E2807" s="37">
        <v>0.4</v>
      </c>
      <c r="F2807" s="34">
        <v>21.080500000000001</v>
      </c>
      <c r="G2807" s="34">
        <f>IF(ISNUMBER(F2807),E2807*F2807,"")</f>
        <v>8.4321999999999999</v>
      </c>
      <c r="H2807" s="39">
        <f>SUM(G2807:G2808)</f>
        <v>8.4321999999999999</v>
      </c>
      <c r="I2807" s="40"/>
      <c r="J2807" s="155">
        <v>0</v>
      </c>
    </row>
    <row r="2808" spans="1:10" ht="26.25" hidden="1" thickBot="1" x14ac:dyDescent="0.3">
      <c r="A2808" s="200"/>
      <c r="B2808" s="202"/>
      <c r="C2808" s="36" t="s">
        <v>857</v>
      </c>
      <c r="D2808" s="36" t="s">
        <v>20</v>
      </c>
      <c r="E2808" s="37">
        <v>1</v>
      </c>
      <c r="F2808" s="31" t="s">
        <v>558</v>
      </c>
      <c r="G2808" s="34" t="str">
        <f>IF(ISNUMBER(F2808),E2808*F2808,"")</f>
        <v/>
      </c>
      <c r="H2808" s="35"/>
      <c r="I2808" s="31"/>
      <c r="J2808" s="155">
        <v>0</v>
      </c>
    </row>
    <row r="2809" spans="1:10" ht="15.75" hidden="1" thickBot="1" x14ac:dyDescent="0.3">
      <c r="A2809" s="201"/>
      <c r="B2809" s="188"/>
      <c r="C2809" s="36"/>
      <c r="D2809" s="36"/>
      <c r="E2809" s="37"/>
      <c r="F2809" s="31" t="s">
        <v>558</v>
      </c>
      <c r="G2809" s="34" t="str">
        <f>IF(ISNUMBER(F2809),E2809*F2809,"")</f>
        <v/>
      </c>
      <c r="H2809" s="35"/>
      <c r="I2809" s="31"/>
      <c r="J2809" s="155">
        <v>0</v>
      </c>
    </row>
    <row r="2810" spans="1:10" ht="15.75" hidden="1" thickBot="1" x14ac:dyDescent="0.3">
      <c r="A2810" s="180" t="s">
        <v>858</v>
      </c>
      <c r="B2810" s="186" t="str">
        <f>INDEX(Orçamentária!A:B,MATCH(Composições!A2810,Orçamentária!A:A,0),2)</f>
        <v>Contra fechadura, para alvenaria, para porta com fechadura 1520/9520</v>
      </c>
      <c r="C2810" s="41"/>
      <c r="D2810" s="26" t="str">
        <f>TRIM(INDEX(Orçamentária!C:C,MATCH(Composições!A2810,Orçamentária!A:A,0),1))</f>
        <v>un</v>
      </c>
      <c r="E2810" s="27"/>
      <c r="F2810" s="42" t="s">
        <v>558</v>
      </c>
      <c r="G2810" s="28" t="str">
        <f>IF(ISNUMBER(F2810),E2810*F2810,"")</f>
        <v/>
      </c>
      <c r="H2810" s="29"/>
      <c r="I2810" s="30"/>
      <c r="J2810" s="155">
        <v>0</v>
      </c>
    </row>
    <row r="2811" spans="1:10" ht="15.75" hidden="1" thickBot="1" x14ac:dyDescent="0.3">
      <c r="A2811" s="200"/>
      <c r="B2811" s="202"/>
      <c r="C2811" s="32"/>
      <c r="D2811" s="32"/>
      <c r="E2811" s="33"/>
      <c r="F2811" s="43" t="s">
        <v>558</v>
      </c>
      <c r="G2811" s="34" t="str">
        <f>IF(ISNUMBER(F2811),E2811*F2811,"")</f>
        <v/>
      </c>
      <c r="H2811" s="35"/>
      <c r="I2811" s="31"/>
      <c r="J2811" s="155">
        <v>0</v>
      </c>
    </row>
    <row r="2812" spans="1:10" ht="15.75" hidden="1" thickBot="1" x14ac:dyDescent="0.3">
      <c r="A2812" s="200"/>
      <c r="B2812" s="202"/>
      <c r="C2812" s="36" t="s">
        <v>68</v>
      </c>
      <c r="D2812" s="36" t="s">
        <v>12</v>
      </c>
      <c r="E2812" s="37">
        <v>0.25</v>
      </c>
      <c r="F2812" s="34">
        <v>21.080500000000001</v>
      </c>
      <c r="G2812" s="34">
        <f>IF(ISNUMBER(F2812),E2812*F2812,"")</f>
        <v>5.2701250000000002</v>
      </c>
      <c r="H2812" s="39">
        <f>SUM(G2812:G2813)</f>
        <v>5.2701250000000002</v>
      </c>
      <c r="I2812" s="40"/>
      <c r="J2812" s="155">
        <v>0</v>
      </c>
    </row>
    <row r="2813" spans="1:10" ht="39" hidden="1" thickBot="1" x14ac:dyDescent="0.3">
      <c r="A2813" s="200"/>
      <c r="B2813" s="202"/>
      <c r="C2813" s="36" t="s">
        <v>859</v>
      </c>
      <c r="D2813" s="36" t="s">
        <v>20</v>
      </c>
      <c r="E2813" s="37">
        <v>1</v>
      </c>
      <c r="F2813" s="31" t="s">
        <v>558</v>
      </c>
      <c r="G2813" s="34" t="str">
        <f>IF(ISNUMBER(F2813),E2813*F2813,"")</f>
        <v/>
      </c>
      <c r="H2813" s="35"/>
      <c r="I2813" s="31"/>
      <c r="J2813" s="155">
        <v>0</v>
      </c>
    </row>
    <row r="2814" spans="1:10" ht="15.75" hidden="1" thickBot="1" x14ac:dyDescent="0.3">
      <c r="A2814" s="201"/>
      <c r="B2814" s="188"/>
      <c r="C2814" s="36"/>
      <c r="D2814" s="36"/>
      <c r="E2814" s="37"/>
      <c r="F2814" s="31" t="s">
        <v>558</v>
      </c>
      <c r="G2814" s="34" t="str">
        <f>IF(ISNUMBER(F2814),E2814*F2814,"")</f>
        <v/>
      </c>
      <c r="H2814" s="35"/>
      <c r="I2814" s="31"/>
      <c r="J2814" s="155">
        <v>0</v>
      </c>
    </row>
    <row r="2815" spans="1:10" ht="15.75" hidden="1" thickBot="1" x14ac:dyDescent="0.3">
      <c r="A2815" s="180" t="s">
        <v>860</v>
      </c>
      <c r="B2815" s="186" t="str">
        <f>INDEX(Orçamentária!A:B,MATCH(Composições!A2815,Orçamentária!A:A,0),2)</f>
        <v>Contra fechadura de pressão para porta de vidro temperado</v>
      </c>
      <c r="C2815" s="41"/>
      <c r="D2815" s="26" t="str">
        <f>TRIM(INDEX(Orçamentária!C:C,MATCH(Composições!A2815,Orçamentária!A:A,0),1))</f>
        <v>un</v>
      </c>
      <c r="E2815" s="27"/>
      <c r="F2815" s="42" t="s">
        <v>558</v>
      </c>
      <c r="G2815" s="28" t="str">
        <f>IF(ISNUMBER(F2815),E2815*F2815,"")</f>
        <v/>
      </c>
      <c r="H2815" s="29"/>
      <c r="I2815" s="30"/>
      <c r="J2815" s="155">
        <v>0</v>
      </c>
    </row>
    <row r="2816" spans="1:10" ht="15.75" hidden="1" thickBot="1" x14ac:dyDescent="0.3">
      <c r="A2816" s="200"/>
      <c r="B2816" s="202"/>
      <c r="C2816" s="32"/>
      <c r="D2816" s="32"/>
      <c r="E2816" s="33"/>
      <c r="F2816" s="43" t="s">
        <v>558</v>
      </c>
      <c r="G2816" s="34" t="str">
        <f>IF(ISNUMBER(F2816),E2816*F2816,"")</f>
        <v/>
      </c>
      <c r="H2816" s="35"/>
      <c r="I2816" s="31"/>
      <c r="J2816" s="155">
        <v>0</v>
      </c>
    </row>
    <row r="2817" spans="1:10" ht="15.75" hidden="1" thickBot="1" x14ac:dyDescent="0.3">
      <c r="A2817" s="200"/>
      <c r="B2817" s="202"/>
      <c r="C2817" s="36" t="s">
        <v>68</v>
      </c>
      <c r="D2817" s="36" t="s">
        <v>12</v>
      </c>
      <c r="E2817" s="37">
        <v>0.25</v>
      </c>
      <c r="F2817" s="34">
        <v>21.080500000000001</v>
      </c>
      <c r="G2817" s="34">
        <f>IF(ISNUMBER(F2817),E2817*F2817,"")</f>
        <v>5.2701250000000002</v>
      </c>
      <c r="H2817" s="39">
        <f>SUM(G2817:G2818)</f>
        <v>5.2701250000000002</v>
      </c>
      <c r="I2817" s="40"/>
      <c r="J2817" s="155">
        <v>0</v>
      </c>
    </row>
    <row r="2818" spans="1:10" ht="39" hidden="1" thickBot="1" x14ac:dyDescent="0.3">
      <c r="A2818" s="200"/>
      <c r="B2818" s="202"/>
      <c r="C2818" s="36" t="s">
        <v>861</v>
      </c>
      <c r="D2818" s="36" t="s">
        <v>20</v>
      </c>
      <c r="E2818" s="37">
        <v>1</v>
      </c>
      <c r="F2818" s="31" t="s">
        <v>558</v>
      </c>
      <c r="G2818" s="34" t="str">
        <f>IF(ISNUMBER(F2818),E2818*F2818,"")</f>
        <v/>
      </c>
      <c r="H2818" s="35"/>
      <c r="I2818" s="31"/>
      <c r="J2818" s="155">
        <v>0</v>
      </c>
    </row>
    <row r="2819" spans="1:10" ht="15.75" hidden="1" thickBot="1" x14ac:dyDescent="0.3">
      <c r="A2819" s="201"/>
      <c r="B2819" s="188"/>
      <c r="C2819" s="36"/>
      <c r="D2819" s="36"/>
      <c r="E2819" s="37"/>
      <c r="F2819" s="31" t="s">
        <v>558</v>
      </c>
      <c r="G2819" s="34" t="str">
        <f>IF(ISNUMBER(F2819),E2819*F2819,"")</f>
        <v/>
      </c>
      <c r="H2819" s="35"/>
      <c r="I2819" s="31"/>
      <c r="J2819" s="155">
        <v>0</v>
      </c>
    </row>
    <row r="2820" spans="1:10" ht="15.75" hidden="1" thickBot="1" x14ac:dyDescent="0.3">
      <c r="A2820" s="180" t="s">
        <v>862</v>
      </c>
      <c r="B2820" s="186" t="str">
        <f>INDEX(Orçamentária!A:B,MATCH(Composições!A2820,Orçamentária!A:A,0),2)</f>
        <v>Contra fechadura, com furo, para porta com furo</v>
      </c>
      <c r="C2820" s="41"/>
      <c r="D2820" s="26" t="str">
        <f>TRIM(INDEX(Orçamentária!C:C,MATCH(Composições!A2820,Orçamentária!A:A,0),1))</f>
        <v>un</v>
      </c>
      <c r="E2820" s="27"/>
      <c r="F2820" s="42" t="s">
        <v>558</v>
      </c>
      <c r="G2820" s="28" t="str">
        <f>IF(ISNUMBER(F2820),E2820*F2820,"")</f>
        <v/>
      </c>
      <c r="H2820" s="29"/>
      <c r="I2820" s="30"/>
      <c r="J2820" s="155">
        <v>0</v>
      </c>
    </row>
    <row r="2821" spans="1:10" ht="15.75" hidden="1" thickBot="1" x14ac:dyDescent="0.3">
      <c r="A2821" s="200"/>
      <c r="B2821" s="202"/>
      <c r="C2821" s="32"/>
      <c r="D2821" s="32"/>
      <c r="E2821" s="33"/>
      <c r="F2821" s="43" t="s">
        <v>558</v>
      </c>
      <c r="G2821" s="34" t="str">
        <f>IF(ISNUMBER(F2821),E2821*F2821,"")</f>
        <v/>
      </c>
      <c r="H2821" s="35"/>
      <c r="I2821" s="31"/>
      <c r="J2821" s="155">
        <v>0</v>
      </c>
    </row>
    <row r="2822" spans="1:10" ht="15.75" hidden="1" thickBot="1" x14ac:dyDescent="0.3">
      <c r="A2822" s="200"/>
      <c r="B2822" s="202"/>
      <c r="C2822" s="36" t="s">
        <v>68</v>
      </c>
      <c r="D2822" s="36" t="s">
        <v>12</v>
      </c>
      <c r="E2822" s="37">
        <v>0.25</v>
      </c>
      <c r="F2822" s="34">
        <v>21.080500000000001</v>
      </c>
      <c r="G2822" s="34">
        <f>IF(ISNUMBER(F2822),E2822*F2822,"")</f>
        <v>5.2701250000000002</v>
      </c>
      <c r="H2822" s="39">
        <f>SUM(G2822:G2823)</f>
        <v>5.2701250000000002</v>
      </c>
      <c r="I2822" s="40"/>
      <c r="J2822" s="155">
        <v>0</v>
      </c>
    </row>
    <row r="2823" spans="1:10" ht="39" hidden="1" thickBot="1" x14ac:dyDescent="0.3">
      <c r="A2823" s="200"/>
      <c r="B2823" s="202"/>
      <c r="C2823" s="36" t="s">
        <v>863</v>
      </c>
      <c r="D2823" s="36" t="s">
        <v>20</v>
      </c>
      <c r="E2823" s="37">
        <v>1</v>
      </c>
      <c r="F2823" s="31" t="s">
        <v>558</v>
      </c>
      <c r="G2823" s="34" t="str">
        <f>IF(ISNUMBER(F2823),E2823*F2823,"")</f>
        <v/>
      </c>
      <c r="H2823" s="35"/>
      <c r="I2823" s="31"/>
      <c r="J2823" s="155">
        <v>0</v>
      </c>
    </row>
    <row r="2824" spans="1:10" ht="15.75" hidden="1" thickBot="1" x14ac:dyDescent="0.3">
      <c r="A2824" s="201"/>
      <c r="B2824" s="188"/>
      <c r="C2824" s="36"/>
      <c r="D2824" s="36"/>
      <c r="E2824" s="37"/>
      <c r="F2824" s="31" t="s">
        <v>558</v>
      </c>
      <c r="G2824" s="34" t="str">
        <f>IF(ISNUMBER(F2824),E2824*F2824,"")</f>
        <v/>
      </c>
      <c r="H2824" s="35"/>
      <c r="I2824" s="31"/>
      <c r="J2824" s="155">
        <v>0</v>
      </c>
    </row>
    <row r="2825" spans="1:10" ht="15.75" hidden="1" thickBot="1" x14ac:dyDescent="0.3">
      <c r="A2825" s="180" t="s">
        <v>864</v>
      </c>
      <c r="B2825" s="186" t="str">
        <f>INDEX(Orçamentária!A:B,MATCH(Composições!A2825,Orçamentária!A:A,0),2)</f>
        <v>Trinco inferior, com miolo, para porta de vidro temperado</v>
      </c>
      <c r="C2825" s="41"/>
      <c r="D2825" s="26" t="str">
        <f>TRIM(INDEX(Orçamentária!C:C,MATCH(Composições!A2825,Orçamentária!A:A,0),1))</f>
        <v>un</v>
      </c>
      <c r="E2825" s="27"/>
      <c r="F2825" s="42" t="s">
        <v>558</v>
      </c>
      <c r="G2825" s="28" t="str">
        <f>IF(ISNUMBER(F2825),E2825*F2825,"")</f>
        <v/>
      </c>
      <c r="H2825" s="29"/>
      <c r="I2825" s="30"/>
      <c r="J2825" s="155">
        <v>0</v>
      </c>
    </row>
    <row r="2826" spans="1:10" ht="15.75" hidden="1" thickBot="1" x14ac:dyDescent="0.3">
      <c r="A2826" s="200"/>
      <c r="B2826" s="202"/>
      <c r="C2826" s="32"/>
      <c r="D2826" s="32"/>
      <c r="E2826" s="33"/>
      <c r="F2826" s="43" t="s">
        <v>558</v>
      </c>
      <c r="G2826" s="34" t="str">
        <f>IF(ISNUMBER(F2826),E2826*F2826,"")</f>
        <v/>
      </c>
      <c r="H2826" s="35"/>
      <c r="I2826" s="31"/>
      <c r="J2826" s="155">
        <v>0</v>
      </c>
    </row>
    <row r="2827" spans="1:10" ht="15.75" hidden="1" thickBot="1" x14ac:dyDescent="0.3">
      <c r="A2827" s="200"/>
      <c r="B2827" s="202"/>
      <c r="C2827" s="36" t="s">
        <v>68</v>
      </c>
      <c r="D2827" s="36" t="s">
        <v>12</v>
      </c>
      <c r="E2827" s="37">
        <v>0.25</v>
      </c>
      <c r="F2827" s="34">
        <v>21.080500000000001</v>
      </c>
      <c r="G2827" s="34">
        <f>IF(ISNUMBER(F2827),E2827*F2827,"")</f>
        <v>5.2701250000000002</v>
      </c>
      <c r="H2827" s="39">
        <f>SUM(G2827:G2828)</f>
        <v>5.2701250000000002</v>
      </c>
      <c r="I2827" s="40"/>
      <c r="J2827" s="155">
        <v>0</v>
      </c>
    </row>
    <row r="2828" spans="1:10" ht="26.25" hidden="1" thickBot="1" x14ac:dyDescent="0.3">
      <c r="A2828" s="200"/>
      <c r="B2828" s="202"/>
      <c r="C2828" s="36" t="s">
        <v>865</v>
      </c>
      <c r="D2828" s="36" t="s">
        <v>20</v>
      </c>
      <c r="E2828" s="37">
        <v>1</v>
      </c>
      <c r="F2828" s="31">
        <v>0</v>
      </c>
      <c r="G2828" s="34">
        <f>IF(ISNUMBER(F2828),E2828*F2828,"")</f>
        <v>0</v>
      </c>
      <c r="H2828" s="35"/>
      <c r="I2828" s="31"/>
      <c r="J2828" s="155">
        <v>0</v>
      </c>
    </row>
    <row r="2829" spans="1:10" ht="15.75" hidden="1" thickBot="1" x14ac:dyDescent="0.3">
      <c r="A2829" s="201"/>
      <c r="B2829" s="188"/>
      <c r="C2829" s="36"/>
      <c r="D2829" s="36"/>
      <c r="E2829" s="37"/>
      <c r="F2829" s="31" t="s">
        <v>558</v>
      </c>
      <c r="G2829" s="34" t="str">
        <f>IF(ISNUMBER(F2829),E2829*F2829,"")</f>
        <v/>
      </c>
      <c r="H2829" s="35"/>
      <c r="I2829" s="31"/>
      <c r="J2829" s="155">
        <v>0</v>
      </c>
    </row>
    <row r="2830" spans="1:10" ht="15.75" hidden="1" thickBot="1" x14ac:dyDescent="0.3">
      <c r="A2830" s="180" t="s">
        <v>866</v>
      </c>
      <c r="B2830" s="186" t="str">
        <f>INDEX(Orçamentária!A:B,MATCH(Composições!A2830,Orçamentária!A:A,0),2)</f>
        <v>Mola hidráulica BTS 75R</v>
      </c>
      <c r="C2830" s="41"/>
      <c r="D2830" s="26" t="str">
        <f>TRIM(INDEX(Orçamentária!C:C,MATCH(Composições!A2830,Orçamentária!A:A,0),1))</f>
        <v>un</v>
      </c>
      <c r="E2830" s="27"/>
      <c r="F2830" s="42" t="s">
        <v>558</v>
      </c>
      <c r="G2830" s="28" t="str">
        <f>IF(ISNUMBER(F2830),E2830*F2830,"")</f>
        <v/>
      </c>
      <c r="H2830" s="29"/>
      <c r="I2830" s="30"/>
      <c r="J2830" s="155">
        <v>0</v>
      </c>
    </row>
    <row r="2831" spans="1:10" ht="15.75" hidden="1" thickBot="1" x14ac:dyDescent="0.3">
      <c r="A2831" s="200"/>
      <c r="B2831" s="202"/>
      <c r="C2831" s="32"/>
      <c r="D2831" s="32"/>
      <c r="E2831" s="33"/>
      <c r="F2831" s="43" t="s">
        <v>558</v>
      </c>
      <c r="G2831" s="34" t="str">
        <f>IF(ISNUMBER(F2831),E2831*F2831,"")</f>
        <v/>
      </c>
      <c r="H2831" s="35"/>
      <c r="I2831" s="31"/>
      <c r="J2831" s="155">
        <v>0</v>
      </c>
    </row>
    <row r="2832" spans="1:10" ht="15.75" hidden="1" thickBot="1" x14ac:dyDescent="0.3">
      <c r="A2832" s="200"/>
      <c r="B2832" s="202"/>
      <c r="C2832" s="36" t="s">
        <v>68</v>
      </c>
      <c r="D2832" s="36" t="s">
        <v>12</v>
      </c>
      <c r="E2832" s="37">
        <v>1.8180000000000001</v>
      </c>
      <c r="F2832" s="34">
        <v>21.080500000000001</v>
      </c>
      <c r="G2832" s="34">
        <f>IF(ISNUMBER(F2832),E2832*F2832,"")</f>
        <v>38.324349000000005</v>
      </c>
      <c r="H2832" s="39">
        <f>SUM(G2832:G2835)</f>
        <v>67.885375499999995</v>
      </c>
      <c r="I2832" s="40"/>
      <c r="J2832" s="155">
        <v>0</v>
      </c>
    </row>
    <row r="2833" spans="1:10" ht="15.75" hidden="1" thickBot="1" x14ac:dyDescent="0.3">
      <c r="A2833" s="200"/>
      <c r="B2833" s="202"/>
      <c r="C2833" s="36" t="s">
        <v>23</v>
      </c>
      <c r="D2833" s="36" t="s">
        <v>12</v>
      </c>
      <c r="E2833" s="37">
        <v>1.7669999999999999</v>
      </c>
      <c r="F2833" s="31">
        <v>16.729499999999998</v>
      </c>
      <c r="G2833" s="34">
        <f>IF(ISNUMBER(F2833),E2833*F2833,"")</f>
        <v>29.561026499999993</v>
      </c>
      <c r="H2833" s="35"/>
      <c r="I2833" s="31"/>
      <c r="J2833" s="155">
        <v>0</v>
      </c>
    </row>
    <row r="2834" spans="1:10" ht="15.75" hidden="1" thickBot="1" x14ac:dyDescent="0.3">
      <c r="A2834" s="200"/>
      <c r="B2834" s="202"/>
      <c r="C2834" s="36" t="s">
        <v>6496</v>
      </c>
      <c r="D2834" s="36" t="s">
        <v>20</v>
      </c>
      <c r="E2834" s="37">
        <v>1</v>
      </c>
      <c r="F2834" s="31" t="s">
        <v>558</v>
      </c>
      <c r="G2834" s="31" t="str">
        <f>IF(ISNUMBER(F2834),E2834*F2834,"")</f>
        <v/>
      </c>
      <c r="H2834" s="35"/>
      <c r="I2834" s="31"/>
      <c r="J2834" s="155">
        <v>0</v>
      </c>
    </row>
    <row r="2835" spans="1:10" ht="39" hidden="1" thickBot="1" x14ac:dyDescent="0.3">
      <c r="A2835" s="200"/>
      <c r="B2835" s="202"/>
      <c r="C2835" s="36" t="s">
        <v>6495</v>
      </c>
      <c r="D2835" s="36" t="s">
        <v>20</v>
      </c>
      <c r="E2835" s="37">
        <v>1</v>
      </c>
      <c r="F2835" s="31" t="s">
        <v>558</v>
      </c>
      <c r="G2835" s="34" t="str">
        <f>IF(ISNUMBER(F2835),E2835*F2835,"")</f>
        <v/>
      </c>
      <c r="H2835" s="35"/>
      <c r="I2835" s="31"/>
      <c r="J2835" s="155">
        <v>0</v>
      </c>
    </row>
    <row r="2836" spans="1:10" ht="15.75" hidden="1" thickBot="1" x14ac:dyDescent="0.3">
      <c r="A2836" s="201"/>
      <c r="B2836" s="188"/>
      <c r="C2836" s="36"/>
      <c r="D2836" s="36"/>
      <c r="E2836" s="37"/>
      <c r="F2836" s="31" t="s">
        <v>558</v>
      </c>
      <c r="G2836" s="34" t="str">
        <f>IF(ISNUMBER(F2836),E2836*F2836,"")</f>
        <v/>
      </c>
      <c r="H2836" s="35"/>
      <c r="I2836" s="31"/>
      <c r="J2836" s="155">
        <v>0</v>
      </c>
    </row>
    <row r="2837" spans="1:10" ht="15.75" hidden="1" thickBot="1" x14ac:dyDescent="0.3">
      <c r="A2837" s="180" t="s">
        <v>867</v>
      </c>
      <c r="B2837" s="186" t="str">
        <f>INDEX(Orçamentária!A:B,MATCH(Composições!A2837,Orçamentária!A:A,0),2)</f>
        <v>Puxador redondo, padrão em poliéster, para porta de vidro temperado</v>
      </c>
      <c r="C2837" s="41"/>
      <c r="D2837" s="26" t="str">
        <f>TRIM(INDEX(Orçamentária!C:C,MATCH(Composições!A2837,Orçamentária!A:A,0),1))</f>
        <v>un</v>
      </c>
      <c r="E2837" s="27"/>
      <c r="F2837" s="42" t="s">
        <v>558</v>
      </c>
      <c r="G2837" s="28" t="str">
        <f>IF(ISNUMBER(F2837),E2837*F2837,"")</f>
        <v/>
      </c>
      <c r="H2837" s="29"/>
      <c r="I2837" s="30"/>
      <c r="J2837" s="155">
        <v>0</v>
      </c>
    </row>
    <row r="2838" spans="1:10" ht="15.75" hidden="1" thickBot="1" x14ac:dyDescent="0.3">
      <c r="A2838" s="200"/>
      <c r="B2838" s="202"/>
      <c r="C2838" s="32"/>
      <c r="D2838" s="32"/>
      <c r="E2838" s="33"/>
      <c r="F2838" s="43" t="s">
        <v>558</v>
      </c>
      <c r="G2838" s="34" t="str">
        <f>IF(ISNUMBER(F2838),E2838*F2838,"")</f>
        <v/>
      </c>
      <c r="H2838" s="35"/>
      <c r="I2838" s="31"/>
      <c r="J2838" s="155">
        <v>0</v>
      </c>
    </row>
    <row r="2839" spans="1:10" ht="15.75" hidden="1" thickBot="1" x14ac:dyDescent="0.3">
      <c r="A2839" s="200"/>
      <c r="B2839" s="202"/>
      <c r="C2839" s="36" t="s">
        <v>68</v>
      </c>
      <c r="D2839" s="36" t="s">
        <v>12</v>
      </c>
      <c r="E2839" s="37">
        <v>0.2</v>
      </c>
      <c r="F2839" s="34">
        <v>21.080500000000001</v>
      </c>
      <c r="G2839" s="34">
        <f>IF(ISNUMBER(F2839),E2839*F2839,"")</f>
        <v>4.2161</v>
      </c>
      <c r="H2839" s="39">
        <f>SUM(G2839:G2840)</f>
        <v>4.2161</v>
      </c>
      <c r="I2839" s="40"/>
      <c r="J2839" s="155">
        <v>0</v>
      </c>
    </row>
    <row r="2840" spans="1:10" ht="39" hidden="1" thickBot="1" x14ac:dyDescent="0.3">
      <c r="A2840" s="200"/>
      <c r="B2840" s="202"/>
      <c r="C2840" s="36" t="s">
        <v>868</v>
      </c>
      <c r="D2840" s="36" t="s">
        <v>20</v>
      </c>
      <c r="E2840" s="37">
        <v>1</v>
      </c>
      <c r="F2840" s="31" t="s">
        <v>558</v>
      </c>
      <c r="G2840" s="34" t="str">
        <f>IF(ISNUMBER(F2840),E2840*F2840,"")</f>
        <v/>
      </c>
      <c r="H2840" s="35"/>
      <c r="I2840" s="31"/>
      <c r="J2840" s="155">
        <v>0</v>
      </c>
    </row>
    <row r="2841" spans="1:10" ht="15.75" hidden="1" thickBot="1" x14ac:dyDescent="0.3">
      <c r="A2841" s="201"/>
      <c r="B2841" s="188"/>
      <c r="C2841" s="36"/>
      <c r="D2841" s="36"/>
      <c r="E2841" s="37"/>
      <c r="F2841" s="31" t="s">
        <v>558</v>
      </c>
      <c r="G2841" s="34" t="str">
        <f>IF(ISNUMBER(F2841),E2841*F2841,"")</f>
        <v/>
      </c>
      <c r="H2841" s="35"/>
      <c r="I2841" s="31"/>
      <c r="J2841" s="155">
        <v>0</v>
      </c>
    </row>
    <row r="2842" spans="1:10" ht="15.75" hidden="1" thickBot="1" x14ac:dyDescent="0.3">
      <c r="A2842" s="180" t="s">
        <v>869</v>
      </c>
      <c r="B2842" s="186" t="str">
        <f>INDEX(Orçamentária!A:B,MATCH(Composições!A2842,Orçamentária!A:A,0),2)</f>
        <v>Puxador em aço inox sob medida – Tipo A</v>
      </c>
      <c r="C2842" s="41"/>
      <c r="D2842" s="26" t="str">
        <f>TRIM(INDEX(Orçamentária!C:C,MATCH(Composições!A2842,Orçamentária!A:A,0),1))</f>
        <v>un</v>
      </c>
      <c r="E2842" s="27"/>
      <c r="F2842" s="42" t="s">
        <v>558</v>
      </c>
      <c r="G2842" s="28" t="str">
        <f>IF(ISNUMBER(F2842),E2842*F2842,"")</f>
        <v/>
      </c>
      <c r="H2842" s="29"/>
      <c r="I2842" s="30"/>
      <c r="J2842" s="155">
        <v>0</v>
      </c>
    </row>
    <row r="2843" spans="1:10" ht="15.75" hidden="1" thickBot="1" x14ac:dyDescent="0.3">
      <c r="A2843" s="200"/>
      <c r="B2843" s="202"/>
      <c r="C2843" s="32"/>
      <c r="D2843" s="32"/>
      <c r="E2843" s="33"/>
      <c r="F2843" s="43" t="s">
        <v>558</v>
      </c>
      <c r="G2843" s="34" t="str">
        <f>IF(ISNUMBER(F2843),E2843*F2843,"")</f>
        <v/>
      </c>
      <c r="H2843" s="35"/>
      <c r="I2843" s="31"/>
      <c r="J2843" s="155">
        <v>0</v>
      </c>
    </row>
    <row r="2844" spans="1:10" ht="15.75" hidden="1" thickBot="1" x14ac:dyDescent="0.3">
      <c r="A2844" s="200"/>
      <c r="B2844" s="202"/>
      <c r="C2844" s="36" t="s">
        <v>68</v>
      </c>
      <c r="D2844" s="47" t="s">
        <v>12</v>
      </c>
      <c r="E2844" s="37">
        <v>0.4</v>
      </c>
      <c r="F2844" s="34">
        <v>21.080500000000001</v>
      </c>
      <c r="G2844" s="34">
        <f>IF(ISNUMBER(F2844),E2844*F2844,"")</f>
        <v>8.4321999999999999</v>
      </c>
      <c r="H2844" s="39">
        <f>SUM(G2844:G2845)</f>
        <v>8.4321999999999999</v>
      </c>
      <c r="I2844" s="40"/>
      <c r="J2844" s="155">
        <v>0</v>
      </c>
    </row>
    <row r="2845" spans="1:10" ht="15.75" hidden="1" thickBot="1" x14ac:dyDescent="0.3">
      <c r="A2845" s="200"/>
      <c r="B2845" s="202"/>
      <c r="C2845" s="36" t="s">
        <v>870</v>
      </c>
      <c r="D2845" s="47" t="s">
        <v>20</v>
      </c>
      <c r="E2845" s="37">
        <v>1</v>
      </c>
      <c r="F2845" s="31" t="s">
        <v>558</v>
      </c>
      <c r="G2845" s="34" t="str">
        <f>IF(ISNUMBER(F2845),E2845*F2845,"")</f>
        <v/>
      </c>
      <c r="H2845" s="35"/>
      <c r="I2845" s="31"/>
      <c r="J2845" s="155">
        <v>0</v>
      </c>
    </row>
    <row r="2846" spans="1:10" ht="15.75" hidden="1" thickBot="1" x14ac:dyDescent="0.3">
      <c r="A2846" s="201"/>
      <c r="B2846" s="188"/>
      <c r="C2846" s="36"/>
      <c r="D2846" s="36"/>
      <c r="E2846" s="37"/>
      <c r="F2846" s="31" t="s">
        <v>558</v>
      </c>
      <c r="G2846" s="34" t="str">
        <f>IF(ISNUMBER(F2846),E2846*F2846,"")</f>
        <v/>
      </c>
      <c r="H2846" s="35"/>
      <c r="I2846" s="31"/>
      <c r="J2846" s="155">
        <v>0</v>
      </c>
    </row>
    <row r="2847" spans="1:10" ht="15.75" hidden="1" thickBot="1" x14ac:dyDescent="0.3">
      <c r="A2847" s="180" t="s">
        <v>871</v>
      </c>
      <c r="B2847" s="186" t="str">
        <f>INDEX(Orçamentária!A:B,MATCH(Composições!A2847,Orçamentária!A:A,0),2)</f>
        <v>Dobradiça superior para porta de vidro temperado</v>
      </c>
      <c r="C2847" s="41"/>
      <c r="D2847" s="26" t="str">
        <f>TRIM(INDEX(Orçamentária!C:C,MATCH(Composições!A2847,Orçamentária!A:A,0),1))</f>
        <v>un</v>
      </c>
      <c r="E2847" s="27"/>
      <c r="F2847" s="42" t="s">
        <v>558</v>
      </c>
      <c r="G2847" s="28" t="str">
        <f>IF(ISNUMBER(F2847),E2847*F2847,"")</f>
        <v/>
      </c>
      <c r="H2847" s="29"/>
      <c r="I2847" s="30"/>
      <c r="J2847" s="155">
        <v>0</v>
      </c>
    </row>
    <row r="2848" spans="1:10" ht="15.75" hidden="1" thickBot="1" x14ac:dyDescent="0.3">
      <c r="A2848" s="200"/>
      <c r="B2848" s="202"/>
      <c r="C2848" s="32"/>
      <c r="D2848" s="32"/>
      <c r="E2848" s="33"/>
      <c r="F2848" s="43" t="s">
        <v>558</v>
      </c>
      <c r="G2848" s="34" t="str">
        <f>IF(ISNUMBER(F2848),E2848*F2848,"")</f>
        <v/>
      </c>
      <c r="H2848" s="35"/>
      <c r="I2848" s="31"/>
      <c r="J2848" s="155">
        <v>0</v>
      </c>
    </row>
    <row r="2849" spans="1:10" ht="15.75" hidden="1" thickBot="1" x14ac:dyDescent="0.3">
      <c r="A2849" s="200"/>
      <c r="B2849" s="202"/>
      <c r="C2849" s="36" t="s">
        <v>68</v>
      </c>
      <c r="D2849" s="36" t="s">
        <v>12</v>
      </c>
      <c r="E2849" s="37">
        <v>0.3</v>
      </c>
      <c r="F2849" s="34">
        <v>21.080500000000001</v>
      </c>
      <c r="G2849" s="34">
        <f>IF(ISNUMBER(F2849),E2849*F2849,"")</f>
        <v>6.3241500000000004</v>
      </c>
      <c r="H2849" s="39">
        <f>SUM(G2849:G2850)</f>
        <v>6.3241500000000004</v>
      </c>
      <c r="I2849" s="40"/>
      <c r="J2849" s="155">
        <v>0</v>
      </c>
    </row>
    <row r="2850" spans="1:10" ht="26.25" hidden="1" thickBot="1" x14ac:dyDescent="0.3">
      <c r="A2850" s="200"/>
      <c r="B2850" s="202"/>
      <c r="C2850" s="36" t="s">
        <v>872</v>
      </c>
      <c r="D2850" s="47" t="s">
        <v>20</v>
      </c>
      <c r="E2850" s="37">
        <v>1</v>
      </c>
      <c r="F2850" s="31">
        <v>0</v>
      </c>
      <c r="G2850" s="34">
        <f>IF(ISNUMBER(F2850),E2850*F2850,"")</f>
        <v>0</v>
      </c>
      <c r="H2850" s="35"/>
      <c r="I2850" s="31"/>
      <c r="J2850" s="155">
        <v>0</v>
      </c>
    </row>
    <row r="2851" spans="1:10" ht="15.75" hidden="1" thickBot="1" x14ac:dyDescent="0.3">
      <c r="A2851" s="201"/>
      <c r="B2851" s="188"/>
      <c r="C2851" s="36"/>
      <c r="D2851" s="36"/>
      <c r="E2851" s="37"/>
      <c r="F2851" s="31" t="s">
        <v>558</v>
      </c>
      <c r="G2851" s="34" t="str">
        <f>IF(ISNUMBER(F2851),E2851*F2851,"")</f>
        <v/>
      </c>
      <c r="H2851" s="35"/>
      <c r="I2851" s="31"/>
      <c r="J2851" s="155">
        <v>0</v>
      </c>
    </row>
    <row r="2852" spans="1:10" ht="15.75" hidden="1" thickBot="1" x14ac:dyDescent="0.3">
      <c r="A2852" s="180" t="s">
        <v>873</v>
      </c>
      <c r="B2852" s="186" t="str">
        <f>INDEX(Orçamentária!A:B,MATCH(Composições!A2852,Orçamentária!A:A,0),2)</f>
        <v>Perfil em alumínio, tipo U - abas iguais - PU 5/8" x 5/8" – espessura 1,58mm</v>
      </c>
      <c r="C2852" s="41"/>
      <c r="D2852" s="26" t="str">
        <f>TRIM(INDEX(Orçamentária!C:C,MATCH(Composições!A2852,Orçamentária!A:A,0),1))</f>
        <v>m</v>
      </c>
      <c r="E2852" s="27"/>
      <c r="F2852" s="42" t="s">
        <v>558</v>
      </c>
      <c r="G2852" s="28" t="str">
        <f>IF(ISNUMBER(F2852),E2852*F2852,"")</f>
        <v/>
      </c>
      <c r="H2852" s="29"/>
      <c r="I2852" s="30"/>
      <c r="J2852" s="155">
        <v>0</v>
      </c>
    </row>
    <row r="2853" spans="1:10" ht="15.75" hidden="1" thickBot="1" x14ac:dyDescent="0.3">
      <c r="A2853" s="200"/>
      <c r="B2853" s="202"/>
      <c r="C2853" s="32"/>
      <c r="D2853" s="32"/>
      <c r="E2853" s="33"/>
      <c r="F2853" s="43" t="s">
        <v>558</v>
      </c>
      <c r="G2853" s="34" t="str">
        <f>IF(ISNUMBER(F2853),E2853*F2853,"")</f>
        <v/>
      </c>
      <c r="H2853" s="35"/>
      <c r="I2853" s="31"/>
      <c r="J2853" s="155">
        <v>0</v>
      </c>
    </row>
    <row r="2854" spans="1:10" ht="15.75" hidden="1" thickBot="1" x14ac:dyDescent="0.3">
      <c r="A2854" s="200"/>
      <c r="B2854" s="202"/>
      <c r="C2854" s="36" t="s">
        <v>68</v>
      </c>
      <c r="D2854" s="36" t="s">
        <v>12</v>
      </c>
      <c r="E2854" s="37">
        <v>0.2</v>
      </c>
      <c r="F2854" s="34">
        <v>21.080500000000001</v>
      </c>
      <c r="G2854" s="34">
        <f>IF(ISNUMBER(F2854),E2854*F2854,"")</f>
        <v>4.2161</v>
      </c>
      <c r="H2854" s="39">
        <f>SUM(G2854:G2855)</f>
        <v>11.50108</v>
      </c>
      <c r="I2854" s="40"/>
      <c r="J2854" s="155">
        <v>0</v>
      </c>
    </row>
    <row r="2855" spans="1:10" ht="15.75" hidden="1" thickBot="1" x14ac:dyDescent="0.3">
      <c r="A2855" s="200"/>
      <c r="B2855" s="202"/>
      <c r="C2855" s="36" t="s">
        <v>874</v>
      </c>
      <c r="D2855" s="36" t="s">
        <v>42</v>
      </c>
      <c r="E2855" s="37">
        <v>0.19</v>
      </c>
      <c r="F2855" s="31">
        <v>38.341999999999999</v>
      </c>
      <c r="G2855" s="34">
        <f>IF(ISNUMBER(F2855),E2855*F2855,"")</f>
        <v>7.28498</v>
      </c>
      <c r="H2855" s="35"/>
      <c r="I2855" s="31"/>
      <c r="J2855" s="155">
        <v>0</v>
      </c>
    </row>
    <row r="2856" spans="1:10" ht="15.75" hidden="1" thickBot="1" x14ac:dyDescent="0.3">
      <c r="A2856" s="200"/>
      <c r="B2856" s="202"/>
      <c r="C2856" s="36"/>
      <c r="D2856" s="36"/>
      <c r="E2856" s="37"/>
      <c r="F2856" s="31" t="s">
        <v>558</v>
      </c>
      <c r="G2856" s="34" t="str">
        <f>IF(ISNUMBER(F2856),E2856*F2856,"")</f>
        <v/>
      </c>
      <c r="H2856" s="35"/>
      <c r="I2856" s="31"/>
      <c r="J2856" s="155">
        <v>0</v>
      </c>
    </row>
    <row r="2857" spans="1:10" ht="26.25" hidden="1" thickBot="1" x14ac:dyDescent="0.3">
      <c r="A2857" s="200"/>
      <c r="B2857" s="202"/>
      <c r="C2857" s="48" t="s">
        <v>875</v>
      </c>
      <c r="D2857" s="36"/>
      <c r="E2857" s="37"/>
      <c r="F2857" s="31" t="s">
        <v>558</v>
      </c>
      <c r="G2857" s="34" t="str">
        <f>IF(ISNUMBER(F2857),E2857*F2857,"")</f>
        <v/>
      </c>
      <c r="H2857" s="35"/>
      <c r="I2857" s="31"/>
      <c r="J2857" s="155">
        <v>0</v>
      </c>
    </row>
    <row r="2858" spans="1:10" ht="39" hidden="1" thickBot="1" x14ac:dyDescent="0.3">
      <c r="A2858" s="200"/>
      <c r="B2858" s="202"/>
      <c r="C2858" s="52" t="s">
        <v>876</v>
      </c>
      <c r="D2858" s="65"/>
      <c r="E2858" s="37"/>
      <c r="F2858" s="31" t="s">
        <v>558</v>
      </c>
      <c r="G2858" s="34" t="str">
        <f>IF(ISNUMBER(F2858),E2858*F2858,"")</f>
        <v/>
      </c>
      <c r="H2858" s="35"/>
      <c r="I2858" s="31"/>
      <c r="J2858" s="155">
        <v>0</v>
      </c>
    </row>
    <row r="2859" spans="1:10" ht="15.75" hidden="1" thickBot="1" x14ac:dyDescent="0.3">
      <c r="A2859" s="201"/>
      <c r="B2859" s="188"/>
      <c r="C2859" s="36"/>
      <c r="D2859" s="36"/>
      <c r="E2859" s="37"/>
      <c r="F2859" s="31" t="s">
        <v>558</v>
      </c>
      <c r="G2859" s="34" t="str">
        <f>IF(ISNUMBER(F2859),E2859*F2859,"")</f>
        <v/>
      </c>
      <c r="H2859" s="35"/>
      <c r="I2859" s="31"/>
      <c r="J2859" s="155">
        <v>0</v>
      </c>
    </row>
    <row r="2860" spans="1:10" ht="15.75" hidden="1" thickBot="1" x14ac:dyDescent="0.3">
      <c r="A2860" s="180" t="s">
        <v>877</v>
      </c>
      <c r="B2860" s="186" t="str">
        <f>INDEX(Orçamentária!A:B,MATCH(Composições!A2860,Orçamentária!A:A,0),2)</f>
        <v>Trilho superior em alumínio 60mm x 49,5mm, para vidro temperado</v>
      </c>
      <c r="C2860" s="41"/>
      <c r="D2860" s="26" t="str">
        <f>TRIM(INDEX(Orçamentária!C:C,MATCH(Composições!A2860,Orçamentária!A:A,0),1))</f>
        <v>m</v>
      </c>
      <c r="E2860" s="27"/>
      <c r="F2860" s="42" t="s">
        <v>558</v>
      </c>
      <c r="G2860" s="28" t="str">
        <f>IF(ISNUMBER(F2860),E2860*F2860,"")</f>
        <v/>
      </c>
      <c r="H2860" s="29"/>
      <c r="I2860" s="30"/>
      <c r="J2860" s="155">
        <v>0</v>
      </c>
    </row>
    <row r="2861" spans="1:10" ht="15.75" hidden="1" thickBot="1" x14ac:dyDescent="0.3">
      <c r="A2861" s="181"/>
      <c r="B2861" s="202"/>
      <c r="C2861" s="32"/>
      <c r="D2861" s="32"/>
      <c r="E2861" s="33"/>
      <c r="F2861" s="43" t="s">
        <v>558</v>
      </c>
      <c r="G2861" s="34" t="str">
        <f>IF(ISNUMBER(F2861),E2861*F2861,"")</f>
        <v/>
      </c>
      <c r="H2861" s="35"/>
      <c r="I2861" s="31"/>
      <c r="J2861" s="155">
        <v>0</v>
      </c>
    </row>
    <row r="2862" spans="1:10" ht="15.75" hidden="1" thickBot="1" x14ac:dyDescent="0.3">
      <c r="A2862" s="181"/>
      <c r="B2862" s="202"/>
      <c r="C2862" s="36" t="s">
        <v>68</v>
      </c>
      <c r="D2862" s="36" t="s">
        <v>12</v>
      </c>
      <c r="E2862" s="37">
        <v>0.3</v>
      </c>
      <c r="F2862" s="34">
        <v>21.080500000000001</v>
      </c>
      <c r="G2862" s="34">
        <f>IF(ISNUMBER(F2862),E2862*F2862,"")</f>
        <v>6.3241500000000004</v>
      </c>
      <c r="H2862" s="39">
        <f>SUM(G2862:G2863)</f>
        <v>35.962516000000001</v>
      </c>
      <c r="I2862" s="40"/>
      <c r="J2862" s="155">
        <v>0</v>
      </c>
    </row>
    <row r="2863" spans="1:10" ht="15.75" hidden="1" thickBot="1" x14ac:dyDescent="0.3">
      <c r="A2863" s="181"/>
      <c r="B2863" s="202"/>
      <c r="C2863" s="36" t="s">
        <v>874</v>
      </c>
      <c r="D2863" s="47" t="s">
        <v>42</v>
      </c>
      <c r="E2863" s="37">
        <v>0.77300000000000002</v>
      </c>
      <c r="F2863" s="31">
        <v>38.341999999999999</v>
      </c>
      <c r="G2863" s="34">
        <f>IF(ISNUMBER(F2863),E2863*F2863,"")</f>
        <v>29.638366000000001</v>
      </c>
      <c r="H2863" s="35"/>
      <c r="I2863" s="31"/>
      <c r="J2863" s="155">
        <v>0</v>
      </c>
    </row>
    <row r="2864" spans="1:10" ht="15.75" hidden="1" thickBot="1" x14ac:dyDescent="0.3">
      <c r="A2864" s="181"/>
      <c r="B2864" s="202"/>
      <c r="C2864" s="36"/>
      <c r="D2864" s="47"/>
      <c r="E2864" s="37"/>
      <c r="F2864" s="31" t="s">
        <v>558</v>
      </c>
      <c r="G2864" s="34" t="str">
        <f>IF(ISNUMBER(F2864),E2864*F2864,"")</f>
        <v/>
      </c>
      <c r="H2864" s="35"/>
      <c r="I2864" s="31"/>
      <c r="J2864" s="155">
        <v>0</v>
      </c>
    </row>
    <row r="2865" spans="1:10" ht="26.25" hidden="1" thickBot="1" x14ac:dyDescent="0.3">
      <c r="A2865" s="181"/>
      <c r="B2865" s="202"/>
      <c r="C2865" s="48" t="s">
        <v>878</v>
      </c>
      <c r="D2865" s="47"/>
      <c r="E2865" s="37"/>
      <c r="F2865" s="31" t="s">
        <v>558</v>
      </c>
      <c r="G2865" s="34" t="str">
        <f>IF(ISNUMBER(F2865),E2865*F2865,"")</f>
        <v/>
      </c>
      <c r="H2865" s="35"/>
      <c r="I2865" s="31"/>
      <c r="J2865" s="155">
        <v>0</v>
      </c>
    </row>
    <row r="2866" spans="1:10" ht="26.25" hidden="1" thickBot="1" x14ac:dyDescent="0.3">
      <c r="A2866" s="181"/>
      <c r="B2866" s="202"/>
      <c r="C2866" s="52" t="s">
        <v>879</v>
      </c>
      <c r="D2866" s="47"/>
      <c r="E2866" s="37"/>
      <c r="F2866" s="31" t="s">
        <v>558</v>
      </c>
      <c r="G2866" s="34" t="str">
        <f>IF(ISNUMBER(F2866),E2866*F2866,"")</f>
        <v/>
      </c>
      <c r="H2866" s="35"/>
      <c r="I2866" s="31"/>
      <c r="J2866" s="155">
        <v>0</v>
      </c>
    </row>
    <row r="2867" spans="1:10" ht="15.75" hidden="1" thickBot="1" x14ac:dyDescent="0.3">
      <c r="A2867" s="182"/>
      <c r="B2867" s="188"/>
      <c r="C2867" s="36"/>
      <c r="D2867" s="36"/>
      <c r="E2867" s="37"/>
      <c r="F2867" s="31" t="s">
        <v>558</v>
      </c>
      <c r="G2867" s="34" t="str">
        <f>IF(ISNUMBER(F2867),E2867*F2867,"")</f>
        <v/>
      </c>
      <c r="H2867" s="35"/>
      <c r="I2867" s="31"/>
      <c r="J2867" s="155">
        <v>0</v>
      </c>
    </row>
    <row r="2868" spans="1:10" ht="15.75" hidden="1" thickBot="1" x14ac:dyDescent="0.3">
      <c r="A2868" s="180" t="s">
        <v>880</v>
      </c>
      <c r="B2868" s="186" t="str">
        <f>INDEX(Orçamentária!A:B,MATCH(Composições!A2868,Orçamentária!A:A,0),2)</f>
        <v>Perfil em alumínio para acabamento de trilho superior</v>
      </c>
      <c r="C2868" s="41"/>
      <c r="D2868" s="26" t="str">
        <f>TRIM(INDEX(Orçamentária!C:C,MATCH(Composições!A2868,Orçamentária!A:A,0),1))</f>
        <v>m</v>
      </c>
      <c r="E2868" s="27"/>
      <c r="F2868" s="42" t="s">
        <v>558</v>
      </c>
      <c r="G2868" s="28" t="str">
        <f>IF(ISNUMBER(F2868),E2868*F2868,"")</f>
        <v/>
      </c>
      <c r="H2868" s="29"/>
      <c r="I2868" s="30"/>
      <c r="J2868" s="155">
        <v>0</v>
      </c>
    </row>
    <row r="2869" spans="1:10" ht="15.75" hidden="1" thickBot="1" x14ac:dyDescent="0.3">
      <c r="A2869" s="181"/>
      <c r="B2869" s="202"/>
      <c r="C2869" s="32"/>
      <c r="D2869" s="32"/>
      <c r="E2869" s="33"/>
      <c r="F2869" s="43" t="s">
        <v>558</v>
      </c>
      <c r="G2869" s="34" t="str">
        <f>IF(ISNUMBER(F2869),E2869*F2869,"")</f>
        <v/>
      </c>
      <c r="H2869" s="35"/>
      <c r="I2869" s="31"/>
      <c r="J2869" s="155">
        <v>0</v>
      </c>
    </row>
    <row r="2870" spans="1:10" ht="15.75" hidden="1" thickBot="1" x14ac:dyDescent="0.3">
      <c r="A2870" s="181"/>
      <c r="B2870" s="202"/>
      <c r="C2870" s="36" t="s">
        <v>68</v>
      </c>
      <c r="D2870" s="36" t="s">
        <v>12</v>
      </c>
      <c r="E2870" s="37">
        <v>0.2</v>
      </c>
      <c r="F2870" s="34">
        <v>21.080500000000001</v>
      </c>
      <c r="G2870" s="34">
        <f>IF(ISNUMBER(F2870),E2870*F2870,"")</f>
        <v>4.2161</v>
      </c>
      <c r="H2870" s="39">
        <f>SUM(G2870:G2871)</f>
        <v>14.990202</v>
      </c>
      <c r="I2870" s="40"/>
      <c r="J2870" s="155">
        <v>0</v>
      </c>
    </row>
    <row r="2871" spans="1:10" ht="15.75" hidden="1" thickBot="1" x14ac:dyDescent="0.3">
      <c r="A2871" s="181"/>
      <c r="B2871" s="202"/>
      <c r="C2871" s="36" t="s">
        <v>874</v>
      </c>
      <c r="D2871" s="36" t="s">
        <v>42</v>
      </c>
      <c r="E2871" s="37">
        <v>0.28100000000000003</v>
      </c>
      <c r="F2871" s="31">
        <v>38.341999999999999</v>
      </c>
      <c r="G2871" s="34">
        <f>IF(ISNUMBER(F2871),E2871*F2871,"")</f>
        <v>10.774102000000001</v>
      </c>
      <c r="H2871" s="35"/>
      <c r="I2871" s="31"/>
      <c r="J2871" s="155">
        <v>0</v>
      </c>
    </row>
    <row r="2872" spans="1:10" ht="15.75" hidden="1" thickBot="1" x14ac:dyDescent="0.3">
      <c r="A2872" s="181"/>
      <c r="B2872" s="202"/>
      <c r="C2872" s="36"/>
      <c r="D2872" s="47"/>
      <c r="E2872" s="37"/>
      <c r="F2872" s="31" t="s">
        <v>558</v>
      </c>
      <c r="G2872" s="34" t="str">
        <f>IF(ISNUMBER(F2872),E2872*F2872,"")</f>
        <v/>
      </c>
      <c r="H2872" s="35"/>
      <c r="I2872" s="31"/>
      <c r="J2872" s="155">
        <v>0</v>
      </c>
    </row>
    <row r="2873" spans="1:10" ht="26.25" hidden="1" thickBot="1" x14ac:dyDescent="0.3">
      <c r="A2873" s="181"/>
      <c r="B2873" s="202"/>
      <c r="C2873" s="48" t="s">
        <v>881</v>
      </c>
      <c r="D2873" s="47"/>
      <c r="E2873" s="37"/>
      <c r="F2873" s="31" t="s">
        <v>558</v>
      </c>
      <c r="G2873" s="34" t="str">
        <f>IF(ISNUMBER(F2873),E2873*F2873,"")</f>
        <v/>
      </c>
      <c r="H2873" s="35"/>
      <c r="I2873" s="31"/>
      <c r="J2873" s="155">
        <v>0</v>
      </c>
    </row>
    <row r="2874" spans="1:10" ht="26.25" hidden="1" thickBot="1" x14ac:dyDescent="0.3">
      <c r="A2874" s="181"/>
      <c r="B2874" s="202"/>
      <c r="C2874" s="52" t="s">
        <v>879</v>
      </c>
      <c r="D2874" s="47"/>
      <c r="E2874" s="37"/>
      <c r="F2874" s="31" t="s">
        <v>558</v>
      </c>
      <c r="G2874" s="34" t="str">
        <f>IF(ISNUMBER(F2874),E2874*F2874,"")</f>
        <v/>
      </c>
      <c r="H2874" s="35"/>
      <c r="I2874" s="31"/>
      <c r="J2874" s="155">
        <v>0</v>
      </c>
    </row>
    <row r="2875" spans="1:10" ht="15.75" hidden="1" thickBot="1" x14ac:dyDescent="0.3">
      <c r="A2875" s="182"/>
      <c r="B2875" s="188"/>
      <c r="C2875" s="36"/>
      <c r="D2875" s="36"/>
      <c r="E2875" s="37"/>
      <c r="F2875" s="31" t="s">
        <v>558</v>
      </c>
      <c r="G2875" s="34" t="str">
        <f>IF(ISNUMBER(F2875),E2875*F2875,"")</f>
        <v/>
      </c>
      <c r="H2875" s="35"/>
      <c r="I2875" s="31"/>
      <c r="J2875" s="155">
        <v>0</v>
      </c>
    </row>
    <row r="2876" spans="1:10" ht="15.75" hidden="1" thickBot="1" x14ac:dyDescent="0.3">
      <c r="A2876" s="180" t="s">
        <v>882</v>
      </c>
      <c r="B2876" s="186" t="str">
        <f>INDEX(Orçamentária!A:B,MATCH(Composições!A2876,Orçamentária!A:A,0),2)</f>
        <v>Perfil guia inferior de alumínio 39,3 mm x 24 mm para vidro temperado 10mm</v>
      </c>
      <c r="C2876" s="41"/>
      <c r="D2876" s="26" t="str">
        <f>TRIM(INDEX(Orçamentária!C:C,MATCH(Composições!A2876,Orçamentária!A:A,0),1))</f>
        <v>m</v>
      </c>
      <c r="E2876" s="27"/>
      <c r="F2876" s="42" t="s">
        <v>558</v>
      </c>
      <c r="G2876" s="28" t="str">
        <f>IF(ISNUMBER(F2876),E2876*F2876,"")</f>
        <v/>
      </c>
      <c r="H2876" s="29"/>
      <c r="I2876" s="30"/>
      <c r="J2876" s="155">
        <v>0</v>
      </c>
    </row>
    <row r="2877" spans="1:10" ht="15.75" hidden="1" thickBot="1" x14ac:dyDescent="0.3">
      <c r="A2877" s="181"/>
      <c r="B2877" s="202"/>
      <c r="C2877" s="32"/>
      <c r="D2877" s="32"/>
      <c r="E2877" s="33"/>
      <c r="F2877" s="43" t="s">
        <v>558</v>
      </c>
      <c r="G2877" s="34" t="str">
        <f>IF(ISNUMBER(F2877),E2877*F2877,"")</f>
        <v/>
      </c>
      <c r="H2877" s="35"/>
      <c r="I2877" s="31"/>
      <c r="J2877" s="155">
        <v>0</v>
      </c>
    </row>
    <row r="2878" spans="1:10" ht="15.75" hidden="1" thickBot="1" x14ac:dyDescent="0.3">
      <c r="A2878" s="181"/>
      <c r="B2878" s="202"/>
      <c r="C2878" s="36" t="s">
        <v>68</v>
      </c>
      <c r="D2878" s="47" t="s">
        <v>12</v>
      </c>
      <c r="E2878" s="37">
        <v>0.3</v>
      </c>
      <c r="F2878" s="34">
        <v>21.080500000000001</v>
      </c>
      <c r="G2878" s="34">
        <f>IF(ISNUMBER(F2878),E2878*F2878,"")</f>
        <v>6.3241500000000004</v>
      </c>
      <c r="H2878" s="39">
        <f>SUM(G2878:G2879)</f>
        <v>23.616392000000001</v>
      </c>
      <c r="I2878" s="40"/>
      <c r="J2878" s="155">
        <v>0</v>
      </c>
    </row>
    <row r="2879" spans="1:10" ht="15.75" hidden="1" thickBot="1" x14ac:dyDescent="0.3">
      <c r="A2879" s="181"/>
      <c r="B2879" s="202"/>
      <c r="C2879" s="36" t="s">
        <v>874</v>
      </c>
      <c r="D2879" s="36" t="s">
        <v>42</v>
      </c>
      <c r="E2879" s="37">
        <v>0.45100000000000001</v>
      </c>
      <c r="F2879" s="31">
        <v>38.341999999999999</v>
      </c>
      <c r="G2879" s="34">
        <f>IF(ISNUMBER(F2879),E2879*F2879,"")</f>
        <v>17.292242000000002</v>
      </c>
      <c r="H2879" s="35"/>
      <c r="I2879" s="31"/>
      <c r="J2879" s="155">
        <v>0</v>
      </c>
    </row>
    <row r="2880" spans="1:10" ht="15.75" hidden="1" thickBot="1" x14ac:dyDescent="0.3">
      <c r="A2880" s="181"/>
      <c r="B2880" s="202"/>
      <c r="C2880" s="36"/>
      <c r="D2880" s="47"/>
      <c r="E2880" s="37"/>
      <c r="F2880" s="31" t="s">
        <v>558</v>
      </c>
      <c r="G2880" s="34" t="str">
        <f>IF(ISNUMBER(F2880),E2880*F2880,"")</f>
        <v/>
      </c>
      <c r="H2880" s="35"/>
      <c r="I2880" s="31"/>
      <c r="J2880" s="155">
        <v>0</v>
      </c>
    </row>
    <row r="2881" spans="1:10" ht="26.25" hidden="1" thickBot="1" x14ac:dyDescent="0.3">
      <c r="A2881" s="181"/>
      <c r="B2881" s="202"/>
      <c r="C2881" s="48" t="s">
        <v>881</v>
      </c>
      <c r="D2881" s="47"/>
      <c r="E2881" s="37"/>
      <c r="F2881" s="31" t="s">
        <v>558</v>
      </c>
      <c r="G2881" s="34" t="str">
        <f>IF(ISNUMBER(F2881),E2881*F2881,"")</f>
        <v/>
      </c>
      <c r="H2881" s="35"/>
      <c r="I2881" s="31"/>
      <c r="J2881" s="155">
        <v>0</v>
      </c>
    </row>
    <row r="2882" spans="1:10" ht="26.25" hidden="1" thickBot="1" x14ac:dyDescent="0.3">
      <c r="A2882" s="181"/>
      <c r="B2882" s="202"/>
      <c r="C2882" s="52" t="s">
        <v>879</v>
      </c>
      <c r="D2882" s="47"/>
      <c r="E2882" s="37"/>
      <c r="F2882" s="31" t="s">
        <v>558</v>
      </c>
      <c r="G2882" s="34" t="str">
        <f>IF(ISNUMBER(F2882),E2882*F2882,"")</f>
        <v/>
      </c>
      <c r="H2882" s="35"/>
      <c r="I2882" s="31"/>
      <c r="J2882" s="155">
        <v>0</v>
      </c>
    </row>
    <row r="2883" spans="1:10" ht="15.75" hidden="1" thickBot="1" x14ac:dyDescent="0.3">
      <c r="A2883" s="182"/>
      <c r="B2883" s="188"/>
      <c r="C2883" s="36"/>
      <c r="D2883" s="36"/>
      <c r="E2883" s="37"/>
      <c r="F2883" s="31" t="s">
        <v>558</v>
      </c>
      <c r="G2883" s="34" t="str">
        <f>IF(ISNUMBER(F2883),E2883*F2883,"")</f>
        <v/>
      </c>
      <c r="H2883" s="35"/>
      <c r="I2883" s="31"/>
      <c r="J2883" s="155">
        <v>0</v>
      </c>
    </row>
    <row r="2884" spans="1:10" ht="15.75" hidden="1" thickBot="1" x14ac:dyDescent="0.3">
      <c r="A2884" s="180" t="s">
        <v>883</v>
      </c>
      <c r="B2884" s="186" t="str">
        <f>INDEX(Orçamentária!A:B,MATCH(Composições!A2884,Orçamentária!A:A,0),2)</f>
        <v>Capa do Perfil Guia Inferior “Click”</v>
      </c>
      <c r="C2884" s="41"/>
      <c r="D2884" s="26" t="str">
        <f>TRIM(INDEX(Orçamentária!C:C,MATCH(Composições!A2884,Orçamentária!A:A,0),1))</f>
        <v>m</v>
      </c>
      <c r="E2884" s="27"/>
      <c r="F2884" s="42" t="s">
        <v>558</v>
      </c>
      <c r="G2884" s="28" t="str">
        <f>IF(ISNUMBER(F2884),E2884*F2884,"")</f>
        <v/>
      </c>
      <c r="H2884" s="29"/>
      <c r="I2884" s="30"/>
      <c r="J2884" s="155">
        <v>0</v>
      </c>
    </row>
    <row r="2885" spans="1:10" ht="15.75" hidden="1" thickBot="1" x14ac:dyDescent="0.3">
      <c r="A2885" s="181"/>
      <c r="B2885" s="202"/>
      <c r="C2885" s="32"/>
      <c r="D2885" s="32"/>
      <c r="E2885" s="33"/>
      <c r="F2885" s="43" t="s">
        <v>558</v>
      </c>
      <c r="G2885" s="34" t="str">
        <f>IF(ISNUMBER(F2885),E2885*F2885,"")</f>
        <v/>
      </c>
      <c r="H2885" s="35"/>
      <c r="I2885" s="31"/>
      <c r="J2885" s="155">
        <v>0</v>
      </c>
    </row>
    <row r="2886" spans="1:10" ht="15.75" hidden="1" thickBot="1" x14ac:dyDescent="0.3">
      <c r="A2886" s="181"/>
      <c r="B2886" s="202"/>
      <c r="C2886" s="36" t="s">
        <v>68</v>
      </c>
      <c r="D2886" s="47" t="s">
        <v>12</v>
      </c>
      <c r="E2886" s="37">
        <v>0.15</v>
      </c>
      <c r="F2886" s="34">
        <v>21.080500000000001</v>
      </c>
      <c r="G2886" s="34">
        <f>IF(ISNUMBER(F2886),E2886*F2886,"")</f>
        <v>3.1620750000000002</v>
      </c>
      <c r="H2886" s="39">
        <f>SUM(G2886:G2887)</f>
        <v>7.3796949999999999</v>
      </c>
      <c r="I2886" s="40"/>
      <c r="J2886" s="155">
        <v>0</v>
      </c>
    </row>
    <row r="2887" spans="1:10" ht="15.75" hidden="1" thickBot="1" x14ac:dyDescent="0.3">
      <c r="A2887" s="181"/>
      <c r="B2887" s="202"/>
      <c r="C2887" s="36" t="s">
        <v>874</v>
      </c>
      <c r="D2887" s="47" t="s">
        <v>42</v>
      </c>
      <c r="E2887" s="37">
        <v>0.11</v>
      </c>
      <c r="F2887" s="31">
        <v>38.341999999999999</v>
      </c>
      <c r="G2887" s="34">
        <f>IF(ISNUMBER(F2887),E2887*F2887,"")</f>
        <v>4.2176200000000001</v>
      </c>
      <c r="H2887" s="35"/>
      <c r="I2887" s="31"/>
      <c r="J2887" s="155">
        <v>0</v>
      </c>
    </row>
    <row r="2888" spans="1:10" ht="15.75" hidden="1" thickBot="1" x14ac:dyDescent="0.3">
      <c r="A2888" s="181"/>
      <c r="B2888" s="202"/>
      <c r="C2888" s="36"/>
      <c r="D2888" s="47"/>
      <c r="E2888" s="37"/>
      <c r="F2888" s="31" t="s">
        <v>558</v>
      </c>
      <c r="G2888" s="34" t="str">
        <f>IF(ISNUMBER(F2888),E2888*F2888,"")</f>
        <v/>
      </c>
      <c r="H2888" s="35"/>
      <c r="I2888" s="31"/>
      <c r="J2888" s="155">
        <v>0</v>
      </c>
    </row>
    <row r="2889" spans="1:10" ht="26.25" hidden="1" thickBot="1" x14ac:dyDescent="0.3">
      <c r="A2889" s="181"/>
      <c r="B2889" s="202"/>
      <c r="C2889" s="48" t="s">
        <v>884</v>
      </c>
      <c r="D2889" s="47"/>
      <c r="E2889" s="37"/>
      <c r="F2889" s="31" t="s">
        <v>558</v>
      </c>
      <c r="G2889" s="34" t="str">
        <f>IF(ISNUMBER(F2889),E2889*F2889,"")</f>
        <v/>
      </c>
      <c r="H2889" s="35"/>
      <c r="I2889" s="31"/>
      <c r="J2889" s="155">
        <v>0</v>
      </c>
    </row>
    <row r="2890" spans="1:10" ht="26.25" hidden="1" thickBot="1" x14ac:dyDescent="0.3">
      <c r="A2890" s="181"/>
      <c r="B2890" s="202"/>
      <c r="C2890" s="52" t="s">
        <v>879</v>
      </c>
      <c r="D2890" s="47"/>
      <c r="E2890" s="37"/>
      <c r="F2890" s="31" t="s">
        <v>558</v>
      </c>
      <c r="G2890" s="34" t="str">
        <f>IF(ISNUMBER(F2890),E2890*F2890,"")</f>
        <v/>
      </c>
      <c r="H2890" s="35"/>
      <c r="I2890" s="31"/>
      <c r="J2890" s="155">
        <v>0</v>
      </c>
    </row>
    <row r="2891" spans="1:10" ht="15.75" hidden="1" thickBot="1" x14ac:dyDescent="0.3">
      <c r="A2891" s="182"/>
      <c r="B2891" s="188"/>
      <c r="C2891" s="36"/>
      <c r="D2891" s="36"/>
      <c r="E2891" s="37"/>
      <c r="F2891" s="31" t="s">
        <v>558</v>
      </c>
      <c r="G2891" s="34" t="str">
        <f>IF(ISNUMBER(F2891),E2891*F2891,"")</f>
        <v/>
      </c>
      <c r="H2891" s="35"/>
      <c r="I2891" s="31"/>
      <c r="J2891" s="155">
        <v>0</v>
      </c>
    </row>
    <row r="2892" spans="1:10" ht="15.75" hidden="1" thickBot="1" x14ac:dyDescent="0.3">
      <c r="A2892" s="180" t="s">
        <v>885</v>
      </c>
      <c r="B2892" s="186" t="str">
        <f>INDEX(Orçamentária!A:B,MATCH(Composições!A2892,Orçamentária!A:A,0),2)</f>
        <v>Dobradiça inferior para porta de vidro temperado</v>
      </c>
      <c r="C2892" s="41"/>
      <c r="D2892" s="26" t="str">
        <f>TRIM(INDEX(Orçamentária!C:C,MATCH(Composições!A2892,Orçamentária!A:A,0),1))</f>
        <v>un</v>
      </c>
      <c r="E2892" s="27"/>
      <c r="F2892" s="42" t="s">
        <v>558</v>
      </c>
      <c r="G2892" s="28" t="str">
        <f>IF(ISNUMBER(F2892),E2892*F2892,"")</f>
        <v/>
      </c>
      <c r="H2892" s="29"/>
      <c r="I2892" s="30"/>
      <c r="J2892" s="155">
        <v>0</v>
      </c>
    </row>
    <row r="2893" spans="1:10" ht="15.75" hidden="1" thickBot="1" x14ac:dyDescent="0.3">
      <c r="A2893" s="200"/>
      <c r="B2893" s="202"/>
      <c r="C2893" s="32"/>
      <c r="D2893" s="32"/>
      <c r="E2893" s="33"/>
      <c r="F2893" s="43" t="s">
        <v>558</v>
      </c>
      <c r="G2893" s="34" t="str">
        <f>IF(ISNUMBER(F2893),E2893*F2893,"")</f>
        <v/>
      </c>
      <c r="H2893" s="35"/>
      <c r="I2893" s="31"/>
      <c r="J2893" s="155">
        <v>0</v>
      </c>
    </row>
    <row r="2894" spans="1:10" ht="15.75" hidden="1" thickBot="1" x14ac:dyDescent="0.3">
      <c r="A2894" s="200"/>
      <c r="B2894" s="202"/>
      <c r="C2894" s="36" t="s">
        <v>68</v>
      </c>
      <c r="D2894" s="47" t="s">
        <v>12</v>
      </c>
      <c r="E2894" s="37">
        <v>0.3</v>
      </c>
      <c r="F2894" s="34">
        <v>21.080500000000001</v>
      </c>
      <c r="G2894" s="34">
        <f>IF(ISNUMBER(F2894),E2894*F2894,"")</f>
        <v>6.3241500000000004</v>
      </c>
      <c r="H2894" s="39">
        <f>SUM(G2894:G2895)</f>
        <v>6.3241500000000004</v>
      </c>
      <c r="I2894" s="40"/>
      <c r="J2894" s="155">
        <v>0</v>
      </c>
    </row>
    <row r="2895" spans="1:10" ht="26.25" hidden="1" thickBot="1" x14ac:dyDescent="0.3">
      <c r="A2895" s="200"/>
      <c r="B2895" s="202"/>
      <c r="C2895" s="36" t="s">
        <v>886</v>
      </c>
      <c r="D2895" s="36" t="s">
        <v>20</v>
      </c>
      <c r="E2895" s="37">
        <v>1</v>
      </c>
      <c r="F2895" s="31">
        <v>0</v>
      </c>
      <c r="G2895" s="34">
        <f>IF(ISNUMBER(F2895),E2895*F2895,"")</f>
        <v>0</v>
      </c>
      <c r="H2895" s="35"/>
      <c r="I2895" s="31"/>
      <c r="J2895" s="155">
        <v>0</v>
      </c>
    </row>
    <row r="2896" spans="1:10" ht="15.75" hidden="1" thickBot="1" x14ac:dyDescent="0.3">
      <c r="A2896" s="201"/>
      <c r="B2896" s="188"/>
      <c r="C2896" s="36"/>
      <c r="D2896" s="36"/>
      <c r="E2896" s="37"/>
      <c r="F2896" s="31" t="s">
        <v>558</v>
      </c>
      <c r="G2896" s="34" t="str">
        <f>IF(ISNUMBER(F2896),E2896*F2896,"")</f>
        <v/>
      </c>
      <c r="H2896" s="35"/>
      <c r="I2896" s="31"/>
      <c r="J2896" s="155">
        <v>0</v>
      </c>
    </row>
    <row r="2897" spans="1:10" ht="15.75" hidden="1" thickBot="1" x14ac:dyDescent="0.3">
      <c r="A2897" s="180" t="s">
        <v>887</v>
      </c>
      <c r="B2897" s="186" t="str">
        <f>INDEX(Orçamentária!A:B,MATCH(Composições!A2897,Orçamentária!A:A,0),2)</f>
        <v>Escova de vedação para vidro temperado</v>
      </c>
      <c r="C2897" s="41"/>
      <c r="D2897" s="26" t="str">
        <f>TRIM(INDEX(Orçamentária!C:C,MATCH(Composições!A2897,Orçamentária!A:A,0),1))</f>
        <v>m</v>
      </c>
      <c r="E2897" s="27"/>
      <c r="F2897" s="42" t="s">
        <v>558</v>
      </c>
      <c r="G2897" s="28" t="str">
        <f>IF(ISNUMBER(F2897),E2897*F2897,"")</f>
        <v/>
      </c>
      <c r="H2897" s="29"/>
      <c r="I2897" s="30"/>
      <c r="J2897" s="155">
        <v>0</v>
      </c>
    </row>
    <row r="2898" spans="1:10" ht="15.75" hidden="1" thickBot="1" x14ac:dyDescent="0.3">
      <c r="A2898" s="200"/>
      <c r="B2898" s="202"/>
      <c r="C2898" s="32"/>
      <c r="D2898" s="32"/>
      <c r="E2898" s="33"/>
      <c r="F2898" s="43" t="s">
        <v>558</v>
      </c>
      <c r="G2898" s="34" t="str">
        <f>IF(ISNUMBER(F2898),E2898*F2898,"")</f>
        <v/>
      </c>
      <c r="H2898" s="35"/>
      <c r="I2898" s="31"/>
      <c r="J2898" s="155">
        <v>0</v>
      </c>
    </row>
    <row r="2899" spans="1:10" ht="15.75" hidden="1" thickBot="1" x14ac:dyDescent="0.3">
      <c r="A2899" s="200"/>
      <c r="B2899" s="202"/>
      <c r="C2899" s="36" t="s">
        <v>68</v>
      </c>
      <c r="D2899" s="47" t="s">
        <v>12</v>
      </c>
      <c r="E2899" s="37">
        <v>0.3</v>
      </c>
      <c r="F2899" s="34">
        <v>21.080500000000001</v>
      </c>
      <c r="G2899" s="34">
        <f>IF(ISNUMBER(F2899),E2899*F2899,"")</f>
        <v>6.3241500000000004</v>
      </c>
      <c r="H2899" s="39">
        <f>SUM(G2899:G2900)</f>
        <v>6.3241500000000004</v>
      </c>
      <c r="I2899" s="40"/>
      <c r="J2899" s="155">
        <v>0</v>
      </c>
    </row>
    <row r="2900" spans="1:10" ht="51.75" hidden="1" thickBot="1" x14ac:dyDescent="0.3">
      <c r="A2900" s="200"/>
      <c r="B2900" s="202"/>
      <c r="C2900" s="36" t="s">
        <v>888</v>
      </c>
      <c r="D2900" s="36" t="s">
        <v>20</v>
      </c>
      <c r="E2900" s="37">
        <v>1</v>
      </c>
      <c r="F2900" s="31" t="s">
        <v>558</v>
      </c>
      <c r="G2900" s="34" t="str">
        <f>IF(ISNUMBER(F2900),E2900*F2900,"")</f>
        <v/>
      </c>
      <c r="H2900" s="35"/>
      <c r="I2900" s="31"/>
      <c r="J2900" s="155">
        <v>0</v>
      </c>
    </row>
    <row r="2901" spans="1:10" ht="15.75" hidden="1" thickBot="1" x14ac:dyDescent="0.3">
      <c r="A2901" s="201"/>
      <c r="B2901" s="188"/>
      <c r="C2901" s="36"/>
      <c r="D2901" s="36"/>
      <c r="E2901" s="37"/>
      <c r="F2901" s="31" t="s">
        <v>558</v>
      </c>
      <c r="G2901" s="34" t="str">
        <f>IF(ISNUMBER(F2901),E2901*F2901,"")</f>
        <v/>
      </c>
      <c r="H2901" s="35"/>
      <c r="I2901" s="31"/>
      <c r="J2901" s="155">
        <v>0</v>
      </c>
    </row>
    <row r="2902" spans="1:10" ht="15.75" hidden="1" thickBot="1" x14ac:dyDescent="0.3">
      <c r="A2902" s="180" t="s">
        <v>889</v>
      </c>
      <c r="B2902" s="186" t="str">
        <f>INDEX(Orçamentária!A:B,MATCH(Composições!A2902,Orçamentária!A:A,0),2)</f>
        <v>Roldana simples para porta de correr em vidro temperado</v>
      </c>
      <c r="C2902" s="41"/>
      <c r="D2902" s="26" t="str">
        <f>TRIM(INDEX(Orçamentária!C:C,MATCH(Composições!A2902,Orçamentária!A:A,0),1))</f>
        <v>un</v>
      </c>
      <c r="E2902" s="27"/>
      <c r="F2902" s="42" t="s">
        <v>558</v>
      </c>
      <c r="G2902" s="28" t="str">
        <f>IF(ISNUMBER(F2902),E2902*F2902,"")</f>
        <v/>
      </c>
      <c r="H2902" s="29"/>
      <c r="I2902" s="30"/>
      <c r="J2902" s="155">
        <v>0</v>
      </c>
    </row>
    <row r="2903" spans="1:10" ht="15.75" hidden="1" thickBot="1" x14ac:dyDescent="0.3">
      <c r="A2903" s="200"/>
      <c r="B2903" s="202"/>
      <c r="C2903" s="32"/>
      <c r="D2903" s="32"/>
      <c r="E2903" s="33"/>
      <c r="F2903" s="43" t="s">
        <v>558</v>
      </c>
      <c r="G2903" s="34" t="str">
        <f>IF(ISNUMBER(F2903),E2903*F2903,"")</f>
        <v/>
      </c>
      <c r="H2903" s="35"/>
      <c r="I2903" s="31"/>
      <c r="J2903" s="155">
        <v>0</v>
      </c>
    </row>
    <row r="2904" spans="1:10" ht="15.75" hidden="1" thickBot="1" x14ac:dyDescent="0.3">
      <c r="A2904" s="200"/>
      <c r="B2904" s="202"/>
      <c r="C2904" s="36" t="s">
        <v>68</v>
      </c>
      <c r="D2904" s="36" t="s">
        <v>12</v>
      </c>
      <c r="E2904" s="37">
        <v>0.15</v>
      </c>
      <c r="F2904" s="34">
        <v>21.080500000000001</v>
      </c>
      <c r="G2904" s="34">
        <f>IF(ISNUMBER(F2904),E2904*F2904,"")</f>
        <v>3.1620750000000002</v>
      </c>
      <c r="H2904" s="39">
        <f>SUM(G2904:G2905)</f>
        <v>3.1620750000000002</v>
      </c>
      <c r="I2904" s="40"/>
      <c r="J2904" s="155">
        <v>0</v>
      </c>
    </row>
    <row r="2905" spans="1:10" ht="26.25" hidden="1" thickBot="1" x14ac:dyDescent="0.3">
      <c r="A2905" s="200"/>
      <c r="B2905" s="202"/>
      <c r="C2905" s="36" t="s">
        <v>890</v>
      </c>
      <c r="D2905" s="36" t="s">
        <v>20</v>
      </c>
      <c r="E2905" s="37">
        <v>1</v>
      </c>
      <c r="F2905" s="31" t="s">
        <v>558</v>
      </c>
      <c r="G2905" s="34" t="str">
        <f>IF(ISNUMBER(F2905),E2905*F2905,"")</f>
        <v/>
      </c>
      <c r="H2905" s="35"/>
      <c r="I2905" s="31"/>
      <c r="J2905" s="155">
        <v>0</v>
      </c>
    </row>
    <row r="2906" spans="1:10" ht="15.75" hidden="1" thickBot="1" x14ac:dyDescent="0.3">
      <c r="A2906" s="201"/>
      <c r="B2906" s="188"/>
      <c r="C2906" s="36"/>
      <c r="D2906" s="36"/>
      <c r="E2906" s="37"/>
      <c r="F2906" s="31" t="s">
        <v>558</v>
      </c>
      <c r="G2906" s="34" t="str">
        <f>IF(ISNUMBER(F2906),E2906*F2906,"")</f>
        <v/>
      </c>
      <c r="H2906" s="35"/>
      <c r="I2906" s="31"/>
      <c r="J2906" s="155">
        <v>0</v>
      </c>
    </row>
    <row r="2907" spans="1:10" ht="15.75" hidden="1" thickBot="1" x14ac:dyDescent="0.3">
      <c r="A2907" s="180" t="s">
        <v>891</v>
      </c>
      <c r="B2907" s="186" t="str">
        <f>INDEX(Orçamentária!A:B,MATCH(Composições!A2907,Orçamentária!A:A,0),2)</f>
        <v>Roldana dupla para porta de correr em vidro temperado</v>
      </c>
      <c r="C2907" s="41"/>
      <c r="D2907" s="26" t="str">
        <f>TRIM(INDEX(Orçamentária!C:C,MATCH(Composições!A2907,Orçamentária!A:A,0),1))</f>
        <v>un</v>
      </c>
      <c r="E2907" s="27"/>
      <c r="F2907" s="42" t="s">
        <v>558</v>
      </c>
      <c r="G2907" s="28" t="str">
        <f>IF(ISNUMBER(F2907),E2907*F2907,"")</f>
        <v/>
      </c>
      <c r="H2907" s="29"/>
      <c r="I2907" s="30"/>
      <c r="J2907" s="155">
        <v>0</v>
      </c>
    </row>
    <row r="2908" spans="1:10" ht="15.75" hidden="1" thickBot="1" x14ac:dyDescent="0.3">
      <c r="A2908" s="200"/>
      <c r="B2908" s="202"/>
      <c r="C2908" s="32"/>
      <c r="D2908" s="32"/>
      <c r="E2908" s="33"/>
      <c r="F2908" s="43" t="s">
        <v>558</v>
      </c>
      <c r="G2908" s="34" t="str">
        <f>IF(ISNUMBER(F2908),E2908*F2908,"")</f>
        <v/>
      </c>
      <c r="H2908" s="35"/>
      <c r="I2908" s="31"/>
      <c r="J2908" s="155">
        <v>0</v>
      </c>
    </row>
    <row r="2909" spans="1:10" ht="15.75" hidden="1" thickBot="1" x14ac:dyDescent="0.3">
      <c r="A2909" s="200"/>
      <c r="B2909" s="202"/>
      <c r="C2909" s="36" t="s">
        <v>68</v>
      </c>
      <c r="D2909" s="36" t="s">
        <v>12</v>
      </c>
      <c r="E2909" s="37">
        <v>0.15</v>
      </c>
      <c r="F2909" s="34">
        <v>21.080500000000001</v>
      </c>
      <c r="G2909" s="34">
        <f>IF(ISNUMBER(F2909),E2909*F2909,"")</f>
        <v>3.1620750000000002</v>
      </c>
      <c r="H2909" s="39">
        <f>SUM(G2909:G2910)</f>
        <v>3.1620750000000002</v>
      </c>
      <c r="I2909" s="40"/>
      <c r="J2909" s="155">
        <v>0</v>
      </c>
    </row>
    <row r="2910" spans="1:10" ht="26.25" hidden="1" thickBot="1" x14ac:dyDescent="0.3">
      <c r="A2910" s="200"/>
      <c r="B2910" s="202"/>
      <c r="C2910" s="36" t="s">
        <v>892</v>
      </c>
      <c r="D2910" s="36" t="s">
        <v>20</v>
      </c>
      <c r="E2910" s="37">
        <v>1</v>
      </c>
      <c r="F2910" s="31" t="s">
        <v>558</v>
      </c>
      <c r="G2910" s="34" t="str">
        <f>IF(ISNUMBER(F2910),E2910*F2910,"")</f>
        <v/>
      </c>
      <c r="H2910" s="35"/>
      <c r="I2910" s="31"/>
      <c r="J2910" s="155">
        <v>0</v>
      </c>
    </row>
    <row r="2911" spans="1:10" ht="15.75" hidden="1" thickBot="1" x14ac:dyDescent="0.3">
      <c r="A2911" s="201"/>
      <c r="B2911" s="188"/>
      <c r="C2911" s="36"/>
      <c r="D2911" s="36"/>
      <c r="E2911" s="37"/>
      <c r="F2911" s="31" t="s">
        <v>558</v>
      </c>
      <c r="G2911" s="34" t="str">
        <f>IF(ISNUMBER(F2911),E2911*F2911,"")</f>
        <v/>
      </c>
      <c r="H2911" s="35"/>
      <c r="I2911" s="31"/>
      <c r="J2911" s="155">
        <v>0</v>
      </c>
    </row>
    <row r="2912" spans="1:10" ht="15.75" hidden="1" thickBot="1" x14ac:dyDescent="0.3">
      <c r="A2912" s="180" t="s">
        <v>893</v>
      </c>
      <c r="B2912" s="186" t="str">
        <f>INDEX(Orçamentária!A:B,MATCH(Composições!A2912,Orçamentária!A:A,0),2)</f>
        <v>Capuchinho para trinco para vidro temperado</v>
      </c>
      <c r="C2912" s="41"/>
      <c r="D2912" s="26" t="str">
        <f>TRIM(INDEX(Orçamentária!C:C,MATCH(Composições!A2912,Orçamentária!A:A,0),1))</f>
        <v>un</v>
      </c>
      <c r="E2912" s="27"/>
      <c r="F2912" s="42" t="s">
        <v>558</v>
      </c>
      <c r="G2912" s="28" t="str">
        <f>IF(ISNUMBER(F2912),E2912*F2912,"")</f>
        <v/>
      </c>
      <c r="H2912" s="29"/>
      <c r="I2912" s="30"/>
      <c r="J2912" s="155">
        <v>0</v>
      </c>
    </row>
    <row r="2913" spans="1:10" ht="15.75" hidden="1" thickBot="1" x14ac:dyDescent="0.3">
      <c r="A2913" s="200"/>
      <c r="B2913" s="202"/>
      <c r="C2913" s="32"/>
      <c r="D2913" s="32"/>
      <c r="E2913" s="33"/>
      <c r="F2913" s="43" t="s">
        <v>558</v>
      </c>
      <c r="G2913" s="34" t="str">
        <f>IF(ISNUMBER(F2913),E2913*F2913,"")</f>
        <v/>
      </c>
      <c r="H2913" s="35"/>
      <c r="I2913" s="31"/>
      <c r="J2913" s="155">
        <v>0</v>
      </c>
    </row>
    <row r="2914" spans="1:10" ht="15.75" hidden="1" thickBot="1" x14ac:dyDescent="0.3">
      <c r="A2914" s="200"/>
      <c r="B2914" s="202"/>
      <c r="C2914" s="36" t="s">
        <v>68</v>
      </c>
      <c r="D2914" s="36" t="s">
        <v>12</v>
      </c>
      <c r="E2914" s="37">
        <v>0.1</v>
      </c>
      <c r="F2914" s="34">
        <v>21.080500000000001</v>
      </c>
      <c r="G2914" s="34">
        <f>IF(ISNUMBER(F2914),E2914*F2914,"")</f>
        <v>2.10805</v>
      </c>
      <c r="H2914" s="39">
        <f>SUM(G2914:G2915)</f>
        <v>2.10805</v>
      </c>
      <c r="I2914" s="40"/>
      <c r="J2914" s="155">
        <v>0</v>
      </c>
    </row>
    <row r="2915" spans="1:10" ht="39" hidden="1" thickBot="1" x14ac:dyDescent="0.3">
      <c r="A2915" s="200"/>
      <c r="B2915" s="202"/>
      <c r="C2915" s="36" t="s">
        <v>894</v>
      </c>
      <c r="D2915" s="36" t="s">
        <v>20</v>
      </c>
      <c r="E2915" s="37">
        <v>1</v>
      </c>
      <c r="F2915" s="31">
        <v>0</v>
      </c>
      <c r="G2915" s="34">
        <f>IF(ISNUMBER(F2915),E2915*F2915,"")</f>
        <v>0</v>
      </c>
      <c r="H2915" s="35"/>
      <c r="I2915" s="31"/>
      <c r="J2915" s="155">
        <v>0</v>
      </c>
    </row>
    <row r="2916" spans="1:10" ht="15.75" hidden="1" thickBot="1" x14ac:dyDescent="0.3">
      <c r="A2916" s="201"/>
      <c r="B2916" s="188"/>
      <c r="C2916" s="36"/>
      <c r="D2916" s="36"/>
      <c r="E2916" s="37"/>
      <c r="F2916" s="31" t="s">
        <v>558</v>
      </c>
      <c r="G2916" s="34" t="str">
        <f>IF(ISNUMBER(F2916),E2916*F2916,"")</f>
        <v/>
      </c>
      <c r="H2916" s="35"/>
      <c r="I2916" s="31"/>
      <c r="J2916" s="155">
        <v>0</v>
      </c>
    </row>
    <row r="2917" spans="1:10" ht="15.75" hidden="1" thickBot="1" x14ac:dyDescent="0.3">
      <c r="A2917" s="180" t="s">
        <v>895</v>
      </c>
      <c r="B2917" s="186" t="str">
        <f>INDEX(Orçamentária!A:B,MATCH(Composições!A2917,Orçamentária!A:A,0),2)</f>
        <v>Facão simples para lateral e bandeira de vidro temperado</v>
      </c>
      <c r="C2917" s="41"/>
      <c r="D2917" s="26" t="str">
        <f>TRIM(INDEX(Orçamentária!C:C,MATCH(Composições!A2917,Orçamentária!A:A,0),1))</f>
        <v>un</v>
      </c>
      <c r="E2917" s="27"/>
      <c r="F2917" s="42" t="s">
        <v>558</v>
      </c>
      <c r="G2917" s="28" t="str">
        <f>IF(ISNUMBER(F2917),E2917*F2917,"")</f>
        <v/>
      </c>
      <c r="H2917" s="29"/>
      <c r="I2917" s="30"/>
      <c r="J2917" s="155">
        <v>0</v>
      </c>
    </row>
    <row r="2918" spans="1:10" ht="15.75" hidden="1" thickBot="1" x14ac:dyDescent="0.3">
      <c r="A2918" s="200"/>
      <c r="B2918" s="202"/>
      <c r="C2918" s="32"/>
      <c r="D2918" s="32"/>
      <c r="E2918" s="33"/>
      <c r="F2918" s="43" t="s">
        <v>558</v>
      </c>
      <c r="G2918" s="34" t="str">
        <f>IF(ISNUMBER(F2918),E2918*F2918,"")</f>
        <v/>
      </c>
      <c r="H2918" s="35"/>
      <c r="I2918" s="31"/>
      <c r="J2918" s="155">
        <v>0</v>
      </c>
    </row>
    <row r="2919" spans="1:10" ht="15.75" hidden="1" thickBot="1" x14ac:dyDescent="0.3">
      <c r="A2919" s="200"/>
      <c r="B2919" s="202"/>
      <c r="C2919" s="36" t="s">
        <v>68</v>
      </c>
      <c r="D2919" s="36" t="s">
        <v>12</v>
      </c>
      <c r="E2919" s="37">
        <v>0.4</v>
      </c>
      <c r="F2919" s="34">
        <v>21.080500000000001</v>
      </c>
      <c r="G2919" s="34">
        <f>IF(ISNUMBER(F2919),E2919*F2919,"")</f>
        <v>8.4321999999999999</v>
      </c>
      <c r="H2919" s="39">
        <f>SUM(G2919:G2920)</f>
        <v>8.4321999999999999</v>
      </c>
      <c r="I2919" s="40"/>
      <c r="J2919" s="155">
        <v>0</v>
      </c>
    </row>
    <row r="2920" spans="1:10" ht="39" hidden="1" thickBot="1" x14ac:dyDescent="0.3">
      <c r="A2920" s="200"/>
      <c r="B2920" s="202"/>
      <c r="C2920" s="36" t="s">
        <v>896</v>
      </c>
      <c r="D2920" s="36" t="s">
        <v>20</v>
      </c>
      <c r="E2920" s="37">
        <v>1</v>
      </c>
      <c r="F2920" s="31">
        <v>0</v>
      </c>
      <c r="G2920" s="34">
        <f>IF(ISNUMBER(F2920),E2920*F2920,"")</f>
        <v>0</v>
      </c>
      <c r="H2920" s="35"/>
      <c r="I2920" s="31"/>
      <c r="J2920" s="155">
        <v>0</v>
      </c>
    </row>
    <row r="2921" spans="1:10" ht="15.75" hidden="1" thickBot="1" x14ac:dyDescent="0.3">
      <c r="A2921" s="201"/>
      <c r="B2921" s="188"/>
      <c r="C2921" s="36"/>
      <c r="D2921" s="36"/>
      <c r="E2921" s="37"/>
      <c r="F2921" s="31" t="s">
        <v>558</v>
      </c>
      <c r="G2921" s="34" t="str">
        <f>IF(ISNUMBER(F2921),E2921*F2921,"")</f>
        <v/>
      </c>
      <c r="H2921" s="35"/>
      <c r="I2921" s="31"/>
      <c r="J2921" s="155">
        <v>0</v>
      </c>
    </row>
    <row r="2922" spans="1:10" ht="15.75" hidden="1" thickBot="1" x14ac:dyDescent="0.3">
      <c r="A2922" s="180" t="s">
        <v>897</v>
      </c>
      <c r="B2922" s="186" t="str">
        <f>INDEX(Orçamentária!A:B,MATCH(Composições!A2922,Orçamentária!A:A,0),2)</f>
        <v>Fechadura de pressão para porta de abrir em vidro temperado</v>
      </c>
      <c r="C2922" s="41"/>
      <c r="D2922" s="26" t="str">
        <f>TRIM(INDEX(Orçamentária!C:C,MATCH(Composições!A2922,Orçamentária!A:A,0),1))</f>
        <v>un</v>
      </c>
      <c r="E2922" s="27"/>
      <c r="F2922" s="42" t="s">
        <v>558</v>
      </c>
      <c r="G2922" s="28" t="str">
        <f>IF(ISNUMBER(F2922),E2922*F2922,"")</f>
        <v/>
      </c>
      <c r="H2922" s="29"/>
      <c r="I2922" s="30"/>
      <c r="J2922" s="155">
        <v>0</v>
      </c>
    </row>
    <row r="2923" spans="1:10" ht="15.75" hidden="1" thickBot="1" x14ac:dyDescent="0.3">
      <c r="A2923" s="200"/>
      <c r="B2923" s="202"/>
      <c r="C2923" s="32"/>
      <c r="D2923" s="32"/>
      <c r="E2923" s="33"/>
      <c r="F2923" s="43" t="s">
        <v>558</v>
      </c>
      <c r="G2923" s="34" t="str">
        <f>IF(ISNUMBER(F2923),E2923*F2923,"")</f>
        <v/>
      </c>
      <c r="H2923" s="35"/>
      <c r="I2923" s="31"/>
      <c r="J2923" s="155">
        <v>0</v>
      </c>
    </row>
    <row r="2924" spans="1:10" ht="15.75" hidden="1" thickBot="1" x14ac:dyDescent="0.3">
      <c r="A2924" s="200"/>
      <c r="B2924" s="202"/>
      <c r="C2924" s="36" t="s">
        <v>68</v>
      </c>
      <c r="D2924" s="36" t="s">
        <v>12</v>
      </c>
      <c r="E2924" s="37">
        <v>0.4</v>
      </c>
      <c r="F2924" s="34">
        <v>21.080500000000001</v>
      </c>
      <c r="G2924" s="34">
        <f>IF(ISNUMBER(F2924),E2924*F2924,"")</f>
        <v>8.4321999999999999</v>
      </c>
      <c r="H2924" s="39">
        <f>SUM(G2924:G2925)</f>
        <v>8.4321999999999999</v>
      </c>
      <c r="I2924" s="40"/>
      <c r="J2924" s="155">
        <v>0</v>
      </c>
    </row>
    <row r="2925" spans="1:10" ht="39" hidden="1" thickBot="1" x14ac:dyDescent="0.3">
      <c r="A2925" s="200"/>
      <c r="B2925" s="202"/>
      <c r="C2925" s="36" t="s">
        <v>898</v>
      </c>
      <c r="D2925" s="36" t="s">
        <v>20</v>
      </c>
      <c r="E2925" s="37">
        <v>1</v>
      </c>
      <c r="F2925" s="31" t="s">
        <v>558</v>
      </c>
      <c r="G2925" s="34" t="str">
        <f>IF(ISNUMBER(F2925),E2925*F2925,"")</f>
        <v/>
      </c>
      <c r="H2925" s="35"/>
      <c r="I2925" s="31"/>
      <c r="J2925" s="155">
        <v>0</v>
      </c>
    </row>
    <row r="2926" spans="1:10" ht="15.75" hidden="1" thickBot="1" x14ac:dyDescent="0.3">
      <c r="A2926" s="201"/>
      <c r="B2926" s="188"/>
      <c r="C2926" s="36"/>
      <c r="D2926" s="36"/>
      <c r="E2926" s="37"/>
      <c r="F2926" s="31" t="s">
        <v>558</v>
      </c>
      <c r="G2926" s="34" t="str">
        <f>IF(ISNUMBER(F2926),E2926*F2926,"")</f>
        <v/>
      </c>
      <c r="H2926" s="35"/>
      <c r="I2926" s="31"/>
      <c r="J2926" s="155">
        <v>0</v>
      </c>
    </row>
    <row r="2927" spans="1:10" ht="15.75" hidden="1" thickBot="1" x14ac:dyDescent="0.3">
      <c r="A2927" s="180" t="s">
        <v>899</v>
      </c>
      <c r="B2927" s="186" t="str">
        <f>INDEX(Orçamentária!A:B,MATCH(Composições!A2927,Orçamentária!A:A,0),2)</f>
        <v>Suporte de união, com miolo, para vidro temperado</v>
      </c>
      <c r="C2927" s="41"/>
      <c r="D2927" s="26" t="str">
        <f>TRIM(INDEX(Orçamentária!C:C,MATCH(Composições!A2927,Orçamentária!A:A,0),1))</f>
        <v>un</v>
      </c>
      <c r="E2927" s="27"/>
      <c r="F2927" s="42" t="s">
        <v>558</v>
      </c>
      <c r="G2927" s="28" t="str">
        <f>IF(ISNUMBER(F2927),E2927*F2927,"")</f>
        <v/>
      </c>
      <c r="H2927" s="29"/>
      <c r="I2927" s="30"/>
      <c r="J2927" s="155">
        <v>0</v>
      </c>
    </row>
    <row r="2928" spans="1:10" ht="15.75" hidden="1" thickBot="1" x14ac:dyDescent="0.3">
      <c r="A2928" s="200"/>
      <c r="B2928" s="202"/>
      <c r="C2928" s="32"/>
      <c r="D2928" s="32"/>
      <c r="E2928" s="33"/>
      <c r="F2928" s="43" t="s">
        <v>558</v>
      </c>
      <c r="G2928" s="34" t="str">
        <f>IF(ISNUMBER(F2928),E2928*F2928,"")</f>
        <v/>
      </c>
      <c r="H2928" s="35"/>
      <c r="I2928" s="31"/>
      <c r="J2928" s="155">
        <v>0</v>
      </c>
    </row>
    <row r="2929" spans="1:10" ht="15.75" hidden="1" thickBot="1" x14ac:dyDescent="0.3">
      <c r="A2929" s="200"/>
      <c r="B2929" s="202"/>
      <c r="C2929" s="36" t="s">
        <v>68</v>
      </c>
      <c r="D2929" s="36" t="s">
        <v>12</v>
      </c>
      <c r="E2929" s="37">
        <v>0.3</v>
      </c>
      <c r="F2929" s="34">
        <v>21.080500000000001</v>
      </c>
      <c r="G2929" s="34">
        <f>IF(ISNUMBER(F2929),E2929*F2929,"")</f>
        <v>6.3241500000000004</v>
      </c>
      <c r="H2929" s="39">
        <f>SUM(G2929:G2930)</f>
        <v>6.3241500000000004</v>
      </c>
      <c r="I2929" s="40"/>
      <c r="J2929" s="155">
        <v>0</v>
      </c>
    </row>
    <row r="2930" spans="1:10" ht="26.25" hidden="1" thickBot="1" x14ac:dyDescent="0.3">
      <c r="A2930" s="200"/>
      <c r="B2930" s="202"/>
      <c r="C2930" s="36" t="s">
        <v>900</v>
      </c>
      <c r="D2930" s="36" t="s">
        <v>20</v>
      </c>
      <c r="E2930" s="37">
        <v>1</v>
      </c>
      <c r="F2930" s="31">
        <v>0</v>
      </c>
      <c r="G2930" s="34">
        <f>IF(ISNUMBER(F2930),E2930*F2930,"")</f>
        <v>0</v>
      </c>
      <c r="H2930" s="35"/>
      <c r="I2930" s="31"/>
      <c r="J2930" s="155">
        <v>0</v>
      </c>
    </row>
    <row r="2931" spans="1:10" ht="15.75" hidden="1" thickBot="1" x14ac:dyDescent="0.3">
      <c r="A2931" s="201"/>
      <c r="B2931" s="188"/>
      <c r="C2931" s="36"/>
      <c r="D2931" s="36"/>
      <c r="E2931" s="37"/>
      <c r="F2931" s="31" t="s">
        <v>558</v>
      </c>
      <c r="G2931" s="34" t="str">
        <f>IF(ISNUMBER(F2931),E2931*F2931,"")</f>
        <v/>
      </c>
      <c r="H2931" s="35"/>
      <c r="I2931" s="31"/>
      <c r="J2931" s="155">
        <v>0</v>
      </c>
    </row>
    <row r="2932" spans="1:10" ht="15.75" hidden="1" thickBot="1" x14ac:dyDescent="0.3">
      <c r="A2932" s="180" t="s">
        <v>901</v>
      </c>
      <c r="B2932" s="186" t="str">
        <f>INDEX(Orçamentária!A:B,MATCH(Composições!A2932,Orçamentária!A:A,0),2)</f>
        <v>Suporte para basculante e pivotante de vidro temperado</v>
      </c>
      <c r="C2932" s="41"/>
      <c r="D2932" s="26" t="str">
        <f>TRIM(INDEX(Orçamentária!C:C,MATCH(Composições!A2932,Orçamentária!A:A,0),1))</f>
        <v>un</v>
      </c>
      <c r="E2932" s="27"/>
      <c r="F2932" s="42" t="s">
        <v>558</v>
      </c>
      <c r="G2932" s="28" t="str">
        <f>IF(ISNUMBER(F2932),E2932*F2932,"")</f>
        <v/>
      </c>
      <c r="H2932" s="29"/>
      <c r="I2932" s="30"/>
      <c r="J2932" s="155">
        <v>0</v>
      </c>
    </row>
    <row r="2933" spans="1:10" ht="15.75" hidden="1" thickBot="1" x14ac:dyDescent="0.3">
      <c r="A2933" s="200"/>
      <c r="B2933" s="202"/>
      <c r="C2933" s="32"/>
      <c r="D2933" s="32"/>
      <c r="E2933" s="33"/>
      <c r="F2933" s="43" t="s">
        <v>558</v>
      </c>
      <c r="G2933" s="34" t="str">
        <f>IF(ISNUMBER(F2933),E2933*F2933,"")</f>
        <v/>
      </c>
      <c r="H2933" s="35"/>
      <c r="I2933" s="31"/>
      <c r="J2933" s="155">
        <v>0</v>
      </c>
    </row>
    <row r="2934" spans="1:10" ht="15.75" hidden="1" thickBot="1" x14ac:dyDescent="0.3">
      <c r="A2934" s="200"/>
      <c r="B2934" s="202"/>
      <c r="C2934" s="36" t="s">
        <v>68</v>
      </c>
      <c r="D2934" s="36" t="s">
        <v>12</v>
      </c>
      <c r="E2934" s="37">
        <v>0.2</v>
      </c>
      <c r="F2934" s="34">
        <v>21.080500000000001</v>
      </c>
      <c r="G2934" s="34">
        <f>IF(ISNUMBER(F2934),E2934*F2934,"")</f>
        <v>4.2161</v>
      </c>
      <c r="H2934" s="39">
        <f>SUM(G2934:G2935)</f>
        <v>4.2161</v>
      </c>
      <c r="I2934" s="40"/>
      <c r="J2934" s="155">
        <v>0</v>
      </c>
    </row>
    <row r="2935" spans="1:10" ht="26.25" hidden="1" thickBot="1" x14ac:dyDescent="0.3">
      <c r="A2935" s="200"/>
      <c r="B2935" s="202"/>
      <c r="C2935" s="36" t="s">
        <v>902</v>
      </c>
      <c r="D2935" s="36" t="s">
        <v>20</v>
      </c>
      <c r="E2935" s="37">
        <v>1</v>
      </c>
      <c r="F2935" s="31">
        <v>0</v>
      </c>
      <c r="G2935" s="34">
        <f>IF(ISNUMBER(F2935),E2935*F2935,"")</f>
        <v>0</v>
      </c>
      <c r="H2935" s="35"/>
      <c r="I2935" s="31"/>
      <c r="J2935" s="155">
        <v>0</v>
      </c>
    </row>
    <row r="2936" spans="1:10" ht="15.75" hidden="1" thickBot="1" x14ac:dyDescent="0.3">
      <c r="A2936" s="201"/>
      <c r="B2936" s="188"/>
      <c r="C2936" s="36"/>
      <c r="D2936" s="36"/>
      <c r="E2936" s="37"/>
      <c r="F2936" s="31" t="s">
        <v>558</v>
      </c>
      <c r="G2936" s="34" t="str">
        <f>IF(ISNUMBER(F2936),E2936*F2936,"")</f>
        <v/>
      </c>
      <c r="H2936" s="35"/>
      <c r="I2936" s="31"/>
      <c r="J2936" s="155">
        <v>0</v>
      </c>
    </row>
    <row r="2937" spans="1:10" ht="15.75" hidden="1" thickBot="1" x14ac:dyDescent="0.3">
      <c r="A2937" s="180" t="s">
        <v>903</v>
      </c>
      <c r="B2937" s="186" t="str">
        <f>INDEX(Orçamentária!A:B,MATCH(Composições!A2937,Orçamentária!A:A,0),2)</f>
        <v>Trinco central para basculante em vidro temperado</v>
      </c>
      <c r="C2937" s="41"/>
      <c r="D2937" s="26" t="str">
        <f>TRIM(INDEX(Orçamentária!C:C,MATCH(Composições!A2937,Orçamentária!A:A,0),1))</f>
        <v>un</v>
      </c>
      <c r="E2937" s="27"/>
      <c r="F2937" s="42" t="s">
        <v>558</v>
      </c>
      <c r="G2937" s="28" t="str">
        <f>IF(ISNUMBER(F2937),E2937*F2937,"")</f>
        <v/>
      </c>
      <c r="H2937" s="29"/>
      <c r="I2937" s="30"/>
      <c r="J2937" s="155">
        <v>0</v>
      </c>
    </row>
    <row r="2938" spans="1:10" ht="15.75" hidden="1" thickBot="1" x14ac:dyDescent="0.3">
      <c r="A2938" s="200"/>
      <c r="B2938" s="202"/>
      <c r="C2938" s="32"/>
      <c r="D2938" s="32"/>
      <c r="E2938" s="33"/>
      <c r="F2938" s="43" t="s">
        <v>558</v>
      </c>
      <c r="G2938" s="34" t="str">
        <f>IF(ISNUMBER(F2938),E2938*F2938,"")</f>
        <v/>
      </c>
      <c r="H2938" s="35"/>
      <c r="I2938" s="31"/>
      <c r="J2938" s="155">
        <v>0</v>
      </c>
    </row>
    <row r="2939" spans="1:10" ht="15.75" hidden="1" thickBot="1" x14ac:dyDescent="0.3">
      <c r="A2939" s="200"/>
      <c r="B2939" s="202"/>
      <c r="C2939" s="36" t="s">
        <v>68</v>
      </c>
      <c r="D2939" s="36" t="s">
        <v>12</v>
      </c>
      <c r="E2939" s="37">
        <v>0.2</v>
      </c>
      <c r="F2939" s="34">
        <v>21.080500000000001</v>
      </c>
      <c r="G2939" s="34">
        <f>IF(ISNUMBER(F2939),E2939*F2939,"")</f>
        <v>4.2161</v>
      </c>
      <c r="H2939" s="39">
        <f>SUM(G2939:G2940)</f>
        <v>4.2161</v>
      </c>
      <c r="I2939" s="40"/>
      <c r="J2939" s="155">
        <v>0</v>
      </c>
    </row>
    <row r="2940" spans="1:10" ht="26.25" hidden="1" thickBot="1" x14ac:dyDescent="0.3">
      <c r="A2940" s="200"/>
      <c r="B2940" s="202"/>
      <c r="C2940" s="36" t="s">
        <v>904</v>
      </c>
      <c r="D2940" s="47" t="s">
        <v>20</v>
      </c>
      <c r="E2940" s="37">
        <v>1</v>
      </c>
      <c r="F2940" s="31">
        <v>0</v>
      </c>
      <c r="G2940" s="34">
        <f>IF(ISNUMBER(F2940),E2940*F2940,"")</f>
        <v>0</v>
      </c>
      <c r="H2940" s="35"/>
      <c r="I2940" s="31"/>
      <c r="J2940" s="155">
        <v>0</v>
      </c>
    </row>
    <row r="2941" spans="1:10" ht="15.75" hidden="1" thickBot="1" x14ac:dyDescent="0.3">
      <c r="A2941" s="201"/>
      <c r="B2941" s="188"/>
      <c r="C2941" s="36"/>
      <c r="D2941" s="36"/>
      <c r="E2941" s="37"/>
      <c r="F2941" s="31" t="s">
        <v>558</v>
      </c>
      <c r="G2941" s="34" t="str">
        <f>IF(ISNUMBER(F2941),E2941*F2941,"")</f>
        <v/>
      </c>
      <c r="H2941" s="35"/>
      <c r="I2941" s="31"/>
      <c r="J2941" s="155">
        <v>0</v>
      </c>
    </row>
    <row r="2942" spans="1:10" ht="15.75" hidden="1" thickBot="1" x14ac:dyDescent="0.3">
      <c r="A2942" s="180" t="s">
        <v>905</v>
      </c>
      <c r="B2942" s="186" t="str">
        <f>INDEX(Orçamentária!A:B,MATCH(Composições!A2942,Orçamentária!A:A,0),2)</f>
        <v>Vidro laminado incolor de 8mm de espessura</v>
      </c>
      <c r="C2942" s="41"/>
      <c r="D2942" s="26" t="str">
        <f>TRIM(INDEX(Orçamentária!C:C,MATCH(Composições!A2942,Orçamentária!A:A,0),1))</f>
        <v>m2</v>
      </c>
      <c r="E2942" s="27"/>
      <c r="F2942" s="42" t="s">
        <v>558</v>
      </c>
      <c r="G2942" s="28" t="str">
        <f>IF(ISNUMBER(F2942),E2942*F2942,"")</f>
        <v/>
      </c>
      <c r="H2942" s="29"/>
      <c r="I2942" s="30"/>
      <c r="J2942" s="155">
        <v>0</v>
      </c>
    </row>
    <row r="2943" spans="1:10" ht="15.75" hidden="1" thickBot="1" x14ac:dyDescent="0.3">
      <c r="A2943" s="200"/>
      <c r="B2943" s="202"/>
      <c r="C2943" s="32"/>
      <c r="D2943" s="32"/>
      <c r="E2943" s="33"/>
      <c r="F2943" s="43" t="s">
        <v>558</v>
      </c>
      <c r="G2943" s="34" t="str">
        <f>IF(ISNUMBER(F2943),E2943*F2943,"")</f>
        <v/>
      </c>
      <c r="H2943" s="35"/>
      <c r="I2943" s="31"/>
      <c r="J2943" s="155">
        <v>0</v>
      </c>
    </row>
    <row r="2944" spans="1:10" ht="39" hidden="1" thickBot="1" x14ac:dyDescent="0.3">
      <c r="A2944" s="200"/>
      <c r="B2944" s="202"/>
      <c r="C2944" s="36" t="s">
        <v>3327</v>
      </c>
      <c r="D2944" s="47" t="s">
        <v>292</v>
      </c>
      <c r="E2944" s="37">
        <v>2.1960000000000002</v>
      </c>
      <c r="F2944" s="34">
        <v>0.3135</v>
      </c>
      <c r="G2944" s="34">
        <f>IF(ISNUMBER(F2944),E2944*F2944,"")</f>
        <v>0.688446</v>
      </c>
      <c r="H2944" s="39">
        <f>SUM(G2944:G2950)</f>
        <v>518.56469149999998</v>
      </c>
      <c r="I2944" s="40"/>
      <c r="J2944" s="155">
        <v>0</v>
      </c>
    </row>
    <row r="2945" spans="1:10" ht="26.25" hidden="1" thickBot="1" x14ac:dyDescent="0.3">
      <c r="A2945" s="200"/>
      <c r="B2945" s="202"/>
      <c r="C2945" s="36" t="s">
        <v>1236</v>
      </c>
      <c r="D2945" s="47" t="s">
        <v>513</v>
      </c>
      <c r="E2945" s="37">
        <v>3.4159999999999999</v>
      </c>
      <c r="F2945" s="34">
        <v>12.635</v>
      </c>
      <c r="G2945" s="34">
        <f>IF(ISNUMBER(F2945),E2945*F2945,"")</f>
        <v>43.161159999999995</v>
      </c>
      <c r="H2945" s="35"/>
      <c r="I2945" s="31"/>
      <c r="J2945" s="155">
        <v>0</v>
      </c>
    </row>
    <row r="2946" spans="1:10" ht="15.75" hidden="1" thickBot="1" x14ac:dyDescent="0.3">
      <c r="A2946" s="200"/>
      <c r="B2946" s="202"/>
      <c r="C2946" s="36" t="s">
        <v>874</v>
      </c>
      <c r="D2946" s="47" t="s">
        <v>938</v>
      </c>
      <c r="E2946" s="37">
        <v>0.96399999999999997</v>
      </c>
      <c r="F2946" s="31">
        <v>38.341999999999999</v>
      </c>
      <c r="G2946" s="34">
        <f>IF(ISNUMBER(F2946),E2946*F2946,"")</f>
        <v>36.961687999999995</v>
      </c>
      <c r="H2946" s="35"/>
      <c r="I2946" s="31"/>
      <c r="J2946" s="155">
        <v>0</v>
      </c>
    </row>
    <row r="2947" spans="1:10" ht="26.25" hidden="1" thickBot="1" x14ac:dyDescent="0.3">
      <c r="A2947" s="200"/>
      <c r="B2947" s="202"/>
      <c r="C2947" s="36" t="s">
        <v>1237</v>
      </c>
      <c r="D2947" s="47" t="s">
        <v>1034</v>
      </c>
      <c r="E2947" s="37">
        <v>1</v>
      </c>
      <c r="F2947" s="31">
        <v>369.83499999999998</v>
      </c>
      <c r="G2947" s="34">
        <f>IF(ISNUMBER(F2947),E2947*F2947,"")</f>
        <v>369.83499999999998</v>
      </c>
      <c r="H2947" s="35"/>
      <c r="I2947" s="31"/>
      <c r="J2947" s="155">
        <v>0</v>
      </c>
    </row>
    <row r="2948" spans="1:10" ht="26.25" hidden="1" thickBot="1" x14ac:dyDescent="0.3">
      <c r="A2948" s="200"/>
      <c r="B2948" s="202"/>
      <c r="C2948" s="36" t="s">
        <v>3402</v>
      </c>
      <c r="D2948" s="47" t="s">
        <v>513</v>
      </c>
      <c r="E2948" s="37">
        <v>2.992</v>
      </c>
      <c r="F2948" s="31">
        <v>1.9094999999999998</v>
      </c>
      <c r="G2948" s="34">
        <f>IF(ISNUMBER(F2948),E2948*F2948,"")</f>
        <v>5.7132239999999994</v>
      </c>
      <c r="H2948" s="35"/>
      <c r="I2948" s="31"/>
      <c r="J2948" s="155">
        <v>0</v>
      </c>
    </row>
    <row r="2949" spans="1:10" ht="15.75" hidden="1" thickBot="1" x14ac:dyDescent="0.3">
      <c r="A2949" s="200"/>
      <c r="B2949" s="202"/>
      <c r="C2949" s="36" t="s">
        <v>743</v>
      </c>
      <c r="D2949" s="47" t="s">
        <v>742</v>
      </c>
      <c r="E2949" s="37">
        <v>1.619</v>
      </c>
      <c r="F2949" s="31">
        <v>16.729499999999998</v>
      </c>
      <c r="G2949" s="34">
        <f>IF(ISNUMBER(F2949),E2949*F2949,"")</f>
        <v>27.085060499999997</v>
      </c>
      <c r="H2949" s="35"/>
      <c r="I2949" s="31"/>
      <c r="J2949" s="155">
        <v>0</v>
      </c>
    </row>
    <row r="2950" spans="1:10" ht="15.75" hidden="1" thickBot="1" x14ac:dyDescent="0.3">
      <c r="A2950" s="200"/>
      <c r="B2950" s="202"/>
      <c r="C2950" s="36" t="s">
        <v>3313</v>
      </c>
      <c r="D2950" s="47" t="s">
        <v>742</v>
      </c>
      <c r="E2950" s="37">
        <v>1.6659999999999999</v>
      </c>
      <c r="F2950" s="31">
        <v>21.080500000000001</v>
      </c>
      <c r="G2950" s="34">
        <f>IF(ISNUMBER(F2950),E2950*F2950,"")</f>
        <v>35.120112999999996</v>
      </c>
      <c r="H2950" s="35"/>
      <c r="I2950" s="31"/>
      <c r="J2950" s="155">
        <v>0</v>
      </c>
    </row>
    <row r="2951" spans="1:10" ht="15.75" hidden="1" thickBot="1" x14ac:dyDescent="0.3">
      <c r="A2951" s="201"/>
      <c r="B2951" s="188"/>
      <c r="C2951" s="36"/>
      <c r="D2951" s="36"/>
      <c r="E2951" s="37"/>
      <c r="F2951" s="31" t="s">
        <v>558</v>
      </c>
      <c r="G2951" s="34" t="str">
        <f>IF(ISNUMBER(F2951),E2951*F2951,"")</f>
        <v/>
      </c>
      <c r="H2951" s="35"/>
      <c r="I2951" s="31"/>
      <c r="J2951" s="155">
        <v>0</v>
      </c>
    </row>
    <row r="2952" spans="1:10" ht="15.75" hidden="1" thickBot="1" x14ac:dyDescent="0.3">
      <c r="A2952" s="180" t="s">
        <v>907</v>
      </c>
      <c r="B2952" s="186" t="str">
        <f>INDEX(Orçamentária!A:B,MATCH(Composições!A2952,Orçamentária!A:A,0),2)</f>
        <v>Dobradiça automática vidro/alvenaria para box de vidro temperado</v>
      </c>
      <c r="C2952" s="41"/>
      <c r="D2952" s="26" t="str">
        <f>TRIM(INDEX(Orçamentária!C:C,MATCH(Composições!A2952,Orçamentária!A:A,0),1))</f>
        <v>un</v>
      </c>
      <c r="E2952" s="27"/>
      <c r="F2952" s="42" t="s">
        <v>558</v>
      </c>
      <c r="G2952" s="28" t="str">
        <f>IF(ISNUMBER(F2952),E2952*F2952,"")</f>
        <v/>
      </c>
      <c r="H2952" s="29"/>
      <c r="I2952" s="30"/>
      <c r="J2952" s="155">
        <v>0</v>
      </c>
    </row>
    <row r="2953" spans="1:10" ht="15.75" hidden="1" thickBot="1" x14ac:dyDescent="0.3">
      <c r="A2953" s="200"/>
      <c r="B2953" s="202"/>
      <c r="C2953" s="32"/>
      <c r="D2953" s="32"/>
      <c r="E2953" s="33"/>
      <c r="F2953" s="43" t="s">
        <v>558</v>
      </c>
      <c r="G2953" s="34" t="str">
        <f>IF(ISNUMBER(F2953),E2953*F2953,"")</f>
        <v/>
      </c>
      <c r="H2953" s="35"/>
      <c r="I2953" s="31"/>
      <c r="J2953" s="155">
        <v>0</v>
      </c>
    </row>
    <row r="2954" spans="1:10" ht="15.75" hidden="1" thickBot="1" x14ac:dyDescent="0.3">
      <c r="A2954" s="200"/>
      <c r="B2954" s="202"/>
      <c r="C2954" s="36" t="s">
        <v>68</v>
      </c>
      <c r="D2954" s="36" t="s">
        <v>12</v>
      </c>
      <c r="E2954" s="37">
        <v>0.2</v>
      </c>
      <c r="F2954" s="34">
        <v>21.080500000000001</v>
      </c>
      <c r="G2954" s="34">
        <f>IF(ISNUMBER(F2954),E2954*F2954,"")</f>
        <v>4.2161</v>
      </c>
      <c r="H2954" s="39">
        <f>SUM(G2954:G2955)</f>
        <v>4.2161</v>
      </c>
      <c r="I2954" s="40"/>
      <c r="J2954" s="155">
        <v>0</v>
      </c>
    </row>
    <row r="2955" spans="1:10" ht="26.25" hidden="1" thickBot="1" x14ac:dyDescent="0.3">
      <c r="A2955" s="200"/>
      <c r="B2955" s="202"/>
      <c r="C2955" s="36" t="s">
        <v>908</v>
      </c>
      <c r="D2955" s="36" t="s">
        <v>20</v>
      </c>
      <c r="E2955" s="37">
        <v>1</v>
      </c>
      <c r="F2955" s="31" t="s">
        <v>558</v>
      </c>
      <c r="G2955" s="34" t="str">
        <f>IF(ISNUMBER(F2955),E2955*F2955,"")</f>
        <v/>
      </c>
      <c r="H2955" s="35"/>
      <c r="I2955" s="31"/>
      <c r="J2955" s="155">
        <v>0</v>
      </c>
    </row>
    <row r="2956" spans="1:10" ht="15.75" hidden="1" thickBot="1" x14ac:dyDescent="0.3">
      <c r="A2956" s="201"/>
      <c r="B2956" s="188"/>
      <c r="C2956" s="36"/>
      <c r="D2956" s="36"/>
      <c r="E2956" s="37"/>
      <c r="F2956" s="31" t="s">
        <v>558</v>
      </c>
      <c r="G2956" s="34" t="str">
        <f>IF(ISNUMBER(F2956),E2956*F2956,"")</f>
        <v/>
      </c>
      <c r="H2956" s="35"/>
      <c r="I2956" s="31"/>
      <c r="J2956" s="155">
        <v>0</v>
      </c>
    </row>
    <row r="2957" spans="1:10" ht="15.75" hidden="1" thickBot="1" x14ac:dyDescent="0.3">
      <c r="A2957" s="180" t="s">
        <v>909</v>
      </c>
      <c r="B2957" s="186" t="str">
        <f>INDEX(Orçamentária!A:B,MATCH(Composições!A2957,Orçamentária!A:A,0),2)</f>
        <v>Dobradiça horizontal para vidro basculante com trinco</v>
      </c>
      <c r="C2957" s="41"/>
      <c r="D2957" s="26" t="str">
        <f>TRIM(INDEX(Orçamentária!C:C,MATCH(Composições!A2957,Orçamentária!A:A,0),1))</f>
        <v>un</v>
      </c>
      <c r="E2957" s="27"/>
      <c r="F2957" s="42" t="s">
        <v>558</v>
      </c>
      <c r="G2957" s="28" t="str">
        <f>IF(ISNUMBER(F2957),E2957*F2957,"")</f>
        <v/>
      </c>
      <c r="H2957" s="29"/>
      <c r="I2957" s="30"/>
      <c r="J2957" s="155">
        <v>0</v>
      </c>
    </row>
    <row r="2958" spans="1:10" ht="15.75" hidden="1" thickBot="1" x14ac:dyDescent="0.3">
      <c r="A2958" s="200"/>
      <c r="B2958" s="202"/>
      <c r="C2958" s="32"/>
      <c r="D2958" s="32"/>
      <c r="E2958" s="33"/>
      <c r="F2958" s="43" t="s">
        <v>558</v>
      </c>
      <c r="G2958" s="34" t="str">
        <f>IF(ISNUMBER(F2958),E2958*F2958,"")</f>
        <v/>
      </c>
      <c r="H2958" s="35"/>
      <c r="I2958" s="31"/>
      <c r="J2958" s="155">
        <v>0</v>
      </c>
    </row>
    <row r="2959" spans="1:10" ht="15.75" hidden="1" thickBot="1" x14ac:dyDescent="0.3">
      <c r="A2959" s="200"/>
      <c r="B2959" s="202"/>
      <c r="C2959" s="36" t="s">
        <v>68</v>
      </c>
      <c r="D2959" s="36" t="s">
        <v>12</v>
      </c>
      <c r="E2959" s="37">
        <v>0.2</v>
      </c>
      <c r="F2959" s="34">
        <v>21.080500000000001</v>
      </c>
      <c r="G2959" s="34">
        <f>IF(ISNUMBER(F2959),E2959*F2959,"")</f>
        <v>4.2161</v>
      </c>
      <c r="H2959" s="39">
        <f>SUM(G2959:G2960)</f>
        <v>4.2161</v>
      </c>
      <c r="I2959" s="40"/>
      <c r="J2959" s="155">
        <v>0</v>
      </c>
    </row>
    <row r="2960" spans="1:10" ht="39" hidden="1" thickBot="1" x14ac:dyDescent="0.3">
      <c r="A2960" s="200"/>
      <c r="B2960" s="202"/>
      <c r="C2960" s="36" t="s">
        <v>910</v>
      </c>
      <c r="D2960" s="36" t="s">
        <v>20</v>
      </c>
      <c r="E2960" s="37">
        <v>1</v>
      </c>
      <c r="F2960" s="31" t="s">
        <v>558</v>
      </c>
      <c r="G2960" s="34" t="str">
        <f>IF(ISNUMBER(F2960),E2960*F2960,"")</f>
        <v/>
      </c>
      <c r="H2960" s="35"/>
      <c r="I2960" s="31"/>
      <c r="J2960" s="155">
        <v>0</v>
      </c>
    </row>
    <row r="2961" spans="1:10" ht="15.75" hidden="1" thickBot="1" x14ac:dyDescent="0.3">
      <c r="A2961" s="201"/>
      <c r="B2961" s="188"/>
      <c r="C2961" s="36"/>
      <c r="D2961" s="36"/>
      <c r="E2961" s="37"/>
      <c r="F2961" s="31" t="s">
        <v>558</v>
      </c>
      <c r="G2961" s="34" t="str">
        <f>IF(ISNUMBER(F2961),E2961*F2961,"")</f>
        <v/>
      </c>
      <c r="H2961" s="35"/>
      <c r="I2961" s="31"/>
      <c r="J2961" s="155">
        <v>0</v>
      </c>
    </row>
    <row r="2962" spans="1:10" ht="15.75" hidden="1" thickBot="1" x14ac:dyDescent="0.3">
      <c r="A2962" s="180" t="s">
        <v>911</v>
      </c>
      <c r="B2962" s="186" t="str">
        <f>INDEX(Orçamentária!A:B,MATCH(Composições!A2962,Orçamentária!A:A,0),2)</f>
        <v>Dobradiça horizontal para vidro basculante</v>
      </c>
      <c r="C2962" s="41"/>
      <c r="D2962" s="26" t="str">
        <f>TRIM(INDEX(Orçamentária!C:C,MATCH(Composições!A2962,Orçamentária!A:A,0),1))</f>
        <v>un</v>
      </c>
      <c r="E2962" s="27"/>
      <c r="F2962" s="42" t="s">
        <v>558</v>
      </c>
      <c r="G2962" s="28" t="str">
        <f>IF(ISNUMBER(F2962),E2962*F2962,"")</f>
        <v/>
      </c>
      <c r="H2962" s="29"/>
      <c r="I2962" s="30"/>
      <c r="J2962" s="155">
        <v>0</v>
      </c>
    </row>
    <row r="2963" spans="1:10" ht="15.75" hidden="1" thickBot="1" x14ac:dyDescent="0.3">
      <c r="A2963" s="200"/>
      <c r="B2963" s="202"/>
      <c r="C2963" s="32"/>
      <c r="D2963" s="32"/>
      <c r="E2963" s="33"/>
      <c r="F2963" s="43" t="s">
        <v>558</v>
      </c>
      <c r="G2963" s="34" t="str">
        <f>IF(ISNUMBER(F2963),E2963*F2963,"")</f>
        <v/>
      </c>
      <c r="H2963" s="35"/>
      <c r="I2963" s="31"/>
      <c r="J2963" s="155">
        <v>0</v>
      </c>
    </row>
    <row r="2964" spans="1:10" ht="15.75" hidden="1" thickBot="1" x14ac:dyDescent="0.3">
      <c r="A2964" s="200"/>
      <c r="B2964" s="202"/>
      <c r="C2964" s="36" t="s">
        <v>68</v>
      </c>
      <c r="D2964" s="36" t="s">
        <v>12</v>
      </c>
      <c r="E2964" s="37">
        <v>0.2</v>
      </c>
      <c r="F2964" s="34">
        <v>21.080500000000001</v>
      </c>
      <c r="G2964" s="34">
        <f>IF(ISNUMBER(F2964),E2964*F2964,"")</f>
        <v>4.2161</v>
      </c>
      <c r="H2964" s="39">
        <f>SUM(G2964:G2965)</f>
        <v>4.2161</v>
      </c>
      <c r="I2964" s="40"/>
      <c r="J2964" s="155">
        <v>0</v>
      </c>
    </row>
    <row r="2965" spans="1:10" ht="26.25" hidden="1" thickBot="1" x14ac:dyDescent="0.3">
      <c r="A2965" s="200"/>
      <c r="B2965" s="202"/>
      <c r="C2965" s="36" t="s">
        <v>912</v>
      </c>
      <c r="D2965" s="36" t="s">
        <v>20</v>
      </c>
      <c r="E2965" s="37">
        <v>1</v>
      </c>
      <c r="F2965" s="31" t="s">
        <v>558</v>
      </c>
      <c r="G2965" s="34" t="str">
        <f>IF(ISNUMBER(F2965),E2965*F2965,"")</f>
        <v/>
      </c>
      <c r="H2965" s="35"/>
      <c r="I2965" s="31"/>
      <c r="J2965" s="155">
        <v>0</v>
      </c>
    </row>
    <row r="2966" spans="1:10" ht="15.75" hidden="1" thickBot="1" x14ac:dyDescent="0.3">
      <c r="A2966" s="201"/>
      <c r="B2966" s="188"/>
      <c r="C2966" s="36"/>
      <c r="D2966" s="36"/>
      <c r="E2966" s="37"/>
      <c r="F2966" s="31" t="s">
        <v>558</v>
      </c>
      <c r="G2966" s="34" t="str">
        <f>IF(ISNUMBER(F2966),E2966*F2966,"")</f>
        <v/>
      </c>
      <c r="H2966" s="35"/>
      <c r="I2966" s="31"/>
      <c r="J2966" s="155">
        <v>0</v>
      </c>
    </row>
    <row r="2967" spans="1:10" ht="15.75" hidden="1" thickBot="1" x14ac:dyDescent="0.3">
      <c r="A2967" s="180" t="s">
        <v>913</v>
      </c>
      <c r="B2967" s="186" t="str">
        <f>INDEX(Orçamentária!A:B,MATCH(Composições!A2967,Orçamentária!A:A,0),2)</f>
        <v>Fechadura elétrica para porta de vidro temperado</v>
      </c>
      <c r="C2967" s="41"/>
      <c r="D2967" s="26" t="str">
        <f>TRIM(INDEX(Orçamentária!C:C,MATCH(Composições!A2967,Orçamentária!A:A,0),1))</f>
        <v>un</v>
      </c>
      <c r="E2967" s="27"/>
      <c r="F2967" s="42" t="s">
        <v>558</v>
      </c>
      <c r="G2967" s="28" t="str">
        <f>IF(ISNUMBER(F2967),E2967*F2967,"")</f>
        <v/>
      </c>
      <c r="H2967" s="29"/>
      <c r="I2967" s="30"/>
      <c r="J2967" s="155">
        <v>0</v>
      </c>
    </row>
    <row r="2968" spans="1:10" ht="15.75" hidden="1" thickBot="1" x14ac:dyDescent="0.3">
      <c r="A2968" s="200"/>
      <c r="B2968" s="202"/>
      <c r="C2968" s="32"/>
      <c r="D2968" s="32"/>
      <c r="E2968" s="33"/>
      <c r="F2968" s="43" t="s">
        <v>558</v>
      </c>
      <c r="G2968" s="34" t="str">
        <f>IF(ISNUMBER(F2968),E2968*F2968,"")</f>
        <v/>
      </c>
      <c r="H2968" s="35"/>
      <c r="I2968" s="31"/>
      <c r="J2968" s="155">
        <v>0</v>
      </c>
    </row>
    <row r="2969" spans="1:10" ht="15.75" hidden="1" thickBot="1" x14ac:dyDescent="0.3">
      <c r="A2969" s="200"/>
      <c r="B2969" s="202"/>
      <c r="C2969" s="36" t="s">
        <v>68</v>
      </c>
      <c r="D2969" s="36" t="s">
        <v>12</v>
      </c>
      <c r="E2969" s="37">
        <v>1.5</v>
      </c>
      <c r="F2969" s="34">
        <v>21.080500000000001</v>
      </c>
      <c r="G2969" s="34">
        <f>IF(ISNUMBER(F2969),E2969*F2969,"")</f>
        <v>31.620750000000001</v>
      </c>
      <c r="H2969" s="39">
        <f>SUM(G2969:G2970)</f>
        <v>31.620750000000001</v>
      </c>
      <c r="I2969" s="40"/>
      <c r="J2969" s="155">
        <v>0</v>
      </c>
    </row>
    <row r="2970" spans="1:10" ht="51.75" hidden="1" thickBot="1" x14ac:dyDescent="0.3">
      <c r="A2970" s="200"/>
      <c r="B2970" s="202"/>
      <c r="C2970" s="150" t="s">
        <v>914</v>
      </c>
      <c r="D2970" s="36" t="s">
        <v>20</v>
      </c>
      <c r="E2970" s="37">
        <v>1</v>
      </c>
      <c r="F2970" s="31" t="s">
        <v>558</v>
      </c>
      <c r="G2970" s="34" t="str">
        <f>IF(ISNUMBER(F2970),E2970*F2970,"")</f>
        <v/>
      </c>
      <c r="H2970" s="35"/>
      <c r="I2970" s="31"/>
      <c r="J2970" s="155">
        <v>0</v>
      </c>
    </row>
    <row r="2971" spans="1:10" ht="15.75" hidden="1" thickBot="1" x14ac:dyDescent="0.3">
      <c r="A2971" s="201"/>
      <c r="B2971" s="188"/>
      <c r="C2971" s="36"/>
      <c r="D2971" s="36"/>
      <c r="E2971" s="37"/>
      <c r="F2971" s="31" t="s">
        <v>558</v>
      </c>
      <c r="G2971" s="34" t="str">
        <f>IF(ISNUMBER(F2971),E2971*F2971,"")</f>
        <v/>
      </c>
      <c r="H2971" s="35"/>
      <c r="I2971" s="31"/>
      <c r="J2971" s="155">
        <v>0</v>
      </c>
    </row>
    <row r="2972" spans="1:10" ht="15.75" hidden="1" thickBot="1" x14ac:dyDescent="0.3">
      <c r="A2972" s="180" t="s">
        <v>915</v>
      </c>
      <c r="B2972" s="186" t="str">
        <f>INDEX(Orçamentária!A:B,MATCH(Composições!A2972,Orçamentária!A:A,0),2)</f>
        <v>Porteiro eletrônico</v>
      </c>
      <c r="C2972" s="41"/>
      <c r="D2972" s="26" t="str">
        <f>TRIM(INDEX(Orçamentária!C:C,MATCH(Composições!A2972,Orçamentária!A:A,0),1))</f>
        <v>un</v>
      </c>
      <c r="E2972" s="27"/>
      <c r="F2972" s="42" t="s">
        <v>558</v>
      </c>
      <c r="G2972" s="28" t="str">
        <f>IF(ISNUMBER(F2972),E2972*F2972,"")</f>
        <v/>
      </c>
      <c r="H2972" s="29"/>
      <c r="I2972" s="30"/>
      <c r="J2972" s="155">
        <v>0</v>
      </c>
    </row>
    <row r="2973" spans="1:10" ht="15.75" hidden="1" thickBot="1" x14ac:dyDescent="0.3">
      <c r="A2973" s="200"/>
      <c r="B2973" s="202"/>
      <c r="C2973" s="32"/>
      <c r="D2973" s="32"/>
      <c r="E2973" s="33"/>
      <c r="F2973" s="43" t="s">
        <v>558</v>
      </c>
      <c r="G2973" s="34" t="str">
        <f>IF(ISNUMBER(F2973),E2973*F2973,"")</f>
        <v/>
      </c>
      <c r="H2973" s="35"/>
      <c r="I2973" s="31"/>
      <c r="J2973" s="155">
        <v>0</v>
      </c>
    </row>
    <row r="2974" spans="1:10" ht="15.75" hidden="1" thickBot="1" x14ac:dyDescent="0.3">
      <c r="A2974" s="200"/>
      <c r="B2974" s="202"/>
      <c r="C2974" s="36" t="s">
        <v>68</v>
      </c>
      <c r="D2974" s="36" t="s">
        <v>12</v>
      </c>
      <c r="E2974" s="37">
        <v>1.5</v>
      </c>
      <c r="F2974" s="34">
        <v>21.080500000000001</v>
      </c>
      <c r="G2974" s="34">
        <f>IF(ISNUMBER(F2974),E2974*F2974,"")</f>
        <v>31.620750000000001</v>
      </c>
      <c r="H2974" s="39">
        <f>SUM(G2974:G2975)</f>
        <v>31.620750000000001</v>
      </c>
      <c r="I2974" s="40"/>
      <c r="J2974" s="155">
        <v>0</v>
      </c>
    </row>
    <row r="2975" spans="1:10" ht="15.75" hidden="1" thickBot="1" x14ac:dyDescent="0.3">
      <c r="A2975" s="200"/>
      <c r="B2975" s="202"/>
      <c r="C2975" s="36" t="s">
        <v>916</v>
      </c>
      <c r="D2975" s="36" t="s">
        <v>20</v>
      </c>
      <c r="E2975" s="37">
        <v>1</v>
      </c>
      <c r="F2975" s="31" t="s">
        <v>558</v>
      </c>
      <c r="G2975" s="34" t="str">
        <f>IF(ISNUMBER(F2975),E2975*F2975,"")</f>
        <v/>
      </c>
      <c r="H2975" s="35"/>
      <c r="I2975" s="31"/>
      <c r="J2975" s="155">
        <v>0</v>
      </c>
    </row>
    <row r="2976" spans="1:10" ht="15.75" hidden="1" thickBot="1" x14ac:dyDescent="0.3">
      <c r="A2976" s="201"/>
      <c r="B2976" s="188"/>
      <c r="C2976" s="36"/>
      <c r="D2976" s="36"/>
      <c r="E2976" s="37"/>
      <c r="F2976" s="31" t="s">
        <v>558</v>
      </c>
      <c r="G2976" s="34" t="str">
        <f>IF(ISNUMBER(F2976),E2976*F2976,"")</f>
        <v/>
      </c>
      <c r="H2976" s="35"/>
      <c r="I2976" s="31"/>
      <c r="J2976" s="155">
        <v>0</v>
      </c>
    </row>
    <row r="2977" spans="1:10" ht="15.75" hidden="1" thickBot="1" x14ac:dyDescent="0.3">
      <c r="A2977" s="180" t="s">
        <v>917</v>
      </c>
      <c r="B2977" s="186" t="str">
        <f>INDEX(Orçamentária!A:B,MATCH(Composições!A2977,Orçamentária!A:A,0),2)</f>
        <v>Acionador fixo</v>
      </c>
      <c r="C2977" s="41"/>
      <c r="D2977" s="26" t="str">
        <f>TRIM(INDEX(Orçamentária!C:C,MATCH(Composições!A2977,Orçamentária!A:A,0),1))</f>
        <v>un</v>
      </c>
      <c r="E2977" s="27"/>
      <c r="F2977" s="42" t="s">
        <v>558</v>
      </c>
      <c r="G2977" s="28" t="str">
        <f>IF(ISNUMBER(F2977),E2977*F2977,"")</f>
        <v/>
      </c>
      <c r="H2977" s="29"/>
      <c r="I2977" s="30"/>
      <c r="J2977" s="155">
        <v>0</v>
      </c>
    </row>
    <row r="2978" spans="1:10" ht="15.75" hidden="1" thickBot="1" x14ac:dyDescent="0.3">
      <c r="A2978" s="200"/>
      <c r="B2978" s="202"/>
      <c r="C2978" s="32"/>
      <c r="D2978" s="32"/>
      <c r="E2978" s="33"/>
      <c r="F2978" s="43" t="s">
        <v>558</v>
      </c>
      <c r="G2978" s="34" t="str">
        <f>IF(ISNUMBER(F2978),E2978*F2978,"")</f>
        <v/>
      </c>
      <c r="H2978" s="35"/>
      <c r="I2978" s="31"/>
      <c r="J2978" s="155">
        <v>0</v>
      </c>
    </row>
    <row r="2979" spans="1:10" ht="15.75" hidden="1" thickBot="1" x14ac:dyDescent="0.3">
      <c r="A2979" s="200"/>
      <c r="B2979" s="202"/>
      <c r="C2979" s="36" t="s">
        <v>68</v>
      </c>
      <c r="D2979" s="36" t="s">
        <v>12</v>
      </c>
      <c r="E2979" s="37">
        <v>1</v>
      </c>
      <c r="F2979" s="34">
        <v>21.080500000000001</v>
      </c>
      <c r="G2979" s="34">
        <f>IF(ISNUMBER(F2979),E2979*F2979,"")</f>
        <v>21.080500000000001</v>
      </c>
      <c r="H2979" s="39">
        <f>SUM(G2979:G2980)</f>
        <v>21.080500000000001</v>
      </c>
      <c r="I2979" s="40"/>
      <c r="J2979" s="155">
        <v>0</v>
      </c>
    </row>
    <row r="2980" spans="1:10" ht="26.25" hidden="1" thickBot="1" x14ac:dyDescent="0.3">
      <c r="A2980" s="200"/>
      <c r="B2980" s="202"/>
      <c r="C2980" s="36" t="s">
        <v>918</v>
      </c>
      <c r="D2980" s="36" t="s">
        <v>20</v>
      </c>
      <c r="E2980" s="37">
        <v>1</v>
      </c>
      <c r="F2980" s="31" t="s">
        <v>558</v>
      </c>
      <c r="G2980" s="34" t="str">
        <f>IF(ISNUMBER(F2980),E2980*F2980,"")</f>
        <v/>
      </c>
      <c r="H2980" s="35"/>
      <c r="I2980" s="31"/>
      <c r="J2980" s="155">
        <v>0</v>
      </c>
    </row>
    <row r="2981" spans="1:10" ht="15.75" hidden="1" thickBot="1" x14ac:dyDescent="0.3">
      <c r="A2981" s="201"/>
      <c r="B2981" s="188"/>
      <c r="C2981" s="36"/>
      <c r="D2981" s="36"/>
      <c r="E2981" s="37"/>
      <c r="F2981" s="31" t="s">
        <v>558</v>
      </c>
      <c r="G2981" s="34" t="str">
        <f>IF(ISNUMBER(F2981),E2981*F2981,"")</f>
        <v/>
      </c>
      <c r="H2981" s="35"/>
      <c r="I2981" s="31"/>
      <c r="J2981" s="155">
        <v>0</v>
      </c>
    </row>
    <row r="2982" spans="1:10" ht="15.75" hidden="1" thickBot="1" x14ac:dyDescent="0.3">
      <c r="A2982" s="180" t="s">
        <v>919</v>
      </c>
      <c r="B2982" s="186" t="str">
        <f>INDEX(Orçamentária!A:B,MATCH(Composições!A2982,Orçamentária!A:A,0),2)</f>
        <v>Mini chapinha para trinco basculante</v>
      </c>
      <c r="C2982" s="41"/>
      <c r="D2982" s="26" t="str">
        <f>TRIM(INDEX(Orçamentária!C:C,MATCH(Composições!A2982,Orçamentária!A:A,0),1))</f>
        <v>un</v>
      </c>
      <c r="E2982" s="27"/>
      <c r="F2982" s="42" t="s">
        <v>558</v>
      </c>
      <c r="G2982" s="28" t="str">
        <f>IF(ISNUMBER(F2982),E2982*F2982,"")</f>
        <v/>
      </c>
      <c r="H2982" s="29"/>
      <c r="I2982" s="30"/>
      <c r="J2982" s="155">
        <v>0</v>
      </c>
    </row>
    <row r="2983" spans="1:10" ht="15.75" hidden="1" thickBot="1" x14ac:dyDescent="0.3">
      <c r="A2983" s="200"/>
      <c r="B2983" s="202"/>
      <c r="C2983" s="32"/>
      <c r="D2983" s="32"/>
      <c r="E2983" s="33"/>
      <c r="F2983" s="43" t="s">
        <v>558</v>
      </c>
      <c r="G2983" s="34" t="str">
        <f>IF(ISNUMBER(F2983),E2983*F2983,"")</f>
        <v/>
      </c>
      <c r="H2983" s="35"/>
      <c r="I2983" s="31"/>
      <c r="J2983" s="155">
        <v>0</v>
      </c>
    </row>
    <row r="2984" spans="1:10" ht="15.75" hidden="1" thickBot="1" x14ac:dyDescent="0.3">
      <c r="A2984" s="200"/>
      <c r="B2984" s="202"/>
      <c r="C2984" s="36" t="s">
        <v>68</v>
      </c>
      <c r="D2984" s="36" t="s">
        <v>12</v>
      </c>
      <c r="E2984" s="37">
        <v>0.1</v>
      </c>
      <c r="F2984" s="34">
        <v>21.080500000000001</v>
      </c>
      <c r="G2984" s="34">
        <f>IF(ISNUMBER(F2984),E2984*F2984,"")</f>
        <v>2.10805</v>
      </c>
      <c r="H2984" s="39">
        <f>SUM(G2984:G2985)</f>
        <v>2.10805</v>
      </c>
      <c r="I2984" s="40"/>
      <c r="J2984" s="155">
        <v>0</v>
      </c>
    </row>
    <row r="2985" spans="1:10" ht="26.25" hidden="1" thickBot="1" x14ac:dyDescent="0.3">
      <c r="A2985" s="200"/>
      <c r="B2985" s="202"/>
      <c r="C2985" s="36" t="s">
        <v>920</v>
      </c>
      <c r="D2985" s="36" t="s">
        <v>20</v>
      </c>
      <c r="E2985" s="37">
        <v>1</v>
      </c>
      <c r="F2985" s="31" t="s">
        <v>558</v>
      </c>
      <c r="G2985" s="34" t="str">
        <f>IF(ISNUMBER(F2985),E2985*F2985,"")</f>
        <v/>
      </c>
      <c r="H2985" s="35"/>
      <c r="I2985" s="31"/>
      <c r="J2985" s="155">
        <v>0</v>
      </c>
    </row>
    <row r="2986" spans="1:10" ht="15.75" hidden="1" thickBot="1" x14ac:dyDescent="0.3">
      <c r="A2986" s="201"/>
      <c r="B2986" s="188"/>
      <c r="C2986" s="36"/>
      <c r="D2986" s="36"/>
      <c r="E2986" s="37"/>
      <c r="F2986" s="31" t="s">
        <v>558</v>
      </c>
      <c r="G2986" s="34" t="str">
        <f>IF(ISNUMBER(F2986),E2986*F2986,"")</f>
        <v/>
      </c>
      <c r="H2986" s="35"/>
      <c r="I2986" s="31"/>
      <c r="J2986" s="155">
        <v>0</v>
      </c>
    </row>
    <row r="2987" spans="1:10" ht="15.75" hidden="1" thickBot="1" x14ac:dyDescent="0.3">
      <c r="A2987" s="180" t="s">
        <v>921</v>
      </c>
      <c r="B2987" s="186" t="str">
        <f>INDEX(Orçamentária!A:B,MATCH(Composições!A2987,Orçamentária!A:A,0),2)</f>
        <v>Puxador metálico - diâmetro de 22mm a 25mm</v>
      </c>
      <c r="C2987" s="41"/>
      <c r="D2987" s="26" t="str">
        <f>TRIM(INDEX(Orçamentária!C:C,MATCH(Composições!A2987,Orçamentária!A:A,0),1))</f>
        <v>un</v>
      </c>
      <c r="E2987" s="27"/>
      <c r="F2987" s="42" t="s">
        <v>558</v>
      </c>
      <c r="G2987" s="28" t="str">
        <f>IF(ISNUMBER(F2987),E2987*F2987,"")</f>
        <v/>
      </c>
      <c r="H2987" s="29"/>
      <c r="I2987" s="30"/>
      <c r="J2987" s="155">
        <v>0</v>
      </c>
    </row>
    <row r="2988" spans="1:10" ht="15.75" hidden="1" thickBot="1" x14ac:dyDescent="0.3">
      <c r="A2988" s="200"/>
      <c r="B2988" s="202"/>
      <c r="C2988" s="32"/>
      <c r="D2988" s="32"/>
      <c r="E2988" s="33"/>
      <c r="F2988" s="43" t="s">
        <v>558</v>
      </c>
      <c r="G2988" s="34" t="str">
        <f>IF(ISNUMBER(F2988),E2988*F2988,"")</f>
        <v/>
      </c>
      <c r="H2988" s="35"/>
      <c r="I2988" s="31"/>
      <c r="J2988" s="155">
        <v>0</v>
      </c>
    </row>
    <row r="2989" spans="1:10" ht="15.75" hidden="1" thickBot="1" x14ac:dyDescent="0.3">
      <c r="A2989" s="200"/>
      <c r="B2989" s="202"/>
      <c r="C2989" s="36" t="s">
        <v>68</v>
      </c>
      <c r="D2989" s="36" t="s">
        <v>12</v>
      </c>
      <c r="E2989" s="37">
        <v>0.2</v>
      </c>
      <c r="F2989" s="34">
        <v>21.080500000000001</v>
      </c>
      <c r="G2989" s="34">
        <f>IF(ISNUMBER(F2989),E2989*F2989,"")</f>
        <v>4.2161</v>
      </c>
      <c r="H2989" s="39">
        <f>SUM(G2989:G2990)</f>
        <v>4.2161</v>
      </c>
      <c r="I2989" s="40"/>
      <c r="J2989" s="155">
        <v>0</v>
      </c>
    </row>
    <row r="2990" spans="1:10" ht="26.25" hidden="1" thickBot="1" x14ac:dyDescent="0.3">
      <c r="A2990" s="200"/>
      <c r="B2990" s="202"/>
      <c r="C2990" s="36" t="s">
        <v>922</v>
      </c>
      <c r="D2990" s="36" t="s">
        <v>20</v>
      </c>
      <c r="E2990" s="37">
        <v>1</v>
      </c>
      <c r="F2990" s="31" t="s">
        <v>558</v>
      </c>
      <c r="G2990" s="34" t="str">
        <f>IF(ISNUMBER(F2990),E2990*F2990,"")</f>
        <v/>
      </c>
      <c r="H2990" s="35"/>
      <c r="I2990" s="31"/>
      <c r="J2990" s="155">
        <v>0</v>
      </c>
    </row>
    <row r="2991" spans="1:10" ht="15.75" hidden="1" thickBot="1" x14ac:dyDescent="0.3">
      <c r="A2991" s="201"/>
      <c r="B2991" s="188"/>
      <c r="C2991" s="36"/>
      <c r="D2991" s="36"/>
      <c r="E2991" s="37"/>
      <c r="F2991" s="31" t="s">
        <v>558</v>
      </c>
      <c r="G2991" s="34" t="str">
        <f>IF(ISNUMBER(F2991),E2991*F2991,"")</f>
        <v/>
      </c>
      <c r="H2991" s="35"/>
      <c r="I2991" s="31"/>
      <c r="J2991" s="155">
        <v>0</v>
      </c>
    </row>
    <row r="2992" spans="1:10" ht="15.75" hidden="1" thickBot="1" x14ac:dyDescent="0.3">
      <c r="A2992" s="180" t="s">
        <v>923</v>
      </c>
      <c r="B2992" s="186" t="str">
        <f>INDEX(Orçamentária!A:B,MATCH(Composições!A2992,Orçamentária!A:A,0),2)</f>
        <v>Trinco sem miolo para vidro temperado</v>
      </c>
      <c r="C2992" s="41"/>
      <c r="D2992" s="26" t="str">
        <f>TRIM(INDEX(Orçamentária!C:C,MATCH(Composições!A2992,Orçamentária!A:A,0),1))</f>
        <v>un</v>
      </c>
      <c r="E2992" s="27"/>
      <c r="F2992" s="42" t="s">
        <v>558</v>
      </c>
      <c r="G2992" s="28" t="str">
        <f>IF(ISNUMBER(F2992),E2992*F2992,"")</f>
        <v/>
      </c>
      <c r="H2992" s="29"/>
      <c r="I2992" s="30"/>
      <c r="J2992" s="155">
        <v>0</v>
      </c>
    </row>
    <row r="2993" spans="1:10" ht="15.75" hidden="1" thickBot="1" x14ac:dyDescent="0.3">
      <c r="A2993" s="200"/>
      <c r="B2993" s="202"/>
      <c r="C2993" s="32"/>
      <c r="D2993" s="32"/>
      <c r="E2993" s="33"/>
      <c r="F2993" s="43" t="s">
        <v>558</v>
      </c>
      <c r="G2993" s="34" t="str">
        <f>IF(ISNUMBER(F2993),E2993*F2993,"")</f>
        <v/>
      </c>
      <c r="H2993" s="35"/>
      <c r="I2993" s="31"/>
      <c r="J2993" s="155">
        <v>0</v>
      </c>
    </row>
    <row r="2994" spans="1:10" ht="15.75" hidden="1" thickBot="1" x14ac:dyDescent="0.3">
      <c r="A2994" s="200"/>
      <c r="B2994" s="202"/>
      <c r="C2994" s="36" t="s">
        <v>68</v>
      </c>
      <c r="D2994" s="36" t="s">
        <v>12</v>
      </c>
      <c r="E2994" s="37">
        <v>0.2</v>
      </c>
      <c r="F2994" s="34">
        <v>21.080500000000001</v>
      </c>
      <c r="G2994" s="34">
        <f>IF(ISNUMBER(F2994),E2994*F2994,"")</f>
        <v>4.2161</v>
      </c>
      <c r="H2994" s="39">
        <f>SUM(G2994:G2995)</f>
        <v>4.2161</v>
      </c>
      <c r="I2994" s="40"/>
      <c r="J2994" s="155">
        <v>0</v>
      </c>
    </row>
    <row r="2995" spans="1:10" ht="39" hidden="1" thickBot="1" x14ac:dyDescent="0.3">
      <c r="A2995" s="200"/>
      <c r="B2995" s="202"/>
      <c r="C2995" s="36" t="s">
        <v>924</v>
      </c>
      <c r="D2995" s="36" t="s">
        <v>20</v>
      </c>
      <c r="E2995" s="37">
        <v>1</v>
      </c>
      <c r="F2995" s="31" t="s">
        <v>558</v>
      </c>
      <c r="G2995" s="34" t="str">
        <f>IF(ISNUMBER(F2995),E2995*F2995,"")</f>
        <v/>
      </c>
      <c r="H2995" s="35"/>
      <c r="I2995" s="31"/>
      <c r="J2995" s="155">
        <v>0</v>
      </c>
    </row>
    <row r="2996" spans="1:10" ht="15.75" hidden="1" thickBot="1" x14ac:dyDescent="0.3">
      <c r="A2996" s="201"/>
      <c r="B2996" s="188"/>
      <c r="C2996" s="36"/>
      <c r="D2996" s="36"/>
      <c r="E2996" s="37"/>
      <c r="F2996" s="31" t="s">
        <v>558</v>
      </c>
      <c r="G2996" s="34" t="str">
        <f>IF(ISNUMBER(F2996),E2996*F2996,"")</f>
        <v/>
      </c>
      <c r="H2996" s="35"/>
      <c r="I2996" s="31"/>
      <c r="J2996" s="155">
        <v>0</v>
      </c>
    </row>
    <row r="2997" spans="1:10" ht="15.75" hidden="1" thickBot="1" x14ac:dyDescent="0.3">
      <c r="A2997" s="180" t="s">
        <v>925</v>
      </c>
      <c r="B2997" s="186" t="str">
        <f>INDEX(Orçamentária!A:B,MATCH(Composições!A2997,Orçamentária!A:A,0),2)</f>
        <v>Tubo de alumínio quadrado 50x50</v>
      </c>
      <c r="C2997" s="41"/>
      <c r="D2997" s="26" t="str">
        <f>TRIM(INDEX(Orçamentária!C:C,MATCH(Composições!A2997,Orçamentária!A:A,0),1))</f>
        <v>m</v>
      </c>
      <c r="E2997" s="27"/>
      <c r="F2997" s="42" t="s">
        <v>558</v>
      </c>
      <c r="G2997" s="28" t="str">
        <f>IF(ISNUMBER(F2997),E2997*F2997,"")</f>
        <v/>
      </c>
      <c r="H2997" s="29"/>
      <c r="I2997" s="30"/>
      <c r="J2997" s="155">
        <v>0</v>
      </c>
    </row>
    <row r="2998" spans="1:10" ht="15.75" hidden="1" thickBot="1" x14ac:dyDescent="0.3">
      <c r="A2998" s="181"/>
      <c r="B2998" s="202"/>
      <c r="C2998" s="32"/>
      <c r="D2998" s="32"/>
      <c r="E2998" s="33"/>
      <c r="F2998" s="43" t="s">
        <v>558</v>
      </c>
      <c r="G2998" s="34" t="str">
        <f>IF(ISNUMBER(F2998),E2998*F2998,"")</f>
        <v/>
      </c>
      <c r="H2998" s="35"/>
      <c r="I2998" s="31"/>
      <c r="J2998" s="155">
        <v>0</v>
      </c>
    </row>
    <row r="2999" spans="1:10" ht="15.75" hidden="1" thickBot="1" x14ac:dyDescent="0.3">
      <c r="A2999" s="181"/>
      <c r="B2999" s="202"/>
      <c r="C2999" s="36" t="s">
        <v>68</v>
      </c>
      <c r="D2999" s="36" t="s">
        <v>12</v>
      </c>
      <c r="E2999" s="37">
        <v>0.25</v>
      </c>
      <c r="F2999" s="34">
        <v>21.080500000000001</v>
      </c>
      <c r="G2999" s="34">
        <f>IF(ISNUMBER(F2999),E2999*F2999,"")</f>
        <v>5.2701250000000002</v>
      </c>
      <c r="H2999" s="39">
        <f>SUM(G2999:G3000)</f>
        <v>37.975850999999999</v>
      </c>
      <c r="I2999" s="40"/>
      <c r="J2999" s="155">
        <v>0</v>
      </c>
    </row>
    <row r="3000" spans="1:10" ht="15.75" hidden="1" thickBot="1" x14ac:dyDescent="0.3">
      <c r="A3000" s="181"/>
      <c r="B3000" s="202"/>
      <c r="C3000" s="36" t="s">
        <v>874</v>
      </c>
      <c r="D3000" s="36" t="s">
        <v>42</v>
      </c>
      <c r="E3000" s="37">
        <v>0.85299999999999998</v>
      </c>
      <c r="F3000" s="31">
        <v>38.341999999999999</v>
      </c>
      <c r="G3000" s="34">
        <f>IF(ISNUMBER(F3000),E3000*F3000,"")</f>
        <v>32.705725999999999</v>
      </c>
      <c r="H3000" s="35"/>
      <c r="I3000" s="31"/>
      <c r="J3000" s="155">
        <v>0</v>
      </c>
    </row>
    <row r="3001" spans="1:10" ht="15.75" hidden="1" thickBot="1" x14ac:dyDescent="0.3">
      <c r="A3001" s="181"/>
      <c r="B3001" s="202"/>
      <c r="C3001" s="36"/>
      <c r="D3001" s="47"/>
      <c r="E3001" s="37"/>
      <c r="F3001" s="31" t="s">
        <v>558</v>
      </c>
      <c r="G3001" s="34" t="str">
        <f>IF(ISNUMBER(F3001),E3001*F3001,"")</f>
        <v/>
      </c>
      <c r="H3001" s="35"/>
      <c r="I3001" s="31"/>
      <c r="J3001" s="155">
        <v>0</v>
      </c>
    </row>
    <row r="3002" spans="1:10" ht="26.25" hidden="1" thickBot="1" x14ac:dyDescent="0.3">
      <c r="A3002" s="181"/>
      <c r="B3002" s="202"/>
      <c r="C3002" s="48" t="s">
        <v>926</v>
      </c>
      <c r="D3002" s="47"/>
      <c r="E3002" s="37"/>
      <c r="F3002" s="31" t="s">
        <v>558</v>
      </c>
      <c r="G3002" s="34" t="str">
        <f>IF(ISNUMBER(F3002),E3002*F3002,"")</f>
        <v/>
      </c>
      <c r="H3002" s="35"/>
      <c r="I3002" s="31"/>
      <c r="J3002" s="155">
        <v>0</v>
      </c>
    </row>
    <row r="3003" spans="1:10" ht="26.25" hidden="1" thickBot="1" x14ac:dyDescent="0.3">
      <c r="A3003" s="181"/>
      <c r="B3003" s="202"/>
      <c r="C3003" s="52" t="s">
        <v>879</v>
      </c>
      <c r="D3003" s="47"/>
      <c r="E3003" s="37"/>
      <c r="F3003" s="31" t="s">
        <v>558</v>
      </c>
      <c r="G3003" s="34" t="str">
        <f>IF(ISNUMBER(F3003),E3003*F3003,"")</f>
        <v/>
      </c>
      <c r="H3003" s="35"/>
      <c r="I3003" s="31"/>
      <c r="J3003" s="155">
        <v>0</v>
      </c>
    </row>
    <row r="3004" spans="1:10" ht="15.75" hidden="1" thickBot="1" x14ac:dyDescent="0.3">
      <c r="A3004" s="182"/>
      <c r="B3004" s="188"/>
      <c r="C3004" s="36"/>
      <c r="D3004" s="36"/>
      <c r="E3004" s="37"/>
      <c r="F3004" s="31" t="s">
        <v>558</v>
      </c>
      <c r="G3004" s="34" t="str">
        <f>IF(ISNUMBER(F3004),E3004*F3004,"")</f>
        <v/>
      </c>
      <c r="H3004" s="35"/>
      <c r="I3004" s="31"/>
      <c r="J3004" s="155">
        <v>0</v>
      </c>
    </row>
    <row r="3005" spans="1:10" ht="15.75" hidden="1" thickBot="1" x14ac:dyDescent="0.3">
      <c r="A3005" s="180" t="s">
        <v>927</v>
      </c>
      <c r="B3005" s="186" t="str">
        <f>INDEX(Orçamentária!A:B,MATCH(Composições!A3005,Orçamentária!A:A,0),2)</f>
        <v>Veda fresta adesivo “E” branco</v>
      </c>
      <c r="C3005" s="41"/>
      <c r="D3005" s="26" t="str">
        <f>TRIM(INDEX(Orçamentária!C:C,MATCH(Composições!A3005,Orçamentária!A:A,0),1))</f>
        <v>m</v>
      </c>
      <c r="E3005" s="27"/>
      <c r="F3005" s="42" t="s">
        <v>558</v>
      </c>
      <c r="G3005" s="28" t="str">
        <f>IF(ISNUMBER(F3005),E3005*F3005,"")</f>
        <v/>
      </c>
      <c r="H3005" s="29"/>
      <c r="I3005" s="30"/>
      <c r="J3005" s="155">
        <v>0</v>
      </c>
    </row>
    <row r="3006" spans="1:10" ht="15.75" hidden="1" thickBot="1" x14ac:dyDescent="0.3">
      <c r="A3006" s="200"/>
      <c r="B3006" s="202"/>
      <c r="C3006" s="32"/>
      <c r="D3006" s="32"/>
      <c r="E3006" s="33"/>
      <c r="F3006" s="43" t="s">
        <v>558</v>
      </c>
      <c r="G3006" s="34" t="str">
        <f>IF(ISNUMBER(F3006),E3006*F3006,"")</f>
        <v/>
      </c>
      <c r="H3006" s="35"/>
      <c r="I3006" s="31"/>
      <c r="J3006" s="155">
        <v>0</v>
      </c>
    </row>
    <row r="3007" spans="1:10" ht="15.75" hidden="1" thickBot="1" x14ac:dyDescent="0.3">
      <c r="A3007" s="200"/>
      <c r="B3007" s="202"/>
      <c r="C3007" s="36" t="s">
        <v>68</v>
      </c>
      <c r="D3007" s="36" t="s">
        <v>12</v>
      </c>
      <c r="E3007" s="37">
        <v>0.2</v>
      </c>
      <c r="F3007" s="34">
        <v>21.080500000000001</v>
      </c>
      <c r="G3007" s="34">
        <f>IF(ISNUMBER(F3007),E3007*F3007,"")</f>
        <v>4.2161</v>
      </c>
      <c r="H3007" s="39">
        <f>SUM(G3007:G3008)</f>
        <v>4.2161</v>
      </c>
      <c r="I3007" s="40"/>
      <c r="J3007" s="155">
        <v>0</v>
      </c>
    </row>
    <row r="3008" spans="1:10" ht="26.25" hidden="1" thickBot="1" x14ac:dyDescent="0.3">
      <c r="A3008" s="200"/>
      <c r="B3008" s="202"/>
      <c r="C3008" s="36" t="s">
        <v>928</v>
      </c>
      <c r="D3008" s="36" t="s">
        <v>93</v>
      </c>
      <c r="E3008" s="37">
        <v>0.11899999999999999</v>
      </c>
      <c r="F3008" s="31" t="s">
        <v>558</v>
      </c>
      <c r="G3008" s="34" t="str">
        <f>IF(ISNUMBER(F3008),E3008*F3008,"")</f>
        <v/>
      </c>
      <c r="H3008" s="35"/>
      <c r="I3008" s="31"/>
      <c r="J3008" s="155">
        <v>0</v>
      </c>
    </row>
    <row r="3009" spans="1:10" ht="15.75" hidden="1" thickBot="1" x14ac:dyDescent="0.3">
      <c r="A3009" s="201"/>
      <c r="B3009" s="188"/>
      <c r="C3009" s="36"/>
      <c r="D3009" s="36"/>
      <c r="E3009" s="37"/>
      <c r="F3009" s="31" t="s">
        <v>558</v>
      </c>
      <c r="G3009" s="34" t="str">
        <f>IF(ISNUMBER(F3009),E3009*F3009,"")</f>
        <v/>
      </c>
      <c r="H3009" s="35"/>
      <c r="I3009" s="31"/>
      <c r="J3009" s="155">
        <v>0</v>
      </c>
    </row>
    <row r="3010" spans="1:10" ht="15.75" hidden="1" thickBot="1" x14ac:dyDescent="0.3">
      <c r="A3010" s="180" t="s">
        <v>929</v>
      </c>
      <c r="B3010" s="186" t="str">
        <f>INDEX(Orçamentária!A:B,MATCH(Composições!A3010,Orçamentária!A:A,0),2)</f>
        <v>Vedapress 10mm</v>
      </c>
      <c r="C3010" s="41"/>
      <c r="D3010" s="26" t="str">
        <f>TRIM(INDEX(Orçamentária!C:C,MATCH(Composições!A3010,Orçamentária!A:A,0),1))</f>
        <v>m</v>
      </c>
      <c r="E3010" s="27"/>
      <c r="F3010" s="42" t="s">
        <v>558</v>
      </c>
      <c r="G3010" s="28" t="str">
        <f>IF(ISNUMBER(F3010),E3010*F3010,"")</f>
        <v/>
      </c>
      <c r="H3010" s="29"/>
      <c r="I3010" s="30"/>
      <c r="J3010" s="155">
        <v>0</v>
      </c>
    </row>
    <row r="3011" spans="1:10" ht="15.75" hidden="1" thickBot="1" x14ac:dyDescent="0.3">
      <c r="A3011" s="181"/>
      <c r="B3011" s="202"/>
      <c r="C3011" s="32"/>
      <c r="D3011" s="32"/>
      <c r="E3011" s="33"/>
      <c r="F3011" s="43" t="s">
        <v>558</v>
      </c>
      <c r="G3011" s="34" t="str">
        <f>IF(ISNUMBER(F3011),E3011*F3011,"")</f>
        <v/>
      </c>
      <c r="H3011" s="35"/>
      <c r="I3011" s="31"/>
      <c r="J3011" s="155">
        <v>0</v>
      </c>
    </row>
    <row r="3012" spans="1:10" ht="15.75" hidden="1" thickBot="1" x14ac:dyDescent="0.3">
      <c r="A3012" s="181"/>
      <c r="B3012" s="202"/>
      <c r="C3012" s="36" t="s">
        <v>68</v>
      </c>
      <c r="D3012" s="36" t="s">
        <v>12</v>
      </c>
      <c r="E3012" s="37">
        <v>0.3</v>
      </c>
      <c r="F3012" s="34">
        <v>21.080500000000001</v>
      </c>
      <c r="G3012" s="34">
        <f>IF(ISNUMBER(F3012),E3012*F3012,"")</f>
        <v>6.3241500000000004</v>
      </c>
      <c r="H3012" s="39">
        <f>SUM(G3012:G3013)</f>
        <v>10.886848000000001</v>
      </c>
      <c r="I3012" s="40"/>
      <c r="J3012" s="155">
        <v>0</v>
      </c>
    </row>
    <row r="3013" spans="1:10" ht="15.75" hidden="1" thickBot="1" x14ac:dyDescent="0.3">
      <c r="A3013" s="181"/>
      <c r="B3013" s="202"/>
      <c r="C3013" s="36" t="s">
        <v>874</v>
      </c>
      <c r="D3013" s="36" t="s">
        <v>42</v>
      </c>
      <c r="E3013" s="37">
        <v>0.11899999999999999</v>
      </c>
      <c r="F3013" s="31">
        <v>38.341999999999999</v>
      </c>
      <c r="G3013" s="34">
        <f>IF(ISNUMBER(F3013),E3013*F3013,"")</f>
        <v>4.5626979999999993</v>
      </c>
      <c r="H3013" s="35"/>
      <c r="I3013" s="31"/>
      <c r="J3013" s="155">
        <v>0</v>
      </c>
    </row>
    <row r="3014" spans="1:10" ht="15.75" hidden="1" thickBot="1" x14ac:dyDescent="0.3">
      <c r="A3014" s="181"/>
      <c r="B3014" s="202"/>
      <c r="C3014" s="36"/>
      <c r="D3014" s="36"/>
      <c r="E3014" s="37"/>
      <c r="F3014" s="31" t="s">
        <v>558</v>
      </c>
      <c r="G3014" s="34" t="str">
        <f>IF(ISNUMBER(F3014),E3014*F3014,"")</f>
        <v/>
      </c>
      <c r="H3014" s="35"/>
      <c r="I3014" s="31"/>
      <c r="J3014" s="155">
        <v>0</v>
      </c>
    </row>
    <row r="3015" spans="1:10" ht="39" hidden="1" thickBot="1" x14ac:dyDescent="0.3">
      <c r="A3015" s="181"/>
      <c r="B3015" s="202"/>
      <c r="C3015" s="48" t="s">
        <v>930</v>
      </c>
      <c r="D3015" s="36"/>
      <c r="E3015" s="37"/>
      <c r="F3015" s="31" t="s">
        <v>558</v>
      </c>
      <c r="G3015" s="34" t="str">
        <f>IF(ISNUMBER(F3015),E3015*F3015,"")</f>
        <v/>
      </c>
      <c r="H3015" s="35"/>
      <c r="I3015" s="31"/>
      <c r="J3015" s="155">
        <v>0</v>
      </c>
    </row>
    <row r="3016" spans="1:10" ht="15.75" hidden="1" thickBot="1" x14ac:dyDescent="0.3">
      <c r="A3016" s="181"/>
      <c r="B3016" s="202"/>
      <c r="C3016" s="52" t="s">
        <v>931</v>
      </c>
      <c r="D3016" s="36"/>
      <c r="E3016" s="37"/>
      <c r="F3016" s="31" t="s">
        <v>558</v>
      </c>
      <c r="G3016" s="34" t="str">
        <f>IF(ISNUMBER(F3016),E3016*F3016,"")</f>
        <v/>
      </c>
      <c r="H3016" s="35"/>
      <c r="I3016" s="31"/>
      <c r="J3016" s="155">
        <v>0</v>
      </c>
    </row>
    <row r="3017" spans="1:10" ht="15.75" hidden="1" thickBot="1" x14ac:dyDescent="0.3">
      <c r="A3017" s="182"/>
      <c r="B3017" s="188"/>
      <c r="C3017" s="36"/>
      <c r="D3017" s="36"/>
      <c r="E3017" s="37"/>
      <c r="F3017" s="31" t="s">
        <v>558</v>
      </c>
      <c r="G3017" s="34" t="str">
        <f>IF(ISNUMBER(F3017),E3017*F3017,"")</f>
        <v/>
      </c>
      <c r="H3017" s="35"/>
      <c r="I3017" s="31"/>
      <c r="J3017" s="155">
        <v>0</v>
      </c>
    </row>
    <row r="3018" spans="1:10" ht="15.75" hidden="1" thickBot="1" x14ac:dyDescent="0.3">
      <c r="A3018" s="180" t="s">
        <v>932</v>
      </c>
      <c r="B3018" s="186" t="str">
        <f>INDEX(Orçamentária!A:B,MATCH(Composições!A3018,Orçamentária!A:A,0),2)</f>
        <v>Regulagem de ferragens</v>
      </c>
      <c r="C3018" s="41"/>
      <c r="D3018" s="26" t="str">
        <f>TRIM(INDEX(Orçamentária!C:C,MATCH(Composições!A3018,Orçamentária!A:A,0),1))</f>
        <v>un</v>
      </c>
      <c r="E3018" s="27"/>
      <c r="F3018" s="42" t="s">
        <v>558</v>
      </c>
      <c r="G3018" s="28" t="str">
        <f>IF(ISNUMBER(F3018),E3018*F3018,"")</f>
        <v/>
      </c>
      <c r="H3018" s="29"/>
      <c r="I3018" s="30"/>
      <c r="J3018" s="155">
        <v>0</v>
      </c>
    </row>
    <row r="3019" spans="1:10" ht="15.75" hidden="1" thickBot="1" x14ac:dyDescent="0.3">
      <c r="A3019" s="200"/>
      <c r="B3019" s="202"/>
      <c r="C3019" s="32"/>
      <c r="D3019" s="32"/>
      <c r="E3019" s="33"/>
      <c r="F3019" s="43" t="s">
        <v>558</v>
      </c>
      <c r="G3019" s="34" t="str">
        <f>IF(ISNUMBER(F3019),E3019*F3019,"")</f>
        <v/>
      </c>
      <c r="H3019" s="35"/>
      <c r="I3019" s="31"/>
      <c r="J3019" s="155">
        <v>0</v>
      </c>
    </row>
    <row r="3020" spans="1:10" ht="15.75" hidden="1" thickBot="1" x14ac:dyDescent="0.3">
      <c r="A3020" s="200"/>
      <c r="B3020" s="202"/>
      <c r="C3020" s="36" t="s">
        <v>68</v>
      </c>
      <c r="D3020" s="47" t="s">
        <v>12</v>
      </c>
      <c r="E3020" s="37">
        <v>1.5</v>
      </c>
      <c r="F3020" s="34">
        <v>21.080500000000001</v>
      </c>
      <c r="G3020" s="34">
        <f>IF(ISNUMBER(F3020),E3020*F3020,"")</f>
        <v>31.620750000000001</v>
      </c>
      <c r="H3020" s="39">
        <f>SUM(G3020:G3020)</f>
        <v>31.620750000000001</v>
      </c>
      <c r="I3020" s="40"/>
      <c r="J3020" s="155">
        <v>0</v>
      </c>
    </row>
    <row r="3021" spans="1:10" ht="15.75" hidden="1" thickBot="1" x14ac:dyDescent="0.3">
      <c r="A3021" s="201"/>
      <c r="B3021" s="188"/>
      <c r="C3021" s="36"/>
      <c r="D3021" s="36"/>
      <c r="E3021" s="37"/>
      <c r="F3021" s="31" t="s">
        <v>558</v>
      </c>
      <c r="G3021" s="34" t="str">
        <f>IF(ISNUMBER(F3021),E3021*F3021,"")</f>
        <v/>
      </c>
      <c r="H3021" s="35"/>
      <c r="I3021" s="31"/>
      <c r="J3021" s="155">
        <v>0</v>
      </c>
    </row>
    <row r="3022" spans="1:10" ht="15.75" hidden="1" thickBot="1" x14ac:dyDescent="0.3">
      <c r="A3022" s="180" t="s">
        <v>933</v>
      </c>
      <c r="B3022" s="186" t="str">
        <f>INDEX(Orçamentária!A:B,MATCH(Composições!A3022,Orçamentária!A:A,0),2)</f>
        <v>Vidro fumê / bronze temperado 10mm</v>
      </c>
      <c r="C3022" s="41"/>
      <c r="D3022" s="26" t="str">
        <f>TRIM(INDEX(Orçamentária!C:C,MATCH(Composições!A3022,Orçamentária!A:A,0),1))</f>
        <v>m2</v>
      </c>
      <c r="E3022" s="27"/>
      <c r="F3022" s="42" t="s">
        <v>558</v>
      </c>
      <c r="G3022" s="28" t="str">
        <f>IF(ISNUMBER(F3022),E3022*F3022,"")</f>
        <v/>
      </c>
      <c r="H3022" s="29"/>
      <c r="I3022" s="30"/>
      <c r="J3022" s="155">
        <v>0</v>
      </c>
    </row>
    <row r="3023" spans="1:10" ht="15.75" hidden="1" thickBot="1" x14ac:dyDescent="0.3">
      <c r="A3023" s="200"/>
      <c r="B3023" s="202"/>
      <c r="C3023" s="32"/>
      <c r="D3023" s="32"/>
      <c r="E3023" s="33"/>
      <c r="F3023" s="43" t="s">
        <v>558</v>
      </c>
      <c r="G3023" s="34" t="str">
        <f>IF(ISNUMBER(F3023),E3023*F3023,"")</f>
        <v/>
      </c>
      <c r="H3023" s="35"/>
      <c r="I3023" s="31"/>
      <c r="J3023" s="155">
        <v>0</v>
      </c>
    </row>
    <row r="3024" spans="1:10" ht="15.75" hidden="1" thickBot="1" x14ac:dyDescent="0.3">
      <c r="A3024" s="200"/>
      <c r="B3024" s="202"/>
      <c r="C3024" s="36" t="s">
        <v>68</v>
      </c>
      <c r="D3024" s="36" t="s">
        <v>12</v>
      </c>
      <c r="E3024" s="37">
        <v>0.47899999999999998</v>
      </c>
      <c r="F3024" s="34">
        <v>21.080500000000001</v>
      </c>
      <c r="G3024" s="34">
        <f>IF(ISNUMBER(F3024),E3024*F3024,"")</f>
        <v>10.097559499999999</v>
      </c>
      <c r="H3024" s="39">
        <f>SUM(G3024:G3028)</f>
        <v>78.992471499999994</v>
      </c>
      <c r="I3024" s="40"/>
      <c r="J3024" s="155">
        <v>0</v>
      </c>
    </row>
    <row r="3025" spans="1:10" ht="15.75" hidden="1" thickBot="1" x14ac:dyDescent="0.3">
      <c r="A3025" s="200"/>
      <c r="B3025" s="202"/>
      <c r="C3025" s="36" t="s">
        <v>23</v>
      </c>
      <c r="D3025" s="36" t="s">
        <v>12</v>
      </c>
      <c r="E3025" s="37">
        <v>0.46600000000000003</v>
      </c>
      <c r="F3025" s="34">
        <v>16.729499999999998</v>
      </c>
      <c r="G3025" s="34">
        <f>IF(ISNUMBER(F3025),E3025*F3025,"")</f>
        <v>7.7959469999999991</v>
      </c>
      <c r="H3025" s="35"/>
      <c r="I3025" s="31"/>
      <c r="J3025" s="155">
        <v>0</v>
      </c>
    </row>
    <row r="3026" spans="1:10" ht="26.25" hidden="1" thickBot="1" x14ac:dyDescent="0.3">
      <c r="A3026" s="200"/>
      <c r="B3026" s="202"/>
      <c r="C3026" s="36" t="s">
        <v>1236</v>
      </c>
      <c r="D3026" s="36" t="s">
        <v>513</v>
      </c>
      <c r="E3026" s="37">
        <v>4.609</v>
      </c>
      <c r="F3026" s="31">
        <v>12.635</v>
      </c>
      <c r="G3026" s="34">
        <f>IF(ISNUMBER(F3026),E3026*F3026,"")</f>
        <v>58.234715000000001</v>
      </c>
      <c r="H3026" s="35"/>
      <c r="I3026" s="31"/>
      <c r="J3026" s="155">
        <v>0</v>
      </c>
    </row>
    <row r="3027" spans="1:10" ht="26.25" hidden="1" thickBot="1" x14ac:dyDescent="0.3">
      <c r="A3027" s="200"/>
      <c r="B3027" s="202"/>
      <c r="C3027" s="36" t="s">
        <v>3402</v>
      </c>
      <c r="D3027" s="36" t="s">
        <v>93</v>
      </c>
      <c r="E3027" s="37">
        <v>1.5</v>
      </c>
      <c r="F3027" s="31">
        <v>1.9094999999999998</v>
      </c>
      <c r="G3027" s="34">
        <f>IF(ISNUMBER(F3027),E3027*F3027,"")</f>
        <v>2.8642499999999997</v>
      </c>
      <c r="H3027" s="35"/>
      <c r="I3027" s="31"/>
      <c r="J3027" s="155">
        <v>0</v>
      </c>
    </row>
    <row r="3028" spans="1:10" ht="15.75" hidden="1" thickBot="1" x14ac:dyDescent="0.3">
      <c r="A3028" s="200"/>
      <c r="B3028" s="202"/>
      <c r="C3028" s="36" t="s">
        <v>934</v>
      </c>
      <c r="D3028" s="36" t="s">
        <v>95</v>
      </c>
      <c r="E3028" s="37">
        <v>1</v>
      </c>
      <c r="F3028" s="31" t="s">
        <v>558</v>
      </c>
      <c r="G3028" s="34" t="str">
        <f>IF(ISNUMBER(F3028),E3028*F3028,"")</f>
        <v/>
      </c>
      <c r="H3028" s="35"/>
      <c r="I3028" s="31"/>
      <c r="J3028" s="155">
        <v>0</v>
      </c>
    </row>
    <row r="3029" spans="1:10" ht="15.75" hidden="1" thickBot="1" x14ac:dyDescent="0.3">
      <c r="A3029" s="201"/>
      <c r="B3029" s="188"/>
      <c r="C3029" s="36"/>
      <c r="D3029" s="36"/>
      <c r="E3029" s="37"/>
      <c r="F3029" s="31" t="s">
        <v>558</v>
      </c>
      <c r="G3029" s="34" t="str">
        <f>IF(ISNUMBER(F3029),E3029*F3029,"")</f>
        <v/>
      </c>
      <c r="H3029" s="35"/>
      <c r="I3029" s="31"/>
      <c r="J3029" s="155">
        <v>0</v>
      </c>
    </row>
    <row r="3030" spans="1:10" ht="15.75" hidden="1" thickBot="1" x14ac:dyDescent="0.3">
      <c r="A3030" s="180" t="s">
        <v>935</v>
      </c>
      <c r="B3030" s="186" t="str">
        <f>INDEX(Orçamentária!A:B,MATCH(Composições!A3030,Orçamentária!A:A,0),2)</f>
        <v>Puxador em aço inox sob medida – Tipo B</v>
      </c>
      <c r="C3030" s="41"/>
      <c r="D3030" s="26" t="str">
        <f>TRIM(INDEX(Orçamentária!C:C,MATCH(Composições!A3030,Orçamentária!A:A,0),1))</f>
        <v>un</v>
      </c>
      <c r="E3030" s="27"/>
      <c r="F3030" s="42" t="s">
        <v>558</v>
      </c>
      <c r="G3030" s="28" t="str">
        <f>IF(ISNUMBER(F3030),E3030*F3030,"")</f>
        <v/>
      </c>
      <c r="H3030" s="29"/>
      <c r="I3030" s="30"/>
      <c r="J3030" s="155">
        <v>0</v>
      </c>
    </row>
    <row r="3031" spans="1:10" ht="15.75" hidden="1" thickBot="1" x14ac:dyDescent="0.3">
      <c r="A3031" s="200"/>
      <c r="B3031" s="202"/>
      <c r="C3031" s="32"/>
      <c r="D3031" s="32"/>
      <c r="E3031" s="33"/>
      <c r="F3031" s="43" t="s">
        <v>558</v>
      </c>
      <c r="G3031" s="34" t="str">
        <f>IF(ISNUMBER(F3031),E3031*F3031,"")</f>
        <v/>
      </c>
      <c r="H3031" s="35"/>
      <c r="I3031" s="31"/>
      <c r="J3031" s="155">
        <v>0</v>
      </c>
    </row>
    <row r="3032" spans="1:10" ht="15.75" hidden="1" thickBot="1" x14ac:dyDescent="0.3">
      <c r="A3032" s="200"/>
      <c r="B3032" s="202"/>
      <c r="C3032" s="36" t="s">
        <v>68</v>
      </c>
      <c r="D3032" s="47" t="s">
        <v>12</v>
      </c>
      <c r="E3032" s="37">
        <v>0.4</v>
      </c>
      <c r="F3032" s="34">
        <v>21.080500000000001</v>
      </c>
      <c r="G3032" s="34">
        <f>IF(ISNUMBER(F3032),E3032*F3032,"")</f>
        <v>8.4321999999999999</v>
      </c>
      <c r="H3032" s="39">
        <f>SUM(G3032:G3033)</f>
        <v>8.4321999999999999</v>
      </c>
      <c r="I3032" s="40"/>
      <c r="J3032" s="155">
        <v>0</v>
      </c>
    </row>
    <row r="3033" spans="1:10" ht="15.75" hidden="1" thickBot="1" x14ac:dyDescent="0.3">
      <c r="A3033" s="200"/>
      <c r="B3033" s="202"/>
      <c r="C3033" s="36" t="s">
        <v>936</v>
      </c>
      <c r="D3033" s="47" t="s">
        <v>20</v>
      </c>
      <c r="E3033" s="37">
        <v>1</v>
      </c>
      <c r="F3033" s="31" t="s">
        <v>558</v>
      </c>
      <c r="G3033" s="34" t="str">
        <f>IF(ISNUMBER(F3033),E3033*F3033,"")</f>
        <v/>
      </c>
      <c r="H3033" s="35"/>
      <c r="I3033" s="31"/>
      <c r="J3033" s="155">
        <v>0</v>
      </c>
    </row>
    <row r="3034" spans="1:10" ht="15.75" hidden="1" thickBot="1" x14ac:dyDescent="0.3">
      <c r="A3034" s="201"/>
      <c r="B3034" s="188"/>
      <c r="C3034" s="36"/>
      <c r="D3034" s="36"/>
      <c r="E3034" s="37"/>
      <c r="F3034" s="31" t="s">
        <v>558</v>
      </c>
      <c r="G3034" s="34" t="str">
        <f>IF(ISNUMBER(F3034),E3034*F3034,"")</f>
        <v/>
      </c>
      <c r="H3034" s="35"/>
      <c r="I3034" s="31"/>
      <c r="J3034" s="155">
        <v>0</v>
      </c>
    </row>
    <row r="3035" spans="1:10" ht="15.75" hidden="1" thickBot="1" x14ac:dyDescent="0.3">
      <c r="A3035" s="180" t="s">
        <v>937</v>
      </c>
      <c r="B3035" s="186" t="str">
        <f>INDEX(Orçamentária!A:B,MATCH(Composições!A3035,Orçamentária!A:A,0),2)</f>
        <v>Armação de aço CA-50 bitolas de 5,0mm a 8,00mm</v>
      </c>
      <c r="C3035" s="41"/>
      <c r="D3035" s="26" t="str">
        <f>TRIM(INDEX(Orçamentária!C:C,MATCH(Composições!A3035,Orçamentária!A:A,0),1))</f>
        <v>kg</v>
      </c>
      <c r="E3035" s="27"/>
      <c r="F3035" s="42" t="s">
        <v>558</v>
      </c>
      <c r="G3035" s="28" t="str">
        <f>IF(ISNUMBER(F3035),E3035*F3035,"")</f>
        <v/>
      </c>
      <c r="H3035" s="29"/>
      <c r="I3035" s="30"/>
      <c r="J3035" s="155">
        <v>0</v>
      </c>
    </row>
    <row r="3036" spans="1:10" ht="15.75" hidden="1" thickBot="1" x14ac:dyDescent="0.3">
      <c r="A3036" s="200"/>
      <c r="B3036" s="202"/>
      <c r="C3036" s="32"/>
      <c r="D3036" s="32"/>
      <c r="E3036" s="33"/>
      <c r="F3036" s="43" t="s">
        <v>558</v>
      </c>
      <c r="G3036" s="34" t="str">
        <f>IF(ISNUMBER(F3036),E3036*F3036,"")</f>
        <v/>
      </c>
      <c r="H3036" s="35"/>
      <c r="I3036" s="31"/>
      <c r="J3036" s="155">
        <v>0</v>
      </c>
    </row>
    <row r="3037" spans="1:10" ht="26.25" hidden="1" thickBot="1" x14ac:dyDescent="0.3">
      <c r="A3037" s="200"/>
      <c r="B3037" s="202"/>
      <c r="C3037" s="36" t="s">
        <v>3598</v>
      </c>
      <c r="D3037" s="47" t="s">
        <v>938</v>
      </c>
      <c r="E3037" s="37">
        <v>2.5000000000000001E-2</v>
      </c>
      <c r="F3037" s="31">
        <v>21.754999999999999</v>
      </c>
      <c r="G3037" s="34">
        <f>IF(ISNUMBER(F3037),E3037*F3037,"")</f>
        <v>0.543875</v>
      </c>
      <c r="H3037" s="39">
        <f>SUM(G3037:G3041)</f>
        <v>18.121050499999999</v>
      </c>
      <c r="I3037" s="40"/>
      <c r="J3037" s="155">
        <v>0</v>
      </c>
    </row>
    <row r="3038" spans="1:10" ht="39" hidden="1" thickBot="1" x14ac:dyDescent="0.3">
      <c r="A3038" s="200"/>
      <c r="B3038" s="202"/>
      <c r="C3038" s="36" t="s">
        <v>939</v>
      </c>
      <c r="D3038" s="47" t="s">
        <v>292</v>
      </c>
      <c r="E3038" s="37">
        <v>0.74299999999999999</v>
      </c>
      <c r="F3038" s="31">
        <v>0.19949999999999998</v>
      </c>
      <c r="G3038" s="34">
        <f>IF(ISNUMBER(F3038),E3038*F3038,"")</f>
        <v>0.14822849999999999</v>
      </c>
      <c r="H3038" s="35"/>
      <c r="I3038" s="31"/>
      <c r="J3038" s="155">
        <v>0</v>
      </c>
    </row>
    <row r="3039" spans="1:10" ht="15.75" hidden="1" thickBot="1" x14ac:dyDescent="0.3">
      <c r="A3039" s="200"/>
      <c r="B3039" s="202"/>
      <c r="C3039" s="36" t="s">
        <v>940</v>
      </c>
      <c r="D3039" s="47" t="s">
        <v>742</v>
      </c>
      <c r="E3039" s="37">
        <v>2.0899999999999998E-2</v>
      </c>
      <c r="F3039" s="31">
        <v>17.518000000000001</v>
      </c>
      <c r="G3039" s="34">
        <f>IF(ISNUMBER(F3039),E3039*F3039,"")</f>
        <v>0.36612620000000001</v>
      </c>
      <c r="H3039" s="35"/>
      <c r="I3039" s="31"/>
      <c r="J3039" s="155">
        <v>0</v>
      </c>
    </row>
    <row r="3040" spans="1:10" ht="15.75" hidden="1" thickBot="1" x14ac:dyDescent="0.3">
      <c r="A3040" s="200"/>
      <c r="B3040" s="202"/>
      <c r="C3040" s="36" t="s">
        <v>941</v>
      </c>
      <c r="D3040" s="36" t="s">
        <v>742</v>
      </c>
      <c r="E3040" s="37">
        <v>0.1278</v>
      </c>
      <c r="F3040" s="31">
        <v>22.591000000000001</v>
      </c>
      <c r="G3040" s="34">
        <f>IF(ISNUMBER(F3040),E3040*F3040,"")</f>
        <v>2.8871297999999999</v>
      </c>
      <c r="H3040" s="35"/>
      <c r="I3040" s="31"/>
      <c r="J3040" s="155">
        <v>0</v>
      </c>
    </row>
    <row r="3041" spans="1:10" ht="26.25" hidden="1" thickBot="1" x14ac:dyDescent="0.3">
      <c r="A3041" s="200"/>
      <c r="B3041" s="202"/>
      <c r="C3041" s="36" t="s">
        <v>942</v>
      </c>
      <c r="D3041" s="36" t="s">
        <v>938</v>
      </c>
      <c r="E3041" s="37">
        <v>1</v>
      </c>
      <c r="F3041" s="31">
        <v>14.175691</v>
      </c>
      <c r="G3041" s="34">
        <f>IF(ISNUMBER(F3041),E3041*F3041,"")</f>
        <v>14.175691</v>
      </c>
      <c r="H3041" s="35"/>
      <c r="I3041" s="31"/>
      <c r="J3041" s="155">
        <v>0</v>
      </c>
    </row>
    <row r="3042" spans="1:10" ht="15.75" hidden="1" thickBot="1" x14ac:dyDescent="0.3">
      <c r="A3042" s="201"/>
      <c r="B3042" s="188"/>
      <c r="C3042" s="36"/>
      <c r="D3042" s="36"/>
      <c r="E3042" s="37"/>
      <c r="F3042" s="31" t="s">
        <v>558</v>
      </c>
      <c r="G3042" s="34" t="str">
        <f>IF(ISNUMBER(F3042),E3042*F3042,"")</f>
        <v/>
      </c>
      <c r="H3042" s="35"/>
      <c r="I3042" s="31"/>
      <c r="J3042" s="155">
        <v>0</v>
      </c>
    </row>
    <row r="3043" spans="1:10" ht="15.75" hidden="1" thickBot="1" x14ac:dyDescent="0.3">
      <c r="A3043" s="180" t="s">
        <v>943</v>
      </c>
      <c r="B3043" s="186" t="str">
        <f>INDEX(Orçamentária!A:B,MATCH(Composições!A3043,Orçamentária!A:A,0),2)</f>
        <v>Pivô para dobradiça inferior (Montagem com a 1103-TQ)</v>
      </c>
      <c r="C3043" s="41"/>
      <c r="D3043" s="26" t="str">
        <f>TRIM(INDEX(Orçamentária!C:C,MATCH(Composições!A3043,Orçamentária!A:A,0),1))</f>
        <v>un</v>
      </c>
      <c r="E3043" s="27"/>
      <c r="F3043" s="42" t="s">
        <v>558</v>
      </c>
      <c r="G3043" s="28" t="str">
        <f>IF(ISNUMBER(F3043),E3043*F3043,"")</f>
        <v/>
      </c>
      <c r="H3043" s="29"/>
      <c r="I3043" s="30"/>
      <c r="J3043" s="155">
        <v>0</v>
      </c>
    </row>
    <row r="3044" spans="1:10" ht="15.75" hidden="1" thickBot="1" x14ac:dyDescent="0.3">
      <c r="A3044" s="200"/>
      <c r="B3044" s="202"/>
      <c r="C3044" s="32"/>
      <c r="D3044" s="32"/>
      <c r="E3044" s="33"/>
      <c r="F3044" s="43" t="s">
        <v>558</v>
      </c>
      <c r="G3044" s="34" t="str">
        <f>IF(ISNUMBER(F3044),E3044*F3044,"")</f>
        <v/>
      </c>
      <c r="H3044" s="35"/>
      <c r="I3044" s="31"/>
      <c r="J3044" s="155">
        <v>0</v>
      </c>
    </row>
    <row r="3045" spans="1:10" ht="15.75" hidden="1" thickBot="1" x14ac:dyDescent="0.3">
      <c r="A3045" s="200"/>
      <c r="B3045" s="202"/>
      <c r="C3045" s="36" t="s">
        <v>68</v>
      </c>
      <c r="D3045" s="36" t="s">
        <v>12</v>
      </c>
      <c r="E3045" s="37">
        <v>0.2</v>
      </c>
      <c r="F3045" s="34">
        <v>21.080500000000001</v>
      </c>
      <c r="G3045" s="34">
        <f>IF(ISNUMBER(F3045),E3045*F3045,"")</f>
        <v>4.2161</v>
      </c>
      <c r="H3045" s="39">
        <f>SUM(G3045:G3046)</f>
        <v>4.2161</v>
      </c>
      <c r="I3045" s="40"/>
      <c r="J3045" s="155">
        <v>0</v>
      </c>
    </row>
    <row r="3046" spans="1:10" ht="26.25" hidden="1" thickBot="1" x14ac:dyDescent="0.3">
      <c r="A3046" s="200"/>
      <c r="B3046" s="202"/>
      <c r="C3046" s="36" t="s">
        <v>944</v>
      </c>
      <c r="D3046" s="36" t="s">
        <v>20</v>
      </c>
      <c r="E3046" s="37">
        <v>1</v>
      </c>
      <c r="F3046" s="31" t="s">
        <v>558</v>
      </c>
      <c r="G3046" s="34" t="str">
        <f>IF(ISNUMBER(F3046),E3046*F3046,"")</f>
        <v/>
      </c>
      <c r="H3046" s="35"/>
      <c r="I3046" s="31"/>
      <c r="J3046" s="155">
        <v>0</v>
      </c>
    </row>
    <row r="3047" spans="1:10" ht="15.75" hidden="1" thickBot="1" x14ac:dyDescent="0.3">
      <c r="A3047" s="201"/>
      <c r="B3047" s="188"/>
      <c r="C3047" s="36"/>
      <c r="D3047" s="36"/>
      <c r="E3047" s="37"/>
      <c r="F3047" s="31" t="s">
        <v>558</v>
      </c>
      <c r="G3047" s="34" t="str">
        <f>IF(ISNUMBER(F3047),E3047*F3047,"")</f>
        <v/>
      </c>
      <c r="H3047" s="35"/>
      <c r="I3047" s="31"/>
      <c r="J3047" s="155">
        <v>0</v>
      </c>
    </row>
    <row r="3048" spans="1:10" ht="15.75" hidden="1" thickBot="1" x14ac:dyDescent="0.3">
      <c r="A3048" s="180" t="s">
        <v>945</v>
      </c>
      <c r="B3048" s="186" t="str">
        <f>INDEX(Orçamentária!A:B,MATCH(Composições!A3048,Orçamentária!A:A,0),2)</f>
        <v>Dobradiça direita inferior excêntrica</v>
      </c>
      <c r="C3048" s="41"/>
      <c r="D3048" s="26" t="str">
        <f>TRIM(INDEX(Orçamentária!C:C,MATCH(Composições!A3048,Orçamentária!A:A,0),1))</f>
        <v>un</v>
      </c>
      <c r="E3048" s="27"/>
      <c r="F3048" s="42" t="s">
        <v>558</v>
      </c>
      <c r="G3048" s="28" t="str">
        <f>IF(ISNUMBER(F3048),E3048*F3048,"")</f>
        <v/>
      </c>
      <c r="H3048" s="29"/>
      <c r="I3048" s="30"/>
      <c r="J3048" s="155">
        <v>0</v>
      </c>
    </row>
    <row r="3049" spans="1:10" ht="15.75" hidden="1" thickBot="1" x14ac:dyDescent="0.3">
      <c r="A3049" s="200"/>
      <c r="B3049" s="202"/>
      <c r="C3049" s="32"/>
      <c r="D3049" s="32"/>
      <c r="E3049" s="33"/>
      <c r="F3049" s="43" t="s">
        <v>558</v>
      </c>
      <c r="G3049" s="34" t="str">
        <f>IF(ISNUMBER(F3049),E3049*F3049,"")</f>
        <v/>
      </c>
      <c r="H3049" s="35"/>
      <c r="I3049" s="31"/>
      <c r="J3049" s="155">
        <v>0</v>
      </c>
    </row>
    <row r="3050" spans="1:10" ht="15.75" hidden="1" thickBot="1" x14ac:dyDescent="0.3">
      <c r="A3050" s="200"/>
      <c r="B3050" s="202"/>
      <c r="C3050" s="36" t="s">
        <v>68</v>
      </c>
      <c r="D3050" s="36" t="s">
        <v>12</v>
      </c>
      <c r="E3050" s="37">
        <v>0.3</v>
      </c>
      <c r="F3050" s="34">
        <v>21.080500000000001</v>
      </c>
      <c r="G3050" s="34">
        <f>IF(ISNUMBER(F3050),E3050*F3050,"")</f>
        <v>6.3241500000000004</v>
      </c>
      <c r="H3050" s="39">
        <f>SUM(G3050:G3051)</f>
        <v>6.3241500000000004</v>
      </c>
      <c r="I3050" s="40"/>
      <c r="J3050" s="155">
        <v>0</v>
      </c>
    </row>
    <row r="3051" spans="1:10" ht="39" hidden="1" thickBot="1" x14ac:dyDescent="0.3">
      <c r="A3051" s="200"/>
      <c r="B3051" s="202"/>
      <c r="C3051" s="36" t="s">
        <v>946</v>
      </c>
      <c r="D3051" s="36" t="s">
        <v>20</v>
      </c>
      <c r="E3051" s="37">
        <v>1</v>
      </c>
      <c r="F3051" s="31" t="s">
        <v>558</v>
      </c>
      <c r="G3051" s="34" t="str">
        <f>IF(ISNUMBER(F3051),E3051*F3051,"")</f>
        <v/>
      </c>
      <c r="H3051" s="35"/>
      <c r="I3051" s="31"/>
      <c r="J3051" s="155">
        <v>0</v>
      </c>
    </row>
    <row r="3052" spans="1:10" ht="15.75" hidden="1" thickBot="1" x14ac:dyDescent="0.3">
      <c r="A3052" s="201"/>
      <c r="B3052" s="188"/>
      <c r="C3052" s="36"/>
      <c r="D3052" s="36"/>
      <c r="E3052" s="37"/>
      <c r="F3052" s="31" t="s">
        <v>558</v>
      </c>
      <c r="G3052" s="34" t="str">
        <f>IF(ISNUMBER(F3052),E3052*F3052,"")</f>
        <v/>
      </c>
      <c r="H3052" s="35"/>
      <c r="I3052" s="31"/>
      <c r="J3052" s="155">
        <v>0</v>
      </c>
    </row>
    <row r="3053" spans="1:10" ht="15.75" hidden="1" thickBot="1" x14ac:dyDescent="0.3">
      <c r="A3053" s="180" t="s">
        <v>947</v>
      </c>
      <c r="B3053" s="186" t="str">
        <f>INDEX(Orçamentária!A:B,MATCH(Composições!A3053,Orçamentária!A:A,0),2)</f>
        <v>Dobradiça esquerda inferior excêntrica</v>
      </c>
      <c r="C3053" s="41"/>
      <c r="D3053" s="26" t="str">
        <f>TRIM(INDEX(Orçamentária!C:C,MATCH(Composições!A3053,Orçamentária!A:A,0),1))</f>
        <v>un</v>
      </c>
      <c r="E3053" s="27"/>
      <c r="F3053" s="42" t="s">
        <v>558</v>
      </c>
      <c r="G3053" s="28" t="str">
        <f>IF(ISNUMBER(F3053),E3053*F3053,"")</f>
        <v/>
      </c>
      <c r="H3053" s="29"/>
      <c r="I3053" s="30"/>
      <c r="J3053" s="155">
        <v>0</v>
      </c>
    </row>
    <row r="3054" spans="1:10" ht="15.75" hidden="1" thickBot="1" x14ac:dyDescent="0.3">
      <c r="A3054" s="200"/>
      <c r="B3054" s="202"/>
      <c r="C3054" s="32"/>
      <c r="D3054" s="32"/>
      <c r="E3054" s="33"/>
      <c r="F3054" s="43" t="s">
        <v>558</v>
      </c>
      <c r="G3054" s="34" t="str">
        <f>IF(ISNUMBER(F3054),E3054*F3054,"")</f>
        <v/>
      </c>
      <c r="H3054" s="35"/>
      <c r="I3054" s="31"/>
      <c r="J3054" s="155">
        <v>0</v>
      </c>
    </row>
    <row r="3055" spans="1:10" ht="15.75" hidden="1" thickBot="1" x14ac:dyDescent="0.3">
      <c r="A3055" s="200"/>
      <c r="B3055" s="202"/>
      <c r="C3055" s="36" t="s">
        <v>68</v>
      </c>
      <c r="D3055" s="36" t="s">
        <v>12</v>
      </c>
      <c r="E3055" s="37">
        <v>0.3</v>
      </c>
      <c r="F3055" s="34">
        <v>21.080500000000001</v>
      </c>
      <c r="G3055" s="34">
        <f>IF(ISNUMBER(F3055),E3055*F3055,"")</f>
        <v>6.3241500000000004</v>
      </c>
      <c r="H3055" s="39">
        <f>SUM(G3055:G3056)</f>
        <v>6.3241500000000004</v>
      </c>
      <c r="I3055" s="40"/>
      <c r="J3055" s="155">
        <v>0</v>
      </c>
    </row>
    <row r="3056" spans="1:10" ht="39" hidden="1" thickBot="1" x14ac:dyDescent="0.3">
      <c r="A3056" s="200"/>
      <c r="B3056" s="202"/>
      <c r="C3056" s="36" t="s">
        <v>948</v>
      </c>
      <c r="D3056" s="36" t="s">
        <v>20</v>
      </c>
      <c r="E3056" s="37">
        <v>1</v>
      </c>
      <c r="F3056" s="31" t="s">
        <v>558</v>
      </c>
      <c r="G3056" s="34" t="str">
        <f>IF(ISNUMBER(F3056),E3056*F3056,"")</f>
        <v/>
      </c>
      <c r="H3056" s="35"/>
      <c r="I3056" s="31"/>
      <c r="J3056" s="155">
        <v>0</v>
      </c>
    </row>
    <row r="3057" spans="1:10" ht="15.75" hidden="1" thickBot="1" x14ac:dyDescent="0.3">
      <c r="A3057" s="201"/>
      <c r="B3057" s="188"/>
      <c r="C3057" s="36"/>
      <c r="D3057" s="36"/>
      <c r="E3057" s="37"/>
      <c r="F3057" s="31" t="s">
        <v>558</v>
      </c>
      <c r="G3057" s="34" t="str">
        <f>IF(ISNUMBER(F3057),E3057*F3057,"")</f>
        <v/>
      </c>
      <c r="H3057" s="35"/>
      <c r="I3057" s="31"/>
      <c r="J3057" s="155">
        <v>0</v>
      </c>
    </row>
    <row r="3058" spans="1:10" ht="15.75" hidden="1" thickBot="1" x14ac:dyDescent="0.3">
      <c r="A3058" s="180" t="s">
        <v>949</v>
      </c>
      <c r="B3058" s="186" t="str">
        <f>INDEX(Orçamentária!A:B,MATCH(Composições!A3058,Orçamentária!A:A,0),2)</f>
        <v>Dobradiça pivotante inferior com trinco</v>
      </c>
      <c r="C3058" s="41"/>
      <c r="D3058" s="26" t="str">
        <f>TRIM(INDEX(Orçamentária!C:C,MATCH(Composições!A3058,Orçamentária!A:A,0),1))</f>
        <v>un</v>
      </c>
      <c r="E3058" s="27"/>
      <c r="F3058" s="42" t="s">
        <v>558</v>
      </c>
      <c r="G3058" s="28" t="str">
        <f>IF(ISNUMBER(F3058),E3058*F3058,"")</f>
        <v/>
      </c>
      <c r="H3058" s="29"/>
      <c r="I3058" s="30"/>
      <c r="J3058" s="155">
        <v>0</v>
      </c>
    </row>
    <row r="3059" spans="1:10" ht="15.75" hidden="1" thickBot="1" x14ac:dyDescent="0.3">
      <c r="A3059" s="200"/>
      <c r="B3059" s="202"/>
      <c r="C3059" s="32"/>
      <c r="D3059" s="32"/>
      <c r="E3059" s="33"/>
      <c r="F3059" s="43" t="s">
        <v>558</v>
      </c>
      <c r="G3059" s="34" t="str">
        <f>IF(ISNUMBER(F3059),E3059*F3059,"")</f>
        <v/>
      </c>
      <c r="H3059" s="35"/>
      <c r="I3059" s="31"/>
      <c r="J3059" s="155">
        <v>0</v>
      </c>
    </row>
    <row r="3060" spans="1:10" ht="15.75" hidden="1" thickBot="1" x14ac:dyDescent="0.3">
      <c r="A3060" s="200"/>
      <c r="B3060" s="202"/>
      <c r="C3060" s="36" t="s">
        <v>68</v>
      </c>
      <c r="D3060" s="36" t="s">
        <v>12</v>
      </c>
      <c r="E3060" s="37">
        <v>0.3</v>
      </c>
      <c r="F3060" s="34">
        <v>21.080500000000001</v>
      </c>
      <c r="G3060" s="34">
        <f>IF(ISNUMBER(F3060),E3060*F3060,"")</f>
        <v>6.3241500000000004</v>
      </c>
      <c r="H3060" s="39">
        <f>SUM(G3060:G3061)</f>
        <v>6.3241500000000004</v>
      </c>
      <c r="I3060" s="40"/>
      <c r="J3060" s="155">
        <v>0</v>
      </c>
    </row>
    <row r="3061" spans="1:10" ht="26.25" hidden="1" thickBot="1" x14ac:dyDescent="0.3">
      <c r="A3061" s="200"/>
      <c r="B3061" s="202"/>
      <c r="C3061" s="36" t="s">
        <v>950</v>
      </c>
      <c r="D3061" s="36" t="s">
        <v>20</v>
      </c>
      <c r="E3061" s="37">
        <v>1</v>
      </c>
      <c r="F3061" s="31" t="s">
        <v>558</v>
      </c>
      <c r="G3061" s="34" t="str">
        <f>IF(ISNUMBER(F3061),E3061*F3061,"")</f>
        <v/>
      </c>
      <c r="H3061" s="35"/>
      <c r="I3061" s="31"/>
      <c r="J3061" s="155">
        <v>0</v>
      </c>
    </row>
    <row r="3062" spans="1:10" ht="15.75" hidden="1" thickBot="1" x14ac:dyDescent="0.3">
      <c r="A3062" s="201"/>
      <c r="B3062" s="188"/>
      <c r="C3062" s="36"/>
      <c r="D3062" s="36"/>
      <c r="E3062" s="37"/>
      <c r="F3062" s="31" t="s">
        <v>558</v>
      </c>
      <c r="G3062" s="34" t="str">
        <f>IF(ISNUMBER(F3062),E3062*F3062,"")</f>
        <v/>
      </c>
      <c r="H3062" s="35"/>
      <c r="I3062" s="31"/>
      <c r="J3062" s="155">
        <v>0</v>
      </c>
    </row>
    <row r="3063" spans="1:10" ht="15.75" hidden="1" thickBot="1" x14ac:dyDescent="0.3">
      <c r="A3063" s="180" t="s">
        <v>951</v>
      </c>
      <c r="B3063" s="186" t="str">
        <f>INDEX(Orçamentária!A:B,MATCH(Composições!A3063,Orçamentária!A:A,0),2)</f>
        <v>Carrinho para porta de correr 1 roldana e 2 furos</v>
      </c>
      <c r="C3063" s="41"/>
      <c r="D3063" s="26" t="str">
        <f>TRIM(INDEX(Orçamentária!C:C,MATCH(Composições!A3063,Orçamentária!A:A,0),1))</f>
        <v>un</v>
      </c>
      <c r="E3063" s="27"/>
      <c r="F3063" s="42" t="s">
        <v>558</v>
      </c>
      <c r="G3063" s="28" t="str">
        <f>IF(ISNUMBER(F3063),E3063*F3063,"")</f>
        <v/>
      </c>
      <c r="H3063" s="29"/>
      <c r="I3063" s="30"/>
      <c r="J3063" s="155">
        <v>0</v>
      </c>
    </row>
    <row r="3064" spans="1:10" ht="15.75" hidden="1" thickBot="1" x14ac:dyDescent="0.3">
      <c r="A3064" s="200"/>
      <c r="B3064" s="202"/>
      <c r="C3064" s="32"/>
      <c r="D3064" s="32"/>
      <c r="E3064" s="33"/>
      <c r="F3064" s="43" t="s">
        <v>558</v>
      </c>
      <c r="G3064" s="34" t="str">
        <f>IF(ISNUMBER(F3064),E3064*F3064,"")</f>
        <v/>
      </c>
      <c r="H3064" s="35"/>
      <c r="I3064" s="31"/>
      <c r="J3064" s="155">
        <v>0</v>
      </c>
    </row>
    <row r="3065" spans="1:10" ht="15.75" hidden="1" thickBot="1" x14ac:dyDescent="0.3">
      <c r="A3065" s="200"/>
      <c r="B3065" s="202"/>
      <c r="C3065" s="36" t="s">
        <v>68</v>
      </c>
      <c r="D3065" s="36" t="s">
        <v>12</v>
      </c>
      <c r="E3065" s="37">
        <v>0.15</v>
      </c>
      <c r="F3065" s="34">
        <v>21.080500000000001</v>
      </c>
      <c r="G3065" s="34">
        <f>IF(ISNUMBER(F3065),E3065*F3065,"")</f>
        <v>3.1620750000000002</v>
      </c>
      <c r="H3065" s="39">
        <f>SUM(G3065:G3066)</f>
        <v>3.1620750000000002</v>
      </c>
      <c r="I3065" s="40"/>
      <c r="J3065" s="155">
        <v>0</v>
      </c>
    </row>
    <row r="3066" spans="1:10" ht="26.25" hidden="1" thickBot="1" x14ac:dyDescent="0.3">
      <c r="A3066" s="200"/>
      <c r="B3066" s="202"/>
      <c r="C3066" s="36" t="s">
        <v>952</v>
      </c>
      <c r="D3066" s="36" t="s">
        <v>20</v>
      </c>
      <c r="E3066" s="37">
        <v>1</v>
      </c>
      <c r="F3066" s="31" t="s">
        <v>558</v>
      </c>
      <c r="G3066" s="34" t="str">
        <f>IF(ISNUMBER(F3066),E3066*F3066,"")</f>
        <v/>
      </c>
      <c r="H3066" s="35"/>
      <c r="I3066" s="31"/>
      <c r="J3066" s="155">
        <v>0</v>
      </c>
    </row>
    <row r="3067" spans="1:10" ht="15.75" hidden="1" thickBot="1" x14ac:dyDescent="0.3">
      <c r="A3067" s="201"/>
      <c r="B3067" s="188"/>
      <c r="C3067" s="36"/>
      <c r="D3067" s="36"/>
      <c r="E3067" s="37"/>
      <c r="F3067" s="31" t="s">
        <v>558</v>
      </c>
      <c r="G3067" s="34" t="str">
        <f>IF(ISNUMBER(F3067),E3067*F3067,"")</f>
        <v/>
      </c>
      <c r="H3067" s="35"/>
      <c r="I3067" s="31"/>
      <c r="J3067" s="155">
        <v>0</v>
      </c>
    </row>
    <row r="3068" spans="1:10" ht="15.75" hidden="1" thickBot="1" x14ac:dyDescent="0.3">
      <c r="A3068" s="180" t="s">
        <v>953</v>
      </c>
      <c r="B3068" s="186" t="str">
        <f>INDEX(Orçamentária!A:B,MATCH(Composições!A3068,Orçamentária!A:A,0),2)</f>
        <v>Carrinho para porta de correr 2 roldanas e 2 furos</v>
      </c>
      <c r="C3068" s="41"/>
      <c r="D3068" s="26" t="str">
        <f>TRIM(INDEX(Orçamentária!C:C,MATCH(Composições!A3068,Orçamentária!A:A,0),1))</f>
        <v>un</v>
      </c>
      <c r="E3068" s="27"/>
      <c r="F3068" s="42" t="s">
        <v>558</v>
      </c>
      <c r="G3068" s="28" t="str">
        <f>IF(ISNUMBER(F3068),E3068*F3068,"")</f>
        <v/>
      </c>
      <c r="H3068" s="29"/>
      <c r="I3068" s="30"/>
      <c r="J3068" s="155">
        <v>0</v>
      </c>
    </row>
    <row r="3069" spans="1:10" ht="15.75" hidden="1" thickBot="1" x14ac:dyDescent="0.3">
      <c r="A3069" s="200"/>
      <c r="B3069" s="202"/>
      <c r="C3069" s="32"/>
      <c r="D3069" s="32"/>
      <c r="E3069" s="33"/>
      <c r="F3069" s="43" t="s">
        <v>558</v>
      </c>
      <c r="G3069" s="34" t="str">
        <f>IF(ISNUMBER(F3069),E3069*F3069,"")</f>
        <v/>
      </c>
      <c r="H3069" s="35"/>
      <c r="I3069" s="31"/>
      <c r="J3069" s="155">
        <v>0</v>
      </c>
    </row>
    <row r="3070" spans="1:10" ht="15.75" hidden="1" thickBot="1" x14ac:dyDescent="0.3">
      <c r="A3070" s="200"/>
      <c r="B3070" s="202"/>
      <c r="C3070" s="36" t="s">
        <v>68</v>
      </c>
      <c r="D3070" s="36" t="s">
        <v>12</v>
      </c>
      <c r="E3070" s="37">
        <v>0.15</v>
      </c>
      <c r="F3070" s="34">
        <v>21.080500000000001</v>
      </c>
      <c r="G3070" s="34">
        <f>IF(ISNUMBER(F3070),E3070*F3070,"")</f>
        <v>3.1620750000000002</v>
      </c>
      <c r="H3070" s="39">
        <f>SUM(G3070:G3071)</f>
        <v>3.1620750000000002</v>
      </c>
      <c r="I3070" s="40"/>
      <c r="J3070" s="155">
        <v>0</v>
      </c>
    </row>
    <row r="3071" spans="1:10" ht="26.25" hidden="1" thickBot="1" x14ac:dyDescent="0.3">
      <c r="A3071" s="200"/>
      <c r="B3071" s="202"/>
      <c r="C3071" s="36" t="s">
        <v>954</v>
      </c>
      <c r="D3071" s="36" t="s">
        <v>20</v>
      </c>
      <c r="E3071" s="37">
        <v>1</v>
      </c>
      <c r="F3071" s="31" t="s">
        <v>558</v>
      </c>
      <c r="G3071" s="34" t="str">
        <f>IF(ISNUMBER(F3071),E3071*F3071,"")</f>
        <v/>
      </c>
      <c r="H3071" s="35"/>
      <c r="I3071" s="31"/>
      <c r="J3071" s="155">
        <v>0</v>
      </c>
    </row>
    <row r="3072" spans="1:10" ht="15.75" hidden="1" thickBot="1" x14ac:dyDescent="0.3">
      <c r="A3072" s="201"/>
      <c r="B3072" s="188"/>
      <c r="C3072" s="36"/>
      <c r="D3072" s="36"/>
      <c r="E3072" s="37"/>
      <c r="F3072" s="31" t="s">
        <v>558</v>
      </c>
      <c r="G3072" s="34" t="str">
        <f>IF(ISNUMBER(F3072),E3072*F3072,"")</f>
        <v/>
      </c>
      <c r="H3072" s="35"/>
      <c r="I3072" s="31"/>
      <c r="J3072" s="155">
        <v>0</v>
      </c>
    </row>
    <row r="3073" spans="1:10" ht="15.75" hidden="1" thickBot="1" x14ac:dyDescent="0.3">
      <c r="A3073" s="180" t="s">
        <v>955</v>
      </c>
      <c r="B3073" s="186" t="str">
        <f>INDEX(Orçamentária!A:B,MATCH(Composições!A3073,Orçamentária!A:A,0),2)</f>
        <v>Carrinho para porta de correr com roldana côncava</v>
      </c>
      <c r="C3073" s="41"/>
      <c r="D3073" s="26" t="str">
        <f>TRIM(INDEX(Orçamentária!C:C,MATCH(Composições!A3073,Orçamentária!A:A,0),1))</f>
        <v>un</v>
      </c>
      <c r="E3073" s="27"/>
      <c r="F3073" s="42" t="s">
        <v>558</v>
      </c>
      <c r="G3073" s="28" t="str">
        <f>IF(ISNUMBER(F3073),E3073*F3073,"")</f>
        <v/>
      </c>
      <c r="H3073" s="29"/>
      <c r="I3073" s="30"/>
      <c r="J3073" s="155">
        <v>0</v>
      </c>
    </row>
    <row r="3074" spans="1:10" ht="15.75" hidden="1" thickBot="1" x14ac:dyDescent="0.3">
      <c r="A3074" s="200"/>
      <c r="B3074" s="202"/>
      <c r="C3074" s="32"/>
      <c r="D3074" s="32"/>
      <c r="E3074" s="33"/>
      <c r="F3074" s="43" t="s">
        <v>558</v>
      </c>
      <c r="G3074" s="34" t="str">
        <f>IF(ISNUMBER(F3074),E3074*F3074,"")</f>
        <v/>
      </c>
      <c r="H3074" s="35"/>
      <c r="I3074" s="31"/>
      <c r="J3074" s="155">
        <v>0</v>
      </c>
    </row>
    <row r="3075" spans="1:10" ht="15.75" hidden="1" thickBot="1" x14ac:dyDescent="0.3">
      <c r="A3075" s="200"/>
      <c r="B3075" s="202"/>
      <c r="C3075" s="36" t="s">
        <v>68</v>
      </c>
      <c r="D3075" s="36" t="s">
        <v>12</v>
      </c>
      <c r="E3075" s="37">
        <v>0.15</v>
      </c>
      <c r="F3075" s="34">
        <v>21.080500000000001</v>
      </c>
      <c r="G3075" s="34">
        <f>IF(ISNUMBER(F3075),E3075*F3075,"")</f>
        <v>3.1620750000000002</v>
      </c>
      <c r="H3075" s="39">
        <f>SUM(G3075:G3076)</f>
        <v>3.1620750000000002</v>
      </c>
      <c r="I3075" s="40"/>
      <c r="J3075" s="155">
        <v>0</v>
      </c>
    </row>
    <row r="3076" spans="1:10" ht="26.25" hidden="1" thickBot="1" x14ac:dyDescent="0.3">
      <c r="A3076" s="200"/>
      <c r="B3076" s="202"/>
      <c r="C3076" s="36" t="s">
        <v>956</v>
      </c>
      <c r="D3076" s="36" t="s">
        <v>20</v>
      </c>
      <c r="E3076" s="37">
        <v>1</v>
      </c>
      <c r="F3076" s="31" t="s">
        <v>558</v>
      </c>
      <c r="G3076" s="34" t="str">
        <f>IF(ISNUMBER(F3076),E3076*F3076,"")</f>
        <v/>
      </c>
      <c r="H3076" s="35"/>
      <c r="I3076" s="31"/>
      <c r="J3076" s="155">
        <v>0</v>
      </c>
    </row>
    <row r="3077" spans="1:10" ht="15.75" hidden="1" thickBot="1" x14ac:dyDescent="0.3">
      <c r="A3077" s="201"/>
      <c r="B3077" s="188"/>
      <c r="C3077" s="36"/>
      <c r="D3077" s="36"/>
      <c r="E3077" s="37"/>
      <c r="F3077" s="31" t="s">
        <v>558</v>
      </c>
      <c r="G3077" s="34" t="str">
        <f>IF(ISNUMBER(F3077),E3077*F3077,"")</f>
        <v/>
      </c>
      <c r="H3077" s="35"/>
      <c r="I3077" s="31"/>
      <c r="J3077" s="155">
        <v>0</v>
      </c>
    </row>
    <row r="3078" spans="1:10" ht="15.75" hidden="1" thickBot="1" x14ac:dyDescent="0.3">
      <c r="A3078" s="180" t="s">
        <v>957</v>
      </c>
      <c r="B3078" s="186" t="str">
        <f>INDEX(Orçamentária!A:B,MATCH(Composições!A3078,Orçamentária!A:A,0),2)</f>
        <v>Guia de nylon para porta de correr</v>
      </c>
      <c r="C3078" s="41"/>
      <c r="D3078" s="26" t="str">
        <f>TRIM(INDEX(Orçamentária!C:C,MATCH(Composições!A3078,Orçamentária!A:A,0),1))</f>
        <v>un</v>
      </c>
      <c r="E3078" s="27"/>
      <c r="F3078" s="42" t="s">
        <v>558</v>
      </c>
      <c r="G3078" s="28" t="str">
        <f>IF(ISNUMBER(F3078),E3078*F3078,"")</f>
        <v/>
      </c>
      <c r="H3078" s="29"/>
      <c r="I3078" s="30"/>
      <c r="J3078" s="155">
        <v>0</v>
      </c>
    </row>
    <row r="3079" spans="1:10" ht="15.75" hidden="1" thickBot="1" x14ac:dyDescent="0.3">
      <c r="A3079" s="200"/>
      <c r="B3079" s="202"/>
      <c r="C3079" s="32"/>
      <c r="D3079" s="32"/>
      <c r="E3079" s="33"/>
      <c r="F3079" s="43" t="s">
        <v>558</v>
      </c>
      <c r="G3079" s="34" t="str">
        <f>IF(ISNUMBER(F3079),E3079*F3079,"")</f>
        <v/>
      </c>
      <c r="H3079" s="35"/>
      <c r="I3079" s="31"/>
      <c r="J3079" s="155">
        <v>0</v>
      </c>
    </row>
    <row r="3080" spans="1:10" ht="15.75" hidden="1" thickBot="1" x14ac:dyDescent="0.3">
      <c r="A3080" s="200"/>
      <c r="B3080" s="202"/>
      <c r="C3080" s="36" t="s">
        <v>68</v>
      </c>
      <c r="D3080" s="36" t="s">
        <v>12</v>
      </c>
      <c r="E3080" s="37">
        <v>0.15</v>
      </c>
      <c r="F3080" s="34">
        <v>21.080500000000001</v>
      </c>
      <c r="G3080" s="34">
        <f>IF(ISNUMBER(F3080),E3080*F3080,"")</f>
        <v>3.1620750000000002</v>
      </c>
      <c r="H3080" s="39">
        <f>SUM(G3080:G3081)</f>
        <v>3.1620750000000002</v>
      </c>
      <c r="I3080" s="40"/>
      <c r="J3080" s="155">
        <v>0</v>
      </c>
    </row>
    <row r="3081" spans="1:10" ht="15.75" hidden="1" thickBot="1" x14ac:dyDescent="0.3">
      <c r="A3081" s="200"/>
      <c r="B3081" s="202"/>
      <c r="C3081" s="36" t="s">
        <v>958</v>
      </c>
      <c r="D3081" s="36" t="s">
        <v>20</v>
      </c>
      <c r="E3081" s="37">
        <v>1</v>
      </c>
      <c r="F3081" s="31" t="s">
        <v>558</v>
      </c>
      <c r="G3081" s="34" t="str">
        <f>IF(ISNUMBER(F3081),E3081*F3081,"")</f>
        <v/>
      </c>
      <c r="H3081" s="35"/>
      <c r="I3081" s="31"/>
      <c r="J3081" s="155">
        <v>0</v>
      </c>
    </row>
    <row r="3082" spans="1:10" ht="15.75" hidden="1" thickBot="1" x14ac:dyDescent="0.3">
      <c r="A3082" s="201"/>
      <c r="B3082" s="188"/>
      <c r="C3082" s="36"/>
      <c r="D3082" s="36"/>
      <c r="E3082" s="37"/>
      <c r="F3082" s="31" t="s">
        <v>558</v>
      </c>
      <c r="G3082" s="34" t="str">
        <f>IF(ISNUMBER(F3082),E3082*F3082,"")</f>
        <v/>
      </c>
      <c r="H3082" s="35"/>
      <c r="I3082" s="31"/>
      <c r="J3082" s="155">
        <v>0</v>
      </c>
    </row>
    <row r="3083" spans="1:10" ht="15.75" hidden="1" thickBot="1" x14ac:dyDescent="0.3">
      <c r="A3083" s="180" t="s">
        <v>959</v>
      </c>
      <c r="B3083" s="186" t="str">
        <f>INDEX(Orçamentária!A:B,MATCH(Composições!A3083,Orçamentária!A:A,0),2)</f>
        <v>Puxador H tubular em aço inox, comprimento 45cm, para portas de vidro temperado</v>
      </c>
      <c r="C3083" s="41"/>
      <c r="D3083" s="26" t="str">
        <f>TRIM(INDEX(Orçamentária!C:C,MATCH(Composições!A3083,Orçamentária!A:A,0),1))</f>
        <v>un</v>
      </c>
      <c r="E3083" s="27"/>
      <c r="F3083" s="42" t="s">
        <v>558</v>
      </c>
      <c r="G3083" s="28" t="str">
        <f>IF(ISNUMBER(F3083),E3083*F3083,"")</f>
        <v/>
      </c>
      <c r="H3083" s="29"/>
      <c r="I3083" s="30"/>
      <c r="J3083" s="155">
        <v>0</v>
      </c>
    </row>
    <row r="3084" spans="1:10" ht="15.75" hidden="1" thickBot="1" x14ac:dyDescent="0.3">
      <c r="A3084" s="200"/>
      <c r="B3084" s="202"/>
      <c r="C3084" s="32"/>
      <c r="D3084" s="32"/>
      <c r="E3084" s="33"/>
      <c r="F3084" s="43" t="s">
        <v>558</v>
      </c>
      <c r="G3084" s="34" t="str">
        <f>IF(ISNUMBER(F3084),E3084*F3084,"")</f>
        <v/>
      </c>
      <c r="H3084" s="35"/>
      <c r="I3084" s="31"/>
      <c r="J3084" s="155">
        <v>0</v>
      </c>
    </row>
    <row r="3085" spans="1:10" ht="15.75" hidden="1" thickBot="1" x14ac:dyDescent="0.3">
      <c r="A3085" s="200"/>
      <c r="B3085" s="202"/>
      <c r="C3085" s="36" t="s">
        <v>68</v>
      </c>
      <c r="D3085" s="36" t="s">
        <v>12</v>
      </c>
      <c r="E3085" s="37">
        <v>0.4</v>
      </c>
      <c r="F3085" s="34">
        <v>21.080500000000001</v>
      </c>
      <c r="G3085" s="34">
        <f>IF(ISNUMBER(F3085),E3085*F3085,"")</f>
        <v>8.4321999999999999</v>
      </c>
      <c r="H3085" s="39">
        <f>SUM(G3085:G3086)</f>
        <v>8.4321999999999999</v>
      </c>
      <c r="I3085" s="40"/>
      <c r="J3085" s="155">
        <v>0</v>
      </c>
    </row>
    <row r="3086" spans="1:10" ht="39" hidden="1" thickBot="1" x14ac:dyDescent="0.3">
      <c r="A3086" s="200"/>
      <c r="B3086" s="202"/>
      <c r="C3086" s="36" t="s">
        <v>960</v>
      </c>
      <c r="D3086" s="36" t="s">
        <v>20</v>
      </c>
      <c r="E3086" s="37">
        <v>1</v>
      </c>
      <c r="F3086" s="31" t="s">
        <v>558</v>
      </c>
      <c r="G3086" s="34" t="str">
        <f>IF(ISNUMBER(F3086),E3086*F3086,"")</f>
        <v/>
      </c>
      <c r="H3086" s="35"/>
      <c r="I3086" s="31"/>
      <c r="J3086" s="155">
        <v>0</v>
      </c>
    </row>
    <row r="3087" spans="1:10" ht="15.75" hidden="1" thickBot="1" x14ac:dyDescent="0.3">
      <c r="A3087" s="201"/>
      <c r="B3087" s="188"/>
      <c r="C3087" s="36"/>
      <c r="D3087" s="36"/>
      <c r="E3087" s="37"/>
      <c r="F3087" s="31" t="s">
        <v>558</v>
      </c>
      <c r="G3087" s="34" t="str">
        <f>IF(ISNUMBER(F3087),E3087*F3087,"")</f>
        <v/>
      </c>
      <c r="H3087" s="35"/>
      <c r="I3087" s="31"/>
      <c r="J3087" s="155">
        <v>0</v>
      </c>
    </row>
    <row r="3088" spans="1:10" ht="15.75" hidden="1" thickBot="1" x14ac:dyDescent="0.3">
      <c r="A3088" s="180" t="s">
        <v>961</v>
      </c>
      <c r="B3088" s="186" t="str">
        <f>INDEX(Orçamentária!A:B,MATCH(Composições!A3088,Orçamentária!A:A,0),2)</f>
        <v>Transporte de vidros</v>
      </c>
      <c r="C3088" s="41"/>
      <c r="D3088" s="26" t="str">
        <f>TRIM(INDEX(Orçamentária!C:C,MATCH(Composições!A3088,Orçamentária!A:A,0),1))</f>
        <v>m2 x km</v>
      </c>
      <c r="E3088" s="27"/>
      <c r="F3088" s="42" t="s">
        <v>558</v>
      </c>
      <c r="G3088" s="28" t="str">
        <f>IF(ISNUMBER(F3088),E3088*F3088,"")</f>
        <v/>
      </c>
      <c r="H3088" s="29"/>
      <c r="I3088" s="30"/>
      <c r="J3088" s="155">
        <v>0</v>
      </c>
    </row>
    <row r="3089" spans="1:10" ht="15.75" hidden="1" thickBot="1" x14ac:dyDescent="0.3">
      <c r="A3089" s="181"/>
      <c r="B3089" s="202"/>
      <c r="C3089" s="32"/>
      <c r="D3089" s="32"/>
      <c r="E3089" s="33"/>
      <c r="F3089" s="43" t="s">
        <v>558</v>
      </c>
      <c r="G3089" s="34" t="str">
        <f>IF(ISNUMBER(F3089),E3089*F3089,"")</f>
        <v/>
      </c>
      <c r="H3089" s="35"/>
      <c r="I3089" s="31"/>
      <c r="J3089" s="155">
        <v>0</v>
      </c>
    </row>
    <row r="3090" spans="1:10" ht="15.75" hidden="1" thickBot="1" x14ac:dyDescent="0.3">
      <c r="A3090" s="181"/>
      <c r="B3090" s="202"/>
      <c r="C3090" s="36" t="s">
        <v>23</v>
      </c>
      <c r="D3090" s="36" t="s">
        <v>12</v>
      </c>
      <c r="E3090" s="37">
        <v>2.9209999999999998</v>
      </c>
      <c r="F3090" s="34">
        <v>16.729499999999998</v>
      </c>
      <c r="G3090" s="34">
        <f>IF(ISNUMBER(F3090),E3090*F3090,"")</f>
        <v>48.866869499999993</v>
      </c>
      <c r="H3090" s="39">
        <f>SUM(G3090:G3090)</f>
        <v>48.866869499999993</v>
      </c>
      <c r="I3090" s="40"/>
      <c r="J3090" s="155">
        <v>0</v>
      </c>
    </row>
    <row r="3091" spans="1:10" ht="15.75" hidden="1" thickBot="1" x14ac:dyDescent="0.3">
      <c r="A3091" s="181"/>
      <c r="B3091" s="202"/>
      <c r="C3091" s="36"/>
      <c r="D3091" s="36"/>
      <c r="E3091" s="37"/>
      <c r="F3091" s="31" t="s">
        <v>558</v>
      </c>
      <c r="G3091" s="34" t="str">
        <f>IF(ISNUMBER(F3091),E3091*F3091,"")</f>
        <v/>
      </c>
      <c r="H3091" s="35"/>
      <c r="I3091" s="31"/>
      <c r="J3091" s="155">
        <v>0</v>
      </c>
    </row>
    <row r="3092" spans="1:10" ht="15.75" hidden="1" thickBot="1" x14ac:dyDescent="0.3">
      <c r="A3092" s="181"/>
      <c r="B3092" s="202"/>
      <c r="C3092" s="52" t="s">
        <v>931</v>
      </c>
      <c r="D3092" s="36"/>
      <c r="E3092" s="37"/>
      <c r="F3092" s="31" t="s">
        <v>558</v>
      </c>
      <c r="G3092" s="34" t="str">
        <f>IF(ISNUMBER(F3092),E3092*F3092,"")</f>
        <v/>
      </c>
      <c r="H3092" s="35"/>
      <c r="I3092" s="31"/>
      <c r="J3092" s="155">
        <v>0</v>
      </c>
    </row>
    <row r="3093" spans="1:10" ht="15.75" hidden="1" thickBot="1" x14ac:dyDescent="0.3">
      <c r="A3093" s="182"/>
      <c r="B3093" s="188"/>
      <c r="C3093" s="36"/>
      <c r="D3093" s="36"/>
      <c r="E3093" s="37"/>
      <c r="F3093" s="31" t="s">
        <v>558</v>
      </c>
      <c r="G3093" s="34" t="str">
        <f>IF(ISNUMBER(F3093),E3093*F3093,"")</f>
        <v/>
      </c>
      <c r="H3093" s="35"/>
      <c r="I3093" s="31"/>
      <c r="J3093" s="155">
        <v>0</v>
      </c>
    </row>
    <row r="3094" spans="1:10" ht="15.75" hidden="1" thickBot="1" x14ac:dyDescent="0.3">
      <c r="A3094" s="180" t="s">
        <v>962</v>
      </c>
      <c r="B3094" s="186" t="str">
        <f>INDEX(Orçamentária!A:B,MATCH(Composições!A3094,Orçamentária!A:A,0),2)</f>
        <v>Vidro fantasia 4mm (canelado, martelado, pontilhado e mini-boreal)</v>
      </c>
      <c r="C3094" s="41"/>
      <c r="D3094" s="26" t="str">
        <f>TRIM(INDEX(Orçamentária!C:C,MATCH(Composições!A3094,Orçamentária!A:A,0),1))</f>
        <v>m2</v>
      </c>
      <c r="E3094" s="27"/>
      <c r="F3094" s="42" t="s">
        <v>558</v>
      </c>
      <c r="G3094" s="28" t="str">
        <f>IF(ISNUMBER(F3094),E3094*F3094,"")</f>
        <v/>
      </c>
      <c r="H3094" s="29"/>
      <c r="I3094" s="30"/>
      <c r="J3094" s="155">
        <v>0</v>
      </c>
    </row>
    <row r="3095" spans="1:10" ht="15.75" hidden="1" thickBot="1" x14ac:dyDescent="0.3">
      <c r="A3095" s="200"/>
      <c r="B3095" s="202"/>
      <c r="C3095" s="32"/>
      <c r="D3095" s="32"/>
      <c r="E3095" s="33"/>
      <c r="F3095" s="43" t="s">
        <v>558</v>
      </c>
      <c r="G3095" s="34" t="str">
        <f>IF(ISNUMBER(F3095),E3095*F3095,"")</f>
        <v/>
      </c>
      <c r="H3095" s="35"/>
      <c r="I3095" s="31"/>
      <c r="J3095" s="155">
        <v>0</v>
      </c>
    </row>
    <row r="3096" spans="1:10" ht="15.75" hidden="1" thickBot="1" x14ac:dyDescent="0.3">
      <c r="A3096" s="200"/>
      <c r="B3096" s="202"/>
      <c r="C3096" s="36" t="s">
        <v>68</v>
      </c>
      <c r="D3096" s="36" t="s">
        <v>12</v>
      </c>
      <c r="E3096" s="37">
        <v>1.5</v>
      </c>
      <c r="F3096" s="34">
        <v>21.080500000000001</v>
      </c>
      <c r="G3096" s="34">
        <f>IF(ISNUMBER(F3096),E3096*F3096,"")</f>
        <v>31.620750000000001</v>
      </c>
      <c r="H3096" s="39">
        <f>SUM(G3096:G3098)</f>
        <v>112.73174999999999</v>
      </c>
      <c r="I3096" s="40"/>
      <c r="J3096" s="155">
        <v>0</v>
      </c>
    </row>
    <row r="3097" spans="1:10" ht="15.75" hidden="1" thickBot="1" x14ac:dyDescent="0.3">
      <c r="A3097" s="200"/>
      <c r="B3097" s="202"/>
      <c r="C3097" s="36" t="s">
        <v>23</v>
      </c>
      <c r="D3097" s="36" t="s">
        <v>12</v>
      </c>
      <c r="E3097" s="37">
        <v>1</v>
      </c>
      <c r="F3097" s="34">
        <v>16.729499999999998</v>
      </c>
      <c r="G3097" s="34">
        <f>IF(ISNUMBER(F3097),E3097*F3097,"")</f>
        <v>16.729499999999998</v>
      </c>
      <c r="H3097" s="35"/>
      <c r="I3097" s="31"/>
      <c r="J3097" s="155">
        <v>0</v>
      </c>
    </row>
    <row r="3098" spans="1:10" ht="15.75" hidden="1" thickBot="1" x14ac:dyDescent="0.3">
      <c r="A3098" s="200"/>
      <c r="B3098" s="202"/>
      <c r="C3098" s="36" t="s">
        <v>963</v>
      </c>
      <c r="D3098" s="36" t="s">
        <v>95</v>
      </c>
      <c r="E3098" s="37">
        <v>1</v>
      </c>
      <c r="F3098" s="31">
        <v>64.381499999999988</v>
      </c>
      <c r="G3098" s="34">
        <f>IF(ISNUMBER(F3098),E3098*F3098,"")</f>
        <v>64.381499999999988</v>
      </c>
      <c r="H3098" s="35"/>
      <c r="I3098" s="31"/>
      <c r="J3098" s="155">
        <v>0</v>
      </c>
    </row>
    <row r="3099" spans="1:10" ht="15.75" hidden="1" thickBot="1" x14ac:dyDescent="0.3">
      <c r="A3099" s="201"/>
      <c r="B3099" s="188"/>
      <c r="C3099" s="36"/>
      <c r="D3099" s="36"/>
      <c r="E3099" s="37"/>
      <c r="F3099" s="31" t="s">
        <v>558</v>
      </c>
      <c r="G3099" s="34" t="str">
        <f>IF(ISNUMBER(F3099),E3099*F3099,"")</f>
        <v/>
      </c>
      <c r="H3099" s="35"/>
      <c r="I3099" s="31"/>
      <c r="J3099" s="155">
        <v>0</v>
      </c>
    </row>
    <row r="3100" spans="1:10" ht="15.75" hidden="1" thickBot="1" x14ac:dyDescent="0.3">
      <c r="A3100" s="180" t="s">
        <v>964</v>
      </c>
      <c r="B3100" s="186" t="str">
        <f>INDEX(Orçamentária!A:B,MATCH(Composições!A3100,Orçamentária!A:A,0),2)</f>
        <v>Vidro fumê/bronze 5mm</v>
      </c>
      <c r="C3100" s="41"/>
      <c r="D3100" s="26" t="str">
        <f>TRIM(INDEX(Orçamentária!C:C,MATCH(Composições!A3100,Orçamentária!A:A,0),1))</f>
        <v>m2</v>
      </c>
      <c r="E3100" s="27"/>
      <c r="F3100" s="42" t="s">
        <v>558</v>
      </c>
      <c r="G3100" s="28" t="str">
        <f>IF(ISNUMBER(F3100),E3100*F3100,"")</f>
        <v/>
      </c>
      <c r="H3100" s="29"/>
      <c r="I3100" s="30"/>
      <c r="J3100" s="155">
        <v>0</v>
      </c>
    </row>
    <row r="3101" spans="1:10" ht="15.75" hidden="1" thickBot="1" x14ac:dyDescent="0.3">
      <c r="A3101" s="200"/>
      <c r="B3101" s="202"/>
      <c r="C3101" s="32"/>
      <c r="D3101" s="32"/>
      <c r="E3101" s="33"/>
      <c r="F3101" s="43" t="s">
        <v>558</v>
      </c>
      <c r="G3101" s="34" t="str">
        <f>IF(ISNUMBER(F3101),E3101*F3101,"")</f>
        <v/>
      </c>
      <c r="H3101" s="35"/>
      <c r="I3101" s="31"/>
      <c r="J3101" s="155">
        <v>0</v>
      </c>
    </row>
    <row r="3102" spans="1:10" ht="15.75" hidden="1" thickBot="1" x14ac:dyDescent="0.3">
      <c r="A3102" s="200"/>
      <c r="B3102" s="202"/>
      <c r="C3102" s="36" t="s">
        <v>68</v>
      </c>
      <c r="D3102" s="36" t="s">
        <v>12</v>
      </c>
      <c r="E3102" s="37">
        <v>1.5</v>
      </c>
      <c r="F3102" s="34">
        <v>21.080500000000001</v>
      </c>
      <c r="G3102" s="34">
        <f>IF(ISNUMBER(F3102),E3102*F3102,"")</f>
        <v>31.620750000000001</v>
      </c>
      <c r="H3102" s="39">
        <f>SUM(G3102:G3104)</f>
        <v>159.54775000000001</v>
      </c>
      <c r="I3102" s="40"/>
      <c r="J3102" s="155">
        <v>0</v>
      </c>
    </row>
    <row r="3103" spans="1:10" ht="15.75" hidden="1" thickBot="1" x14ac:dyDescent="0.3">
      <c r="A3103" s="200"/>
      <c r="B3103" s="202"/>
      <c r="C3103" s="36" t="s">
        <v>23</v>
      </c>
      <c r="D3103" s="36" t="s">
        <v>12</v>
      </c>
      <c r="E3103" s="37">
        <v>1</v>
      </c>
      <c r="F3103" s="34">
        <v>16.729499999999998</v>
      </c>
      <c r="G3103" s="34">
        <f>IF(ISNUMBER(F3103),E3103*F3103,"")</f>
        <v>16.729499999999998</v>
      </c>
      <c r="H3103" s="35"/>
      <c r="I3103" s="31"/>
      <c r="J3103" s="155">
        <v>0</v>
      </c>
    </row>
    <row r="3104" spans="1:10" ht="15.75" hidden="1" thickBot="1" x14ac:dyDescent="0.3">
      <c r="A3104" s="200"/>
      <c r="B3104" s="202"/>
      <c r="C3104" s="36" t="s">
        <v>965</v>
      </c>
      <c r="D3104" s="36" t="s">
        <v>95</v>
      </c>
      <c r="E3104" s="37">
        <v>1</v>
      </c>
      <c r="F3104" s="31">
        <v>111.19749999999999</v>
      </c>
      <c r="G3104" s="34">
        <f>IF(ISNUMBER(F3104),E3104*F3104,"")</f>
        <v>111.19749999999999</v>
      </c>
      <c r="H3104" s="35"/>
      <c r="I3104" s="31"/>
      <c r="J3104" s="155">
        <v>0</v>
      </c>
    </row>
    <row r="3105" spans="1:10" ht="15.75" hidden="1" thickBot="1" x14ac:dyDescent="0.3">
      <c r="A3105" s="201"/>
      <c r="B3105" s="188"/>
      <c r="C3105" s="36"/>
      <c r="D3105" s="36"/>
      <c r="E3105" s="37"/>
      <c r="F3105" s="31" t="s">
        <v>558</v>
      </c>
      <c r="G3105" s="34" t="str">
        <f>IF(ISNUMBER(F3105),E3105*F3105,"")</f>
        <v/>
      </c>
      <c r="H3105" s="35"/>
      <c r="I3105" s="31"/>
      <c r="J3105" s="155">
        <v>0</v>
      </c>
    </row>
    <row r="3106" spans="1:10" ht="15.75" hidden="1" thickBot="1" x14ac:dyDescent="0.3">
      <c r="A3106" s="180" t="s">
        <v>966</v>
      </c>
      <c r="B3106" s="186" t="str">
        <f>INDEX(Orçamentária!A:B,MATCH(Composições!A3106,Orçamentária!A:A,0),2)</f>
        <v>Recuperação de massa em esquadria metálica</v>
      </c>
      <c r="C3106" s="41"/>
      <c r="D3106" s="26" t="str">
        <f>TRIM(INDEX(Orçamentária!C:C,MATCH(Composições!A3106,Orçamentária!A:A,0),1))</f>
        <v>m</v>
      </c>
      <c r="E3106" s="27"/>
      <c r="F3106" s="42" t="s">
        <v>558</v>
      </c>
      <c r="G3106" s="28" t="str">
        <f>IF(ISNUMBER(F3106),E3106*F3106,"")</f>
        <v/>
      </c>
      <c r="H3106" s="29"/>
      <c r="I3106" s="30"/>
      <c r="J3106" s="155">
        <v>0</v>
      </c>
    </row>
    <row r="3107" spans="1:10" ht="15.75" hidden="1" thickBot="1" x14ac:dyDescent="0.3">
      <c r="A3107" s="200"/>
      <c r="B3107" s="202"/>
      <c r="C3107" s="32"/>
      <c r="D3107" s="32"/>
      <c r="E3107" s="33"/>
      <c r="F3107" s="43" t="s">
        <v>558</v>
      </c>
      <c r="G3107" s="34" t="str">
        <f>IF(ISNUMBER(F3107),E3107*F3107,"")</f>
        <v/>
      </c>
      <c r="H3107" s="35"/>
      <c r="I3107" s="31"/>
      <c r="J3107" s="155">
        <v>0</v>
      </c>
    </row>
    <row r="3108" spans="1:10" ht="15.75" hidden="1" thickBot="1" x14ac:dyDescent="0.3">
      <c r="A3108" s="200"/>
      <c r="B3108" s="202"/>
      <c r="C3108" s="36" t="s">
        <v>68</v>
      </c>
      <c r="D3108" s="50" t="s">
        <v>12</v>
      </c>
      <c r="E3108" s="37">
        <v>0.5</v>
      </c>
      <c r="F3108" s="34">
        <v>21.080500000000001</v>
      </c>
      <c r="G3108" s="34">
        <f>IF(ISNUMBER(F3108),E3108*F3108,"")</f>
        <v>10.54025</v>
      </c>
      <c r="H3108" s="39">
        <f>SUM(G3108:G3110)</f>
        <v>24.545625000000001</v>
      </c>
      <c r="I3108" s="40"/>
      <c r="J3108" s="155">
        <v>0</v>
      </c>
    </row>
    <row r="3109" spans="1:10" ht="15.75" hidden="1" thickBot="1" x14ac:dyDescent="0.3">
      <c r="A3109" s="200"/>
      <c r="B3109" s="202"/>
      <c r="C3109" s="36" t="s">
        <v>23</v>
      </c>
      <c r="D3109" s="36" t="s">
        <v>12</v>
      </c>
      <c r="E3109" s="37">
        <v>0.25</v>
      </c>
      <c r="F3109" s="34">
        <v>16.729499999999998</v>
      </c>
      <c r="G3109" s="34">
        <f>IF(ISNUMBER(F3109),E3109*F3109,"")</f>
        <v>4.1823749999999995</v>
      </c>
      <c r="H3109" s="35"/>
      <c r="I3109" s="31"/>
      <c r="J3109" s="155">
        <v>0</v>
      </c>
    </row>
    <row r="3110" spans="1:10" ht="15.75" hidden="1" thickBot="1" x14ac:dyDescent="0.3">
      <c r="A3110" s="200"/>
      <c r="B3110" s="202"/>
      <c r="C3110" s="36" t="s">
        <v>302</v>
      </c>
      <c r="D3110" s="36" t="s">
        <v>834</v>
      </c>
      <c r="E3110" s="37">
        <v>2</v>
      </c>
      <c r="F3110" s="31">
        <v>4.9114999999999993</v>
      </c>
      <c r="G3110" s="34">
        <f>IF(ISNUMBER(F3110),E3110*F3110,"")</f>
        <v>9.8229999999999986</v>
      </c>
      <c r="H3110" s="35"/>
      <c r="I3110" s="31"/>
      <c r="J3110" s="155">
        <v>0</v>
      </c>
    </row>
    <row r="3111" spans="1:10" ht="15.75" hidden="1" thickBot="1" x14ac:dyDescent="0.3">
      <c r="A3111" s="201"/>
      <c r="B3111" s="188"/>
      <c r="C3111" s="36"/>
      <c r="D3111" s="36"/>
      <c r="E3111" s="37"/>
      <c r="F3111" s="31" t="s">
        <v>558</v>
      </c>
      <c r="G3111" s="34" t="str">
        <f>IF(ISNUMBER(F3111),E3111*F3111,"")</f>
        <v/>
      </c>
      <c r="H3111" s="35"/>
      <c r="I3111" s="31"/>
      <c r="J3111" s="155">
        <v>0</v>
      </c>
    </row>
    <row r="3112" spans="1:10" ht="15.75" hidden="1" thickBot="1" x14ac:dyDescent="0.3">
      <c r="A3112" s="180" t="s">
        <v>967</v>
      </c>
      <c r="B3112" s="186" t="str">
        <f>INDEX(Orçamentária!A:B,MATCH(Composições!A3112,Orçamentária!A:A,0),2)</f>
        <v>Instalação de espelho reaproveitado</v>
      </c>
      <c r="C3112" s="41"/>
      <c r="D3112" s="26" t="str">
        <f>TRIM(INDEX(Orçamentária!C:C,MATCH(Composições!A3112,Orçamentária!A:A,0),1))</f>
        <v>m2</v>
      </c>
      <c r="E3112" s="27"/>
      <c r="F3112" s="42" t="s">
        <v>558</v>
      </c>
      <c r="G3112" s="28" t="str">
        <f>IF(ISNUMBER(F3112),E3112*F3112,"")</f>
        <v/>
      </c>
      <c r="H3112" s="29"/>
      <c r="I3112" s="30"/>
      <c r="J3112" s="155">
        <v>0</v>
      </c>
    </row>
    <row r="3113" spans="1:10" ht="15.75" hidden="1" thickBot="1" x14ac:dyDescent="0.3">
      <c r="A3113" s="200"/>
      <c r="B3113" s="202"/>
      <c r="C3113" s="32"/>
      <c r="D3113" s="32"/>
      <c r="E3113" s="33"/>
      <c r="F3113" s="43" t="s">
        <v>558</v>
      </c>
      <c r="G3113" s="34" t="str">
        <f>IF(ISNUMBER(F3113),E3113*F3113,"")</f>
        <v/>
      </c>
      <c r="H3113" s="35"/>
      <c r="I3113" s="31"/>
      <c r="J3113" s="155">
        <v>0</v>
      </c>
    </row>
    <row r="3114" spans="1:10" ht="15.75" hidden="1" thickBot="1" x14ac:dyDescent="0.3">
      <c r="A3114" s="200"/>
      <c r="B3114" s="202"/>
      <c r="C3114" s="36" t="s">
        <v>23</v>
      </c>
      <c r="D3114" s="36" t="s">
        <v>12</v>
      </c>
      <c r="E3114" s="37">
        <v>1</v>
      </c>
      <c r="F3114" s="34">
        <v>16.729499999999998</v>
      </c>
      <c r="G3114" s="34">
        <f>IF(ISNUMBER(F3114),E3114*F3114,"")</f>
        <v>16.729499999999998</v>
      </c>
      <c r="H3114" s="39">
        <f>SUM(G3114:G3115)</f>
        <v>48.350250000000003</v>
      </c>
      <c r="I3114" s="40"/>
      <c r="J3114" s="155">
        <v>0</v>
      </c>
    </row>
    <row r="3115" spans="1:10" ht="15.75" hidden="1" thickBot="1" x14ac:dyDescent="0.3">
      <c r="A3115" s="200"/>
      <c r="B3115" s="202"/>
      <c r="C3115" s="36" t="s">
        <v>68</v>
      </c>
      <c r="D3115" s="36" t="s">
        <v>12</v>
      </c>
      <c r="E3115" s="37">
        <v>1.5</v>
      </c>
      <c r="F3115" s="34">
        <v>21.080500000000001</v>
      </c>
      <c r="G3115" s="34">
        <f>IF(ISNUMBER(F3115),E3115*F3115,"")</f>
        <v>31.620750000000001</v>
      </c>
      <c r="H3115" s="35"/>
      <c r="I3115" s="31"/>
      <c r="J3115" s="155">
        <v>0</v>
      </c>
    </row>
    <row r="3116" spans="1:10" ht="15.75" hidden="1" thickBot="1" x14ac:dyDescent="0.3">
      <c r="A3116" s="201"/>
      <c r="B3116" s="188"/>
      <c r="C3116" s="36"/>
      <c r="D3116" s="36"/>
      <c r="E3116" s="37"/>
      <c r="F3116" s="31" t="s">
        <v>558</v>
      </c>
      <c r="G3116" s="34" t="str">
        <f>IF(ISNUMBER(F3116),E3116*F3116,"")</f>
        <v/>
      </c>
      <c r="H3116" s="35"/>
      <c r="I3116" s="31"/>
      <c r="J3116" s="155">
        <v>0</v>
      </c>
    </row>
    <row r="3117" spans="1:10" ht="15.75" hidden="1" thickBot="1" x14ac:dyDescent="0.3">
      <c r="A3117" s="180" t="s">
        <v>969</v>
      </c>
      <c r="B3117" s="186" t="str">
        <f>INDEX(Orçamentária!A:B,MATCH(Composições!A3117,Orçamentária!A:A,0),2)</f>
        <v>Espelho fumê/bronze 4mm lapidado</v>
      </c>
      <c r="C3117" s="41"/>
      <c r="D3117" s="26" t="str">
        <f>TRIM(INDEX(Orçamentária!C:C,MATCH(Composições!A3117,Orçamentária!A:A,0),1))</f>
        <v>m2</v>
      </c>
      <c r="E3117" s="27"/>
      <c r="F3117" s="42" t="s">
        <v>558</v>
      </c>
      <c r="G3117" s="28" t="str">
        <f>IF(ISNUMBER(F3117),E3117*F3117,"")</f>
        <v/>
      </c>
      <c r="H3117" s="29"/>
      <c r="I3117" s="30"/>
      <c r="J3117" s="155">
        <v>0</v>
      </c>
    </row>
    <row r="3118" spans="1:10" ht="15.75" hidden="1" thickBot="1" x14ac:dyDescent="0.3">
      <c r="A3118" s="200"/>
      <c r="B3118" s="202"/>
      <c r="C3118" s="32"/>
      <c r="D3118" s="32"/>
      <c r="E3118" s="33"/>
      <c r="F3118" s="43" t="s">
        <v>558</v>
      </c>
      <c r="G3118" s="34" t="str">
        <f>IF(ISNUMBER(F3118),E3118*F3118,"")</f>
        <v/>
      </c>
      <c r="H3118" s="35"/>
      <c r="I3118" s="31"/>
      <c r="J3118" s="155">
        <v>0</v>
      </c>
    </row>
    <row r="3119" spans="1:10" ht="15.75" hidden="1" thickBot="1" x14ac:dyDescent="0.3">
      <c r="A3119" s="200"/>
      <c r="B3119" s="202"/>
      <c r="C3119" s="36" t="s">
        <v>970</v>
      </c>
      <c r="D3119" s="47" t="s">
        <v>95</v>
      </c>
      <c r="E3119" s="37">
        <v>1</v>
      </c>
      <c r="F3119" s="34" t="s">
        <v>558</v>
      </c>
      <c r="G3119" s="34" t="str">
        <f>IF(ISNUMBER(F3119),E3119*F3119,"")</f>
        <v/>
      </c>
      <c r="H3119" s="39">
        <f>SUM(G3119:G3121)</f>
        <v>48.350250000000003</v>
      </c>
      <c r="I3119" s="40"/>
      <c r="J3119" s="155">
        <v>0</v>
      </c>
    </row>
    <row r="3120" spans="1:10" ht="15.75" hidden="1" thickBot="1" x14ac:dyDescent="0.3">
      <c r="A3120" s="200"/>
      <c r="B3120" s="202"/>
      <c r="C3120" s="36" t="s">
        <v>23</v>
      </c>
      <c r="D3120" s="47" t="s">
        <v>12</v>
      </c>
      <c r="E3120" s="37">
        <v>1</v>
      </c>
      <c r="F3120" s="31">
        <v>16.729499999999998</v>
      </c>
      <c r="G3120" s="34">
        <f>IF(ISNUMBER(F3120),E3120*F3120,"")</f>
        <v>16.729499999999998</v>
      </c>
      <c r="H3120" s="35"/>
      <c r="I3120" s="31"/>
      <c r="J3120" s="155">
        <v>0</v>
      </c>
    </row>
    <row r="3121" spans="1:10" ht="15.75" hidden="1" thickBot="1" x14ac:dyDescent="0.3">
      <c r="A3121" s="200"/>
      <c r="B3121" s="202"/>
      <c r="C3121" s="36" t="s">
        <v>68</v>
      </c>
      <c r="D3121" s="47" t="s">
        <v>12</v>
      </c>
      <c r="E3121" s="37">
        <v>1.5</v>
      </c>
      <c r="F3121" s="31">
        <v>21.080500000000001</v>
      </c>
      <c r="G3121" s="34">
        <f>IF(ISNUMBER(F3121),E3121*F3121,"")</f>
        <v>31.620750000000001</v>
      </c>
      <c r="H3121" s="35"/>
      <c r="I3121" s="31"/>
      <c r="J3121" s="155">
        <v>0</v>
      </c>
    </row>
    <row r="3122" spans="1:10" ht="15.75" hidden="1" thickBot="1" x14ac:dyDescent="0.3">
      <c r="A3122" s="201"/>
      <c r="B3122" s="188"/>
      <c r="C3122" s="36"/>
      <c r="D3122" s="36"/>
      <c r="E3122" s="37"/>
      <c r="F3122" s="31" t="s">
        <v>558</v>
      </c>
      <c r="G3122" s="34" t="str">
        <f>IF(ISNUMBER(F3122),E3122*F3122,"")</f>
        <v/>
      </c>
      <c r="H3122" s="35"/>
      <c r="I3122" s="31"/>
      <c r="J3122" s="155">
        <v>0</v>
      </c>
    </row>
    <row r="3123" spans="1:10" ht="15.75" hidden="1" thickBot="1" x14ac:dyDescent="0.3">
      <c r="A3123" s="180" t="s">
        <v>971</v>
      </c>
      <c r="B3123" s="186" t="str">
        <f>INDEX(Orçamentária!A:B,MATCH(Composições!A3123,Orçamentária!A:A,0),2)</f>
        <v>Finesson (parafuso de fixação francês)</v>
      </c>
      <c r="C3123" s="41"/>
      <c r="D3123" s="26" t="str">
        <f>TRIM(INDEX(Orçamentária!C:C,MATCH(Composições!A3123,Orçamentária!A:A,0),1))</f>
        <v>un</v>
      </c>
      <c r="E3123" s="27"/>
      <c r="F3123" s="42" t="s">
        <v>558</v>
      </c>
      <c r="G3123" s="28" t="str">
        <f>IF(ISNUMBER(F3123),E3123*F3123,"")</f>
        <v/>
      </c>
      <c r="H3123" s="29"/>
      <c r="I3123" s="30"/>
      <c r="J3123" s="155">
        <v>0</v>
      </c>
    </row>
    <row r="3124" spans="1:10" ht="15.75" hidden="1" thickBot="1" x14ac:dyDescent="0.3">
      <c r="A3124" s="200"/>
      <c r="B3124" s="202"/>
      <c r="C3124" s="32"/>
      <c r="D3124" s="32"/>
      <c r="E3124" s="33"/>
      <c r="F3124" s="43" t="s">
        <v>558</v>
      </c>
      <c r="G3124" s="34" t="str">
        <f>IF(ISNUMBER(F3124),E3124*F3124,"")</f>
        <v/>
      </c>
      <c r="H3124" s="35"/>
      <c r="I3124" s="31"/>
      <c r="J3124" s="155">
        <v>0</v>
      </c>
    </row>
    <row r="3125" spans="1:10" ht="15.75" hidden="1" thickBot="1" x14ac:dyDescent="0.3">
      <c r="A3125" s="200"/>
      <c r="B3125" s="202"/>
      <c r="C3125" s="36" t="s">
        <v>68</v>
      </c>
      <c r="D3125" s="36" t="s">
        <v>12</v>
      </c>
      <c r="E3125" s="37">
        <v>0.1</v>
      </c>
      <c r="F3125" s="34">
        <v>21.080500000000001</v>
      </c>
      <c r="G3125" s="34">
        <f>IF(ISNUMBER(F3125),E3125*F3125,"")</f>
        <v>2.10805</v>
      </c>
      <c r="H3125" s="39">
        <f>SUM(G3125:G3126)</f>
        <v>6.4020499999999991</v>
      </c>
      <c r="I3125" s="40"/>
      <c r="J3125" s="155">
        <v>0</v>
      </c>
    </row>
    <row r="3126" spans="1:10" ht="26.25" hidden="1" thickBot="1" x14ac:dyDescent="0.3">
      <c r="A3126" s="200"/>
      <c r="B3126" s="202"/>
      <c r="C3126" s="36" t="s">
        <v>968</v>
      </c>
      <c r="D3126" s="36" t="s">
        <v>20</v>
      </c>
      <c r="E3126" s="37">
        <v>1</v>
      </c>
      <c r="F3126" s="31">
        <v>4.2939999999999996</v>
      </c>
      <c r="G3126" s="34">
        <f>IF(ISNUMBER(F3126),E3126*F3126,"")</f>
        <v>4.2939999999999996</v>
      </c>
      <c r="H3126" s="35"/>
      <c r="I3126" s="31"/>
      <c r="J3126" s="155">
        <v>0</v>
      </c>
    </row>
    <row r="3127" spans="1:10" ht="15.75" hidden="1" thickBot="1" x14ac:dyDescent="0.3">
      <c r="A3127" s="201"/>
      <c r="B3127" s="188"/>
      <c r="C3127" s="36"/>
      <c r="D3127" s="36"/>
      <c r="E3127" s="37"/>
      <c r="F3127" s="31" t="s">
        <v>558</v>
      </c>
      <c r="G3127" s="34" t="str">
        <f>IF(ISNUMBER(F3127),E3127*F3127,"")</f>
        <v/>
      </c>
      <c r="H3127" s="35"/>
      <c r="I3127" s="31"/>
      <c r="J3127" s="155">
        <v>0</v>
      </c>
    </row>
    <row r="3128" spans="1:10" ht="15.75" hidden="1" thickBot="1" x14ac:dyDescent="0.3">
      <c r="A3128" s="180" t="s">
        <v>972</v>
      </c>
      <c r="B3128" s="186" t="str">
        <f>INDEX(Orçamentária!A:B,MATCH(Composições!A3128,Orçamentária!A:A,0),2)</f>
        <v>Graute industrializado, 50 MPa ≤ fck ≤ 60 MPa</v>
      </c>
      <c r="C3128" s="41"/>
      <c r="D3128" s="26" t="str">
        <f>TRIM(INDEX(Orçamentária!C:C,MATCH(Composições!A3128,Orçamentária!A:A,0),1))</f>
        <v>m3</v>
      </c>
      <c r="E3128" s="27"/>
      <c r="F3128" s="42" t="s">
        <v>558</v>
      </c>
      <c r="G3128" s="28" t="str">
        <f>IF(ISNUMBER(F3128),E3128*F3128,"")</f>
        <v/>
      </c>
      <c r="H3128" s="29"/>
      <c r="I3128" s="30"/>
      <c r="J3128" s="155">
        <v>0</v>
      </c>
    </row>
    <row r="3129" spans="1:10" ht="15.75" hidden="1" thickBot="1" x14ac:dyDescent="0.3">
      <c r="A3129" s="200"/>
      <c r="B3129" s="202"/>
      <c r="C3129" s="32"/>
      <c r="D3129" s="32"/>
      <c r="E3129" s="33"/>
      <c r="F3129" s="43" t="s">
        <v>558</v>
      </c>
      <c r="G3129" s="34" t="str">
        <f>IF(ISNUMBER(F3129),E3129*F3129,"")</f>
        <v/>
      </c>
      <c r="H3129" s="35"/>
      <c r="I3129" s="31"/>
      <c r="J3129" s="155">
        <v>0</v>
      </c>
    </row>
    <row r="3130" spans="1:10" ht="15.75" hidden="1" thickBot="1" x14ac:dyDescent="0.3">
      <c r="A3130" s="200"/>
      <c r="B3130" s="202"/>
      <c r="C3130" s="36" t="s">
        <v>750</v>
      </c>
      <c r="D3130" s="47" t="s">
        <v>742</v>
      </c>
      <c r="E3130" s="37">
        <v>4.7313999999999998</v>
      </c>
      <c r="F3130" s="31">
        <v>22.704999999999998</v>
      </c>
      <c r="G3130" s="34">
        <f>IF(ISNUMBER(F3130),E3130*F3130,"")</f>
        <v>107.42643699999999</v>
      </c>
      <c r="H3130" s="39">
        <f>SUM(G3130:G3132)</f>
        <v>2977.7883817000002</v>
      </c>
      <c r="I3130" s="40"/>
      <c r="J3130" s="155">
        <v>0</v>
      </c>
    </row>
    <row r="3131" spans="1:10" ht="15.75" hidden="1" thickBot="1" x14ac:dyDescent="0.3">
      <c r="A3131" s="200"/>
      <c r="B3131" s="202"/>
      <c r="C3131" s="36" t="s">
        <v>743</v>
      </c>
      <c r="D3131" s="47" t="s">
        <v>742</v>
      </c>
      <c r="E3131" s="37">
        <v>3.3466</v>
      </c>
      <c r="F3131" s="31">
        <v>16.729499999999998</v>
      </c>
      <c r="G3131" s="34">
        <f>IF(ISNUMBER(F3131),E3131*F3131,"")</f>
        <v>55.986944699999995</v>
      </c>
      <c r="H3131" s="35"/>
      <c r="I3131" s="31"/>
      <c r="J3131" s="155">
        <v>0</v>
      </c>
    </row>
    <row r="3132" spans="1:10" ht="15.75" hidden="1" thickBot="1" x14ac:dyDescent="0.3">
      <c r="A3132" s="200"/>
      <c r="B3132" s="202"/>
      <c r="C3132" s="36" t="s">
        <v>973</v>
      </c>
      <c r="D3132" s="47" t="s">
        <v>938</v>
      </c>
      <c r="E3132" s="37">
        <v>1875</v>
      </c>
      <c r="F3132" s="31">
        <v>1.5009999999999999</v>
      </c>
      <c r="G3132" s="34">
        <f>IF(ISNUMBER(F3132),E3132*F3132,"")</f>
        <v>2814.375</v>
      </c>
      <c r="H3132" s="35"/>
      <c r="I3132" s="31"/>
      <c r="J3132" s="155">
        <v>0</v>
      </c>
    </row>
    <row r="3133" spans="1:10" ht="15.75" hidden="1" thickBot="1" x14ac:dyDescent="0.3">
      <c r="A3133" s="201"/>
      <c r="B3133" s="188"/>
      <c r="C3133" s="36"/>
      <c r="D3133" s="36"/>
      <c r="E3133" s="37"/>
      <c r="F3133" s="31" t="s">
        <v>558</v>
      </c>
      <c r="G3133" s="34" t="str">
        <f>IF(ISNUMBER(F3133),E3133*F3133,"")</f>
        <v/>
      </c>
      <c r="H3133" s="35"/>
      <c r="I3133" s="31"/>
      <c r="J3133" s="155">
        <v>0</v>
      </c>
    </row>
    <row r="3134" spans="1:10" ht="15.75" hidden="1" thickBot="1" x14ac:dyDescent="0.3">
      <c r="A3134" s="180" t="s">
        <v>974</v>
      </c>
      <c r="B3134" s="186" t="str">
        <f>INDEX(Orçamentária!A:B,MATCH(Composições!A3134,Orçamentária!A:A,0),2)</f>
        <v>Armação de aço CA-50 bitolas de 10,0 mm a 12,5 mm</v>
      </c>
      <c r="C3134" s="41"/>
      <c r="D3134" s="26" t="str">
        <f>TRIM(INDEX(Orçamentária!C:C,MATCH(Composições!A3134,Orçamentária!A:A,0),1))</f>
        <v>kg</v>
      </c>
      <c r="E3134" s="27"/>
      <c r="F3134" s="42" t="s">
        <v>558</v>
      </c>
      <c r="G3134" s="28" t="str">
        <f>IF(ISNUMBER(F3134),E3134*F3134,"")</f>
        <v/>
      </c>
      <c r="H3134" s="29"/>
      <c r="I3134" s="30"/>
      <c r="J3134" s="155">
        <v>0</v>
      </c>
    </row>
    <row r="3135" spans="1:10" ht="15.75" hidden="1" thickBot="1" x14ac:dyDescent="0.3">
      <c r="A3135" s="200"/>
      <c r="B3135" s="202"/>
      <c r="C3135" s="32"/>
      <c r="D3135" s="32"/>
      <c r="E3135" s="33"/>
      <c r="F3135" s="43" t="s">
        <v>558</v>
      </c>
      <c r="G3135" s="34" t="str">
        <f>IF(ISNUMBER(F3135),E3135*F3135,"")</f>
        <v/>
      </c>
      <c r="H3135" s="35"/>
      <c r="I3135" s="31"/>
      <c r="J3135" s="155">
        <v>0</v>
      </c>
    </row>
    <row r="3136" spans="1:10" ht="26.25" hidden="1" thickBot="1" x14ac:dyDescent="0.3">
      <c r="A3136" s="200"/>
      <c r="B3136" s="202"/>
      <c r="C3136" s="36" t="s">
        <v>3598</v>
      </c>
      <c r="D3136" s="47" t="s">
        <v>938</v>
      </c>
      <c r="E3136" s="37">
        <v>2.5000000000000001E-2</v>
      </c>
      <c r="F3136" s="31">
        <v>21.754999999999999</v>
      </c>
      <c r="G3136" s="34">
        <f>IF(ISNUMBER(F3136),E3136*F3136,"")</f>
        <v>0.543875</v>
      </c>
      <c r="H3136" s="39">
        <f>SUM(G3136:G3140)</f>
        <v>13.683733500000002</v>
      </c>
      <c r="I3136" s="40"/>
      <c r="J3136" s="155">
        <v>0</v>
      </c>
    </row>
    <row r="3137" spans="1:10" ht="39" hidden="1" thickBot="1" x14ac:dyDescent="0.3">
      <c r="A3137" s="200"/>
      <c r="B3137" s="202"/>
      <c r="C3137" s="36" t="s">
        <v>939</v>
      </c>
      <c r="D3137" s="47" t="s">
        <v>292</v>
      </c>
      <c r="E3137" s="37">
        <v>0.36699999999999999</v>
      </c>
      <c r="F3137" s="31">
        <v>0.19949999999999998</v>
      </c>
      <c r="G3137" s="34">
        <f>IF(ISNUMBER(F3137),E3137*F3137,"")</f>
        <v>7.321649999999999E-2</v>
      </c>
      <c r="H3137" s="35"/>
      <c r="I3137" s="31"/>
      <c r="J3137" s="155">
        <v>0</v>
      </c>
    </row>
    <row r="3138" spans="1:10" ht="15.75" hidden="1" thickBot="1" x14ac:dyDescent="0.3">
      <c r="A3138" s="200"/>
      <c r="B3138" s="202"/>
      <c r="C3138" s="36" t="s">
        <v>940</v>
      </c>
      <c r="D3138" s="47" t="s">
        <v>742</v>
      </c>
      <c r="E3138" s="37">
        <v>1.14E-2</v>
      </c>
      <c r="F3138" s="31">
        <v>17.518000000000001</v>
      </c>
      <c r="G3138" s="34">
        <f>IF(ISNUMBER(F3138),E3138*F3138,"")</f>
        <v>0.19970520000000003</v>
      </c>
      <c r="H3138" s="35"/>
      <c r="I3138" s="31"/>
      <c r="J3138" s="155">
        <v>0</v>
      </c>
    </row>
    <row r="3139" spans="1:10" ht="15.75" hidden="1" thickBot="1" x14ac:dyDescent="0.3">
      <c r="A3139" s="200"/>
      <c r="B3139" s="202"/>
      <c r="C3139" s="36" t="s">
        <v>941</v>
      </c>
      <c r="D3139" s="47" t="s">
        <v>742</v>
      </c>
      <c r="E3139" s="37">
        <v>6.9800000000000001E-2</v>
      </c>
      <c r="F3139" s="31">
        <v>22.591000000000001</v>
      </c>
      <c r="G3139" s="34">
        <f>IF(ISNUMBER(F3139),E3139*F3139,"")</f>
        <v>1.5768518</v>
      </c>
      <c r="H3139" s="35"/>
      <c r="I3139" s="31"/>
      <c r="J3139" s="155">
        <v>0</v>
      </c>
    </row>
    <row r="3140" spans="1:10" ht="26.25" hidden="1" thickBot="1" x14ac:dyDescent="0.3">
      <c r="A3140" s="200"/>
      <c r="B3140" s="202"/>
      <c r="C3140" s="36" t="s">
        <v>975</v>
      </c>
      <c r="D3140" s="47" t="s">
        <v>938</v>
      </c>
      <c r="E3140" s="37">
        <v>1</v>
      </c>
      <c r="F3140" s="31">
        <v>11.290085000000001</v>
      </c>
      <c r="G3140" s="34">
        <f>IF(ISNUMBER(F3140),E3140*F3140,"")</f>
        <v>11.290085000000001</v>
      </c>
      <c r="H3140" s="35"/>
      <c r="I3140" s="31"/>
      <c r="J3140" s="155">
        <v>0</v>
      </c>
    </row>
    <row r="3141" spans="1:10" ht="15.75" hidden="1" thickBot="1" x14ac:dyDescent="0.3">
      <c r="A3141" s="201"/>
      <c r="B3141" s="188"/>
      <c r="C3141" s="36"/>
      <c r="D3141" s="36"/>
      <c r="E3141" s="37"/>
      <c r="F3141" s="31" t="s">
        <v>558</v>
      </c>
      <c r="G3141" s="34" t="str">
        <f>IF(ISNUMBER(F3141),E3141*F3141,"")</f>
        <v/>
      </c>
      <c r="H3141" s="35"/>
      <c r="I3141" s="31"/>
      <c r="J3141" s="155">
        <v>0</v>
      </c>
    </row>
    <row r="3142" spans="1:10" ht="15.75" hidden="1" thickBot="1" x14ac:dyDescent="0.3">
      <c r="A3142" s="180" t="s">
        <v>976</v>
      </c>
      <c r="B3142" s="186" t="str">
        <f>INDEX(Orçamentária!A:B,MATCH(Composições!A3142,Orçamentária!A:A,0),2)</f>
        <v>Armação de aço CA-50 bitolas de 16,0 mm a 25,0 mm</v>
      </c>
      <c r="C3142" s="41"/>
      <c r="D3142" s="26" t="str">
        <f>TRIM(INDEX(Orçamentária!C:C,MATCH(Composições!A3142,Orçamentária!A:A,0),1))</f>
        <v>kg</v>
      </c>
      <c r="E3142" s="27"/>
      <c r="F3142" s="42" t="s">
        <v>558</v>
      </c>
      <c r="G3142" s="28" t="str">
        <f>IF(ISNUMBER(F3142),E3142*F3142,"")</f>
        <v/>
      </c>
      <c r="H3142" s="29"/>
      <c r="I3142" s="30"/>
      <c r="J3142" s="155">
        <v>0</v>
      </c>
    </row>
    <row r="3143" spans="1:10" ht="15.75" hidden="1" thickBot="1" x14ac:dyDescent="0.3">
      <c r="A3143" s="200"/>
      <c r="B3143" s="202"/>
      <c r="C3143" s="32"/>
      <c r="D3143" s="32"/>
      <c r="E3143" s="33"/>
      <c r="F3143" s="43" t="s">
        <v>558</v>
      </c>
      <c r="G3143" s="34" t="str">
        <f>IF(ISNUMBER(F3143),E3143*F3143,"")</f>
        <v/>
      </c>
      <c r="H3143" s="35"/>
      <c r="I3143" s="31"/>
      <c r="J3143" s="155">
        <v>0</v>
      </c>
    </row>
    <row r="3144" spans="1:10" ht="26.25" hidden="1" thickBot="1" x14ac:dyDescent="0.3">
      <c r="A3144" s="200"/>
      <c r="B3144" s="202"/>
      <c r="C3144" s="36" t="s">
        <v>3598</v>
      </c>
      <c r="D3144" s="47" t="s">
        <v>938</v>
      </c>
      <c r="E3144" s="37">
        <v>2.5000000000000001E-2</v>
      </c>
      <c r="F3144" s="31">
        <v>21.754999999999999</v>
      </c>
      <c r="G3144" s="34">
        <f>IF(ISNUMBER(F3144),E3144*F3144,"")</f>
        <v>0.543875</v>
      </c>
      <c r="H3144" s="39">
        <f>SUM(G3144:G3148)</f>
        <v>14.564231499999998</v>
      </c>
      <c r="I3144" s="40"/>
      <c r="J3144" s="155">
        <v>0</v>
      </c>
    </row>
    <row r="3145" spans="1:10" ht="39" hidden="1" thickBot="1" x14ac:dyDescent="0.3">
      <c r="A3145" s="200"/>
      <c r="B3145" s="202"/>
      <c r="C3145" s="36" t="s">
        <v>939</v>
      </c>
      <c r="D3145" s="47" t="s">
        <v>292</v>
      </c>
      <c r="E3145" s="37">
        <v>0.113</v>
      </c>
      <c r="F3145" s="31">
        <v>0.19949999999999998</v>
      </c>
      <c r="G3145" s="34">
        <f>IF(ISNUMBER(F3145),E3145*F3145,"")</f>
        <v>2.2543499999999998E-2</v>
      </c>
      <c r="H3145" s="35"/>
      <c r="I3145" s="31"/>
      <c r="J3145" s="155">
        <v>0</v>
      </c>
    </row>
    <row r="3146" spans="1:10" ht="15.75" hidden="1" thickBot="1" x14ac:dyDescent="0.3">
      <c r="A3146" s="200"/>
      <c r="B3146" s="202"/>
      <c r="C3146" s="36" t="s">
        <v>940</v>
      </c>
      <c r="D3146" s="47" t="s">
        <v>742</v>
      </c>
      <c r="E3146" s="37">
        <v>5.1000000000000004E-3</v>
      </c>
      <c r="F3146" s="31">
        <v>17.518000000000001</v>
      </c>
      <c r="G3146" s="34">
        <f>IF(ISNUMBER(F3146),E3146*F3146,"")</f>
        <v>8.9341800000000013E-2</v>
      </c>
      <c r="H3146" s="35"/>
      <c r="I3146" s="31"/>
      <c r="J3146" s="155">
        <v>0</v>
      </c>
    </row>
    <row r="3147" spans="1:10" ht="15.75" hidden="1" thickBot="1" x14ac:dyDescent="0.3">
      <c r="A3147" s="200"/>
      <c r="B3147" s="202"/>
      <c r="C3147" s="36" t="s">
        <v>941</v>
      </c>
      <c r="D3147" s="47" t="s">
        <v>742</v>
      </c>
      <c r="E3147" s="37">
        <v>3.1199999999999999E-2</v>
      </c>
      <c r="F3147" s="31">
        <v>22.591000000000001</v>
      </c>
      <c r="G3147" s="34">
        <f>IF(ISNUMBER(F3147),E3147*F3147,"")</f>
        <v>0.7048392</v>
      </c>
      <c r="H3147" s="35"/>
      <c r="I3147" s="31"/>
      <c r="J3147" s="155">
        <v>0</v>
      </c>
    </row>
    <row r="3148" spans="1:10" ht="26.25" hidden="1" thickBot="1" x14ac:dyDescent="0.3">
      <c r="A3148" s="200"/>
      <c r="B3148" s="202"/>
      <c r="C3148" s="36" t="s">
        <v>977</v>
      </c>
      <c r="D3148" s="47" t="s">
        <v>938</v>
      </c>
      <c r="E3148" s="37">
        <v>1</v>
      </c>
      <c r="F3148" s="31">
        <v>13.203631999999999</v>
      </c>
      <c r="G3148" s="34">
        <f>IF(ISNUMBER(F3148),E3148*F3148,"")</f>
        <v>13.203631999999999</v>
      </c>
      <c r="H3148" s="35"/>
      <c r="I3148" s="31"/>
      <c r="J3148" s="155">
        <v>0</v>
      </c>
    </row>
    <row r="3149" spans="1:10" ht="15.75" hidden="1" thickBot="1" x14ac:dyDescent="0.3">
      <c r="A3149" s="201"/>
      <c r="B3149" s="188"/>
      <c r="C3149" s="36"/>
      <c r="D3149" s="36"/>
      <c r="E3149" s="37"/>
      <c r="F3149" s="31" t="s">
        <v>558</v>
      </c>
      <c r="G3149" s="34" t="str">
        <f>IF(ISNUMBER(F3149),E3149*F3149,"")</f>
        <v/>
      </c>
      <c r="H3149" s="35"/>
      <c r="I3149" s="31"/>
      <c r="J3149" s="155">
        <v>0</v>
      </c>
    </row>
    <row r="3150" spans="1:10" ht="15.75" hidden="1" thickBot="1" x14ac:dyDescent="0.3">
      <c r="A3150" s="180" t="s">
        <v>978</v>
      </c>
      <c r="B3150" s="186" t="str">
        <f>INDEX(Orçamentária!A:B,MATCH(Composições!A3150,Orçamentária!A:A,0),2)</f>
        <v>Remoção de mola hidráulica de piso</v>
      </c>
      <c r="C3150" s="41"/>
      <c r="D3150" s="26" t="str">
        <f>TRIM(INDEX(Orçamentária!C:C,MATCH(Composições!A3150,Orçamentária!A:A,0),1))</f>
        <v>un</v>
      </c>
      <c r="E3150" s="27"/>
      <c r="F3150" s="42" t="s">
        <v>558</v>
      </c>
      <c r="G3150" s="28" t="str">
        <f>IF(ISNUMBER(F3150),E3150*F3150,"")</f>
        <v/>
      </c>
      <c r="H3150" s="29"/>
      <c r="I3150" s="30"/>
      <c r="J3150" s="155">
        <v>0</v>
      </c>
    </row>
    <row r="3151" spans="1:10" ht="15.75" hidden="1" thickBot="1" x14ac:dyDescent="0.3">
      <c r="A3151" s="200"/>
      <c r="B3151" s="202"/>
      <c r="C3151" s="151"/>
      <c r="D3151" s="32"/>
      <c r="E3151" s="33"/>
      <c r="F3151" s="43" t="s">
        <v>558</v>
      </c>
      <c r="G3151" s="34" t="str">
        <f>IF(ISNUMBER(F3151),E3151*F3151,"")</f>
        <v/>
      </c>
      <c r="H3151" s="35"/>
      <c r="I3151" s="31"/>
      <c r="J3151" s="155">
        <v>0</v>
      </c>
    </row>
    <row r="3152" spans="1:10" ht="15.75" hidden="1" thickBot="1" x14ac:dyDescent="0.3">
      <c r="A3152" s="200"/>
      <c r="B3152" s="202"/>
      <c r="C3152" s="36" t="s">
        <v>23</v>
      </c>
      <c r="D3152" s="47" t="s">
        <v>12</v>
      </c>
      <c r="E3152" s="37">
        <v>0.55000000000000004</v>
      </c>
      <c r="F3152" s="31">
        <v>16.729499999999998</v>
      </c>
      <c r="G3152" s="34">
        <f>IF(ISNUMBER(F3152),E3152*F3152,"")</f>
        <v>9.2012249999999991</v>
      </c>
      <c r="H3152" s="39">
        <f>SUM(G3152:G3153)</f>
        <v>20.795500000000001</v>
      </c>
      <c r="I3152" s="40"/>
      <c r="J3152" s="155">
        <v>0</v>
      </c>
    </row>
    <row r="3153" spans="1:10" ht="15.75" hidden="1" thickBot="1" x14ac:dyDescent="0.3">
      <c r="A3153" s="200"/>
      <c r="B3153" s="202"/>
      <c r="C3153" s="36" t="s">
        <v>68</v>
      </c>
      <c r="D3153" s="47" t="s">
        <v>12</v>
      </c>
      <c r="E3153" s="37">
        <v>0.55000000000000004</v>
      </c>
      <c r="F3153" s="31">
        <v>21.080500000000001</v>
      </c>
      <c r="G3153" s="34">
        <f>IF(ISNUMBER(F3153),E3153*F3153,"")</f>
        <v>11.594275000000001</v>
      </c>
      <c r="H3153" s="35"/>
      <c r="I3153" s="31"/>
      <c r="J3153" s="155">
        <v>0</v>
      </c>
    </row>
    <row r="3154" spans="1:10" ht="15.75" hidden="1" thickBot="1" x14ac:dyDescent="0.3">
      <c r="A3154" s="201"/>
      <c r="B3154" s="188"/>
      <c r="C3154" s="36"/>
      <c r="D3154" s="36"/>
      <c r="E3154" s="37"/>
      <c r="F3154" s="31" t="s">
        <v>558</v>
      </c>
      <c r="G3154" s="34" t="str">
        <f>IF(ISNUMBER(F3154),E3154*F3154,"")</f>
        <v/>
      </c>
      <c r="H3154" s="35"/>
      <c r="I3154" s="31"/>
      <c r="J3154" s="155">
        <v>0</v>
      </c>
    </row>
    <row r="3155" spans="1:10" ht="15.75" hidden="1" thickBot="1" x14ac:dyDescent="0.3">
      <c r="A3155" s="180" t="s">
        <v>979</v>
      </c>
      <c r="B3155" s="186" t="str">
        <f>INDEX(Orçamentária!A:B,MATCH(Composições!A3155,Orçamentária!A:A,0),2)</f>
        <v>Escavação manual de valas</v>
      </c>
      <c r="C3155" s="41"/>
      <c r="D3155" s="26" t="str">
        <f>TRIM(INDEX(Orçamentária!C:C,MATCH(Composições!A3155,Orçamentária!A:A,0),1))</f>
        <v>m3</v>
      </c>
      <c r="E3155" s="27"/>
      <c r="F3155" s="42" t="s">
        <v>558</v>
      </c>
      <c r="G3155" s="28" t="str">
        <f>IF(ISNUMBER(F3155),E3155*F3155,"")</f>
        <v/>
      </c>
      <c r="H3155" s="29"/>
      <c r="I3155" s="30"/>
      <c r="J3155" s="155">
        <v>0</v>
      </c>
    </row>
    <row r="3156" spans="1:10" ht="15.75" hidden="1" thickBot="1" x14ac:dyDescent="0.3">
      <c r="A3156" s="200"/>
      <c r="B3156" s="202"/>
      <c r="C3156" s="32"/>
      <c r="D3156" s="32"/>
      <c r="E3156" s="33"/>
      <c r="F3156" s="43" t="s">
        <v>558</v>
      </c>
      <c r="G3156" s="34" t="str">
        <f>IF(ISNUMBER(F3156),E3156*F3156,"")</f>
        <v/>
      </c>
      <c r="H3156" s="35"/>
      <c r="I3156" s="31"/>
      <c r="J3156" s="155">
        <v>0</v>
      </c>
    </row>
    <row r="3157" spans="1:10" ht="15.75" hidden="1" thickBot="1" x14ac:dyDescent="0.3">
      <c r="A3157" s="200"/>
      <c r="B3157" s="202"/>
      <c r="C3157" s="36" t="s">
        <v>23</v>
      </c>
      <c r="D3157" s="47" t="s">
        <v>12</v>
      </c>
      <c r="E3157" s="37">
        <v>3.956</v>
      </c>
      <c r="F3157" s="31">
        <v>16.729499999999998</v>
      </c>
      <c r="G3157" s="34">
        <f>IF(ISNUMBER(F3157),E3157*F3157,"")</f>
        <v>66.181901999999994</v>
      </c>
      <c r="H3157" s="39">
        <f>SUM(G3157:G3157)</f>
        <v>66.181901999999994</v>
      </c>
      <c r="I3157" s="40"/>
      <c r="J3157" s="155">
        <v>0</v>
      </c>
    </row>
    <row r="3158" spans="1:10" ht="15.75" hidden="1" thickBot="1" x14ac:dyDescent="0.3">
      <c r="A3158" s="201"/>
      <c r="B3158" s="188"/>
      <c r="C3158" s="36"/>
      <c r="D3158" s="36"/>
      <c r="E3158" s="37"/>
      <c r="F3158" s="31" t="s">
        <v>558</v>
      </c>
      <c r="G3158" s="34" t="str">
        <f>IF(ISNUMBER(F3158),E3158*F3158,"")</f>
        <v/>
      </c>
      <c r="H3158" s="35"/>
      <c r="I3158" s="31"/>
      <c r="J3158" s="155">
        <v>0</v>
      </c>
    </row>
    <row r="3159" spans="1:10" ht="15.75" hidden="1" thickBot="1" x14ac:dyDescent="0.3">
      <c r="A3159" s="180" t="s">
        <v>980</v>
      </c>
      <c r="B3159" s="186" t="str">
        <f>INDEX(Orçamentária!A:B,MATCH(Composições!A3159,Orçamentária!A:A,0),2)</f>
        <v>Reaterro de vala com compactação mecanizada</v>
      </c>
      <c r="C3159" s="41"/>
      <c r="D3159" s="26" t="str">
        <f>TRIM(INDEX(Orçamentária!C:C,MATCH(Composições!A3159,Orçamentária!A:A,0),1))</f>
        <v>m3</v>
      </c>
      <c r="E3159" s="27"/>
      <c r="F3159" s="42" t="s">
        <v>558</v>
      </c>
      <c r="G3159" s="28" t="str">
        <f>IF(ISNUMBER(F3159),E3159*F3159,"")</f>
        <v/>
      </c>
      <c r="H3159" s="29"/>
      <c r="I3159" s="30"/>
      <c r="J3159" s="155">
        <v>0</v>
      </c>
    </row>
    <row r="3160" spans="1:10" ht="15.75" hidden="1" thickBot="1" x14ac:dyDescent="0.3">
      <c r="A3160" s="200"/>
      <c r="B3160" s="202"/>
      <c r="C3160" s="32"/>
      <c r="D3160" s="32"/>
      <c r="E3160" s="33"/>
      <c r="F3160" s="43" t="s">
        <v>558</v>
      </c>
      <c r="G3160" s="34" t="str">
        <f>IF(ISNUMBER(F3160),E3160*F3160,"")</f>
        <v/>
      </c>
      <c r="H3160" s="35"/>
      <c r="I3160" s="31"/>
      <c r="J3160" s="155">
        <v>0</v>
      </c>
    </row>
    <row r="3161" spans="1:10" ht="15.75" hidden="1" thickBot="1" x14ac:dyDescent="0.3">
      <c r="A3161" s="200"/>
      <c r="B3161" s="202"/>
      <c r="C3161" s="36" t="s">
        <v>743</v>
      </c>
      <c r="D3161" s="47" t="s">
        <v>742</v>
      </c>
      <c r="E3161" s="37">
        <v>0.65</v>
      </c>
      <c r="F3161" s="31">
        <v>16.729499999999998</v>
      </c>
      <c r="G3161" s="34">
        <f>IF(ISNUMBER(F3161),E3161*F3161,"")</f>
        <v>10.874174999999999</v>
      </c>
      <c r="H3161" s="39">
        <f>SUM(G3161:G3164)</f>
        <v>24.071337499999998</v>
      </c>
      <c r="I3161" s="40"/>
      <c r="J3161" s="155">
        <v>0</v>
      </c>
    </row>
    <row r="3162" spans="1:10" ht="39" hidden="1" thickBot="1" x14ac:dyDescent="0.3">
      <c r="A3162" s="200"/>
      <c r="B3162" s="202"/>
      <c r="C3162" s="36" t="s">
        <v>981</v>
      </c>
      <c r="D3162" s="47" t="s">
        <v>982</v>
      </c>
      <c r="E3162" s="37">
        <v>0.27400000000000002</v>
      </c>
      <c r="F3162" s="31">
        <v>25.402999999999999</v>
      </c>
      <c r="G3162" s="34">
        <f>IF(ISNUMBER(F3162),E3162*F3162,"")</f>
        <v>6.9604220000000003</v>
      </c>
      <c r="H3162" s="35"/>
      <c r="I3162" s="31"/>
      <c r="J3162" s="155">
        <v>0</v>
      </c>
    </row>
    <row r="3163" spans="1:10" ht="39" hidden="1" thickBot="1" x14ac:dyDescent="0.3">
      <c r="A3163" s="200"/>
      <c r="B3163" s="202"/>
      <c r="C3163" s="36" t="s">
        <v>983</v>
      </c>
      <c r="D3163" s="47" t="s">
        <v>984</v>
      </c>
      <c r="E3163" s="37">
        <v>0.254</v>
      </c>
      <c r="F3163" s="31">
        <v>18.439499999999999</v>
      </c>
      <c r="G3163" s="34">
        <f>IF(ISNUMBER(F3163),E3163*F3163,"")</f>
        <v>4.6836329999999995</v>
      </c>
      <c r="H3163" s="35"/>
      <c r="I3163" s="31"/>
      <c r="J3163" s="155">
        <v>0</v>
      </c>
    </row>
    <row r="3164" spans="1:10" ht="26.25" hidden="1" thickBot="1" x14ac:dyDescent="0.3">
      <c r="A3164" s="200"/>
      <c r="B3164" s="202"/>
      <c r="C3164" s="36" t="s">
        <v>985</v>
      </c>
      <c r="D3164" s="36" t="s">
        <v>122</v>
      </c>
      <c r="E3164" s="37">
        <v>1</v>
      </c>
      <c r="F3164" s="31">
        <v>1.5531075000000001</v>
      </c>
      <c r="G3164" s="34">
        <f>IF(ISNUMBER(F3164),E3164*F3164,"")</f>
        <v>1.5531075000000001</v>
      </c>
      <c r="H3164" s="35"/>
      <c r="I3164" s="31"/>
      <c r="J3164" s="155">
        <v>0</v>
      </c>
    </row>
    <row r="3165" spans="1:10" ht="15.75" hidden="1" thickBot="1" x14ac:dyDescent="0.3">
      <c r="A3165" s="201"/>
      <c r="B3165" s="188"/>
      <c r="C3165" s="36"/>
      <c r="D3165" s="36"/>
      <c r="E3165" s="37"/>
      <c r="F3165" s="31" t="s">
        <v>558</v>
      </c>
      <c r="G3165" s="34" t="str">
        <f>IF(ISNUMBER(F3165),E3165*F3165,"")</f>
        <v/>
      </c>
      <c r="H3165" s="35"/>
      <c r="I3165" s="31"/>
      <c r="J3165" s="155">
        <v>0</v>
      </c>
    </row>
    <row r="3166" spans="1:10" ht="15.75" hidden="1" thickBot="1" x14ac:dyDescent="0.3">
      <c r="A3166" s="180" t="s">
        <v>986</v>
      </c>
      <c r="B3166" s="186" t="str">
        <f>INDEX(Orçamentária!A:B,MATCH(Composições!A3166,Orçamentária!A:A,0),2)</f>
        <v>Aterro de vala com compactação mecanizada</v>
      </c>
      <c r="C3166" s="41"/>
      <c r="D3166" s="26" t="str">
        <f>TRIM(INDEX(Orçamentária!C:C,MATCH(Composições!A3166,Orçamentária!A:A,0),1))</f>
        <v>m3</v>
      </c>
      <c r="E3166" s="27"/>
      <c r="F3166" s="42" t="s">
        <v>558</v>
      </c>
      <c r="G3166" s="28" t="str">
        <f>IF(ISNUMBER(F3166),E3166*F3166,"")</f>
        <v/>
      </c>
      <c r="H3166" s="29"/>
      <c r="I3166" s="30"/>
      <c r="J3166" s="155">
        <v>0</v>
      </c>
    </row>
    <row r="3167" spans="1:10" ht="15.75" hidden="1" thickBot="1" x14ac:dyDescent="0.3">
      <c r="A3167" s="200"/>
      <c r="B3167" s="202"/>
      <c r="C3167" s="32"/>
      <c r="D3167" s="32"/>
      <c r="E3167" s="33"/>
      <c r="F3167" s="43" t="s">
        <v>558</v>
      </c>
      <c r="G3167" s="34" t="str">
        <f>IF(ISNUMBER(F3167),E3167*F3167,"")</f>
        <v/>
      </c>
      <c r="H3167" s="35"/>
      <c r="I3167" s="31"/>
      <c r="J3167" s="155">
        <v>0</v>
      </c>
    </row>
    <row r="3168" spans="1:10" ht="51.75" hidden="1" thickBot="1" x14ac:dyDescent="0.3">
      <c r="A3168" s="200"/>
      <c r="B3168" s="202"/>
      <c r="C3168" s="36" t="s">
        <v>987</v>
      </c>
      <c r="D3168" s="47" t="s">
        <v>982</v>
      </c>
      <c r="E3168" s="37">
        <v>6.0000000000000001E-3</v>
      </c>
      <c r="F3168" s="31">
        <v>214.0445</v>
      </c>
      <c r="G3168" s="34">
        <f>IF(ISNUMBER(F3168),E3168*F3168,"")</f>
        <v>1.284267</v>
      </c>
      <c r="H3168" s="39">
        <f>SUM(G3168:G3175)</f>
        <v>92.99691787499998</v>
      </c>
      <c r="I3168" s="40"/>
      <c r="J3168" s="155">
        <v>0</v>
      </c>
    </row>
    <row r="3169" spans="1:10" ht="51.75" hidden="1" thickBot="1" x14ac:dyDescent="0.3">
      <c r="A3169" s="200"/>
      <c r="B3169" s="202"/>
      <c r="C3169" s="36" t="s">
        <v>988</v>
      </c>
      <c r="D3169" s="47" t="s">
        <v>984</v>
      </c>
      <c r="E3169" s="37">
        <v>3.0000000000000001E-3</v>
      </c>
      <c r="F3169" s="31">
        <v>39.424999999999997</v>
      </c>
      <c r="G3169" s="34">
        <f>IF(ISNUMBER(F3169),E3169*F3169,"")</f>
        <v>0.11827499999999999</v>
      </c>
      <c r="H3169" s="35"/>
      <c r="I3169" s="31"/>
      <c r="J3169" s="155">
        <v>0</v>
      </c>
    </row>
    <row r="3170" spans="1:10" ht="26.25" hidden="1" thickBot="1" x14ac:dyDescent="0.3">
      <c r="A3170" s="200"/>
      <c r="B3170" s="202"/>
      <c r="C3170" s="36" t="s">
        <v>989</v>
      </c>
      <c r="D3170" s="47" t="s">
        <v>122</v>
      </c>
      <c r="E3170" s="37">
        <v>1.25</v>
      </c>
      <c r="F3170" s="31">
        <v>9.1009999999999991</v>
      </c>
      <c r="G3170" s="34">
        <f>IF(ISNUMBER(F3170),E3170*F3170,"")</f>
        <v>11.376249999999999</v>
      </c>
      <c r="H3170" s="35"/>
      <c r="I3170" s="31"/>
      <c r="J3170" s="155">
        <v>0</v>
      </c>
    </row>
    <row r="3171" spans="1:10" ht="15.75" hidden="1" thickBot="1" x14ac:dyDescent="0.3">
      <c r="A3171" s="200"/>
      <c r="B3171" s="202"/>
      <c r="C3171" s="36" t="s">
        <v>743</v>
      </c>
      <c r="D3171" s="36" t="s">
        <v>742</v>
      </c>
      <c r="E3171" s="37">
        <v>0.65900000000000003</v>
      </c>
      <c r="F3171" s="31">
        <v>16.729499999999998</v>
      </c>
      <c r="G3171" s="34">
        <f>IF(ISNUMBER(F3171),E3171*F3171,"")</f>
        <v>11.0247405</v>
      </c>
      <c r="H3171" s="35"/>
      <c r="I3171" s="31"/>
      <c r="J3171" s="155">
        <v>0</v>
      </c>
    </row>
    <row r="3172" spans="1:10" ht="39" hidden="1" thickBot="1" x14ac:dyDescent="0.3">
      <c r="A3172" s="200"/>
      <c r="B3172" s="202"/>
      <c r="C3172" s="36" t="s">
        <v>981</v>
      </c>
      <c r="D3172" s="36" t="s">
        <v>982</v>
      </c>
      <c r="E3172" s="37">
        <v>0.27400000000000002</v>
      </c>
      <c r="F3172" s="31">
        <v>25.402999999999999</v>
      </c>
      <c r="G3172" s="34">
        <f>IF(ISNUMBER(F3172),E3172*F3172,"")</f>
        <v>6.9604220000000003</v>
      </c>
      <c r="H3172" s="35"/>
      <c r="I3172" s="31"/>
      <c r="J3172" s="155">
        <v>0</v>
      </c>
    </row>
    <row r="3173" spans="1:10" ht="39" hidden="1" thickBot="1" x14ac:dyDescent="0.3">
      <c r="A3173" s="200"/>
      <c r="B3173" s="202"/>
      <c r="C3173" s="36" t="s">
        <v>983</v>
      </c>
      <c r="D3173" s="36" t="s">
        <v>984</v>
      </c>
      <c r="E3173" s="37">
        <v>0.254</v>
      </c>
      <c r="F3173" s="31">
        <v>18.439499999999999</v>
      </c>
      <c r="G3173" s="34">
        <f>IF(ISNUMBER(F3173),E3173*F3173,"")</f>
        <v>4.6836329999999995</v>
      </c>
      <c r="H3173" s="35"/>
      <c r="I3173" s="31"/>
      <c r="J3173" s="155">
        <v>0</v>
      </c>
    </row>
    <row r="3174" spans="1:10" ht="51.75" hidden="1" thickBot="1" x14ac:dyDescent="0.3">
      <c r="A3174" s="200"/>
      <c r="B3174" s="202"/>
      <c r="C3174" s="36" t="s">
        <v>3617</v>
      </c>
      <c r="D3174" s="36" t="s">
        <v>110</v>
      </c>
      <c r="E3174" s="37">
        <f>E3170*1</f>
        <v>1.25</v>
      </c>
      <c r="F3174" s="34">
        <v>6.0418992999999999</v>
      </c>
      <c r="G3174" s="34">
        <f>IF(ISNUMBER(F3174),E3174*F3174,"")</f>
        <v>7.552374125</v>
      </c>
      <c r="H3174" s="35"/>
      <c r="I3174" s="31"/>
      <c r="J3174" s="155">
        <v>0</v>
      </c>
    </row>
    <row r="3175" spans="1:10" ht="39" hidden="1" thickBot="1" x14ac:dyDescent="0.3">
      <c r="A3175" s="200"/>
      <c r="B3175" s="202"/>
      <c r="C3175" s="36" t="s">
        <v>123</v>
      </c>
      <c r="D3175" s="47" t="s">
        <v>124</v>
      </c>
      <c r="E3175" s="37">
        <f>E3170*20</f>
        <v>25</v>
      </c>
      <c r="F3175" s="34">
        <v>1.9998782499999996</v>
      </c>
      <c r="G3175" s="34">
        <f>IF(ISNUMBER(F3175),E3175*F3175,"")</f>
        <v>49.99695624999999</v>
      </c>
      <c r="H3175" s="35"/>
      <c r="I3175" s="31"/>
      <c r="J3175" s="155">
        <v>0</v>
      </c>
    </row>
    <row r="3176" spans="1:10" ht="15.75" hidden="1" thickBot="1" x14ac:dyDescent="0.3">
      <c r="A3176" s="200"/>
      <c r="B3176" s="202"/>
      <c r="C3176" s="51"/>
      <c r="D3176" s="47"/>
      <c r="E3176" s="37"/>
      <c r="F3176" s="34" t="s">
        <v>558</v>
      </c>
      <c r="G3176" s="34" t="str">
        <f>IF(ISNUMBER(F3176),E3176*F3176,"")</f>
        <v/>
      </c>
      <c r="H3176" s="35"/>
      <c r="I3176" s="31"/>
      <c r="J3176" s="155">
        <v>0</v>
      </c>
    </row>
    <row r="3177" spans="1:10" ht="26.25" hidden="1" thickBot="1" x14ac:dyDescent="0.3">
      <c r="A3177" s="200"/>
      <c r="B3177" s="202"/>
      <c r="C3177" s="48" t="s">
        <v>990</v>
      </c>
      <c r="D3177" s="47"/>
      <c r="E3177" s="37"/>
      <c r="F3177" s="34" t="s">
        <v>558</v>
      </c>
      <c r="G3177" s="34" t="str">
        <f>IF(ISNUMBER(F3177),E3177*F3177,"")</f>
        <v/>
      </c>
      <c r="H3177" s="35"/>
      <c r="I3177" s="31"/>
      <c r="J3177" s="155">
        <v>0</v>
      </c>
    </row>
    <row r="3178" spans="1:10" ht="15.75" hidden="1" thickBot="1" x14ac:dyDescent="0.3">
      <c r="A3178" s="201"/>
      <c r="B3178" s="188"/>
      <c r="C3178" s="36"/>
      <c r="D3178" s="36"/>
      <c r="E3178" s="37"/>
      <c r="F3178" s="31" t="s">
        <v>558</v>
      </c>
      <c r="G3178" s="31" t="str">
        <f>IF(ISNUMBER(F3178),E3178*F3178,"")</f>
        <v/>
      </c>
      <c r="H3178" s="35"/>
      <c r="I3178" s="31"/>
      <c r="J3178" s="155">
        <v>0</v>
      </c>
    </row>
    <row r="3179" spans="1:10" ht="15.75" hidden="1" thickBot="1" x14ac:dyDescent="0.3">
      <c r="A3179" s="180" t="s">
        <v>991</v>
      </c>
      <c r="B3179" s="186" t="str">
        <f>INDEX(Orçamentária!A:B,MATCH(Composições!A3179,Orçamentária!A:A,0),2)</f>
        <v>Tubo de cobre classe "E" 22 mm</v>
      </c>
      <c r="C3179" s="41"/>
      <c r="D3179" s="26" t="str">
        <f>TRIM(INDEX(Orçamentária!C:C,MATCH(Composições!A3179,Orçamentária!A:A,0),1))</f>
        <v>m</v>
      </c>
      <c r="E3179" s="27"/>
      <c r="F3179" s="42" t="s">
        <v>558</v>
      </c>
      <c r="G3179" s="28" t="str">
        <f>IF(ISNUMBER(F3179),E3179*F3179,"")</f>
        <v/>
      </c>
      <c r="H3179" s="29"/>
      <c r="I3179" s="30"/>
      <c r="J3179" s="155">
        <v>0</v>
      </c>
    </row>
    <row r="3180" spans="1:10" ht="15.75" hidden="1" thickBot="1" x14ac:dyDescent="0.3">
      <c r="A3180" s="200"/>
      <c r="B3180" s="202"/>
      <c r="C3180" s="32"/>
      <c r="D3180" s="32"/>
      <c r="E3180" s="33"/>
      <c r="F3180" s="43" t="s">
        <v>558</v>
      </c>
      <c r="G3180" s="34" t="str">
        <f>IF(ISNUMBER(F3180),E3180*F3180,"")</f>
        <v/>
      </c>
      <c r="H3180" s="35"/>
      <c r="I3180" s="31"/>
      <c r="J3180" s="155">
        <v>0</v>
      </c>
    </row>
    <row r="3181" spans="1:10" ht="26.25" hidden="1" thickBot="1" x14ac:dyDescent="0.3">
      <c r="A3181" s="200"/>
      <c r="B3181" s="202"/>
      <c r="C3181" s="36" t="s">
        <v>992</v>
      </c>
      <c r="D3181" s="36" t="s">
        <v>513</v>
      </c>
      <c r="E3181" s="37">
        <v>1.0210999999999999</v>
      </c>
      <c r="F3181" s="31">
        <v>52.230999999999995</v>
      </c>
      <c r="G3181" s="34">
        <f>IF(ISNUMBER(F3181),E3181*F3181,"")</f>
        <v>53.33307409999999</v>
      </c>
      <c r="H3181" s="39">
        <f>SUM(G3181:G3183)</f>
        <v>59.029426099999995</v>
      </c>
      <c r="I3181" s="40"/>
      <c r="J3181" s="155">
        <v>0</v>
      </c>
    </row>
    <row r="3182" spans="1:10" ht="26.25" hidden="1" thickBot="1" x14ac:dyDescent="0.3">
      <c r="A3182" s="200"/>
      <c r="B3182" s="202"/>
      <c r="C3182" s="36" t="s">
        <v>993</v>
      </c>
      <c r="D3182" s="47" t="s">
        <v>742</v>
      </c>
      <c r="E3182" s="37">
        <v>0.14399999999999999</v>
      </c>
      <c r="F3182" s="31">
        <v>17.3185</v>
      </c>
      <c r="G3182" s="34">
        <f>IF(ISNUMBER(F3182),E3182*F3182,"")</f>
        <v>2.4938639999999999</v>
      </c>
      <c r="H3182" s="35"/>
      <c r="I3182" s="31"/>
      <c r="J3182" s="155">
        <v>0</v>
      </c>
    </row>
    <row r="3183" spans="1:10" ht="26.25" hidden="1" thickBot="1" x14ac:dyDescent="0.3">
      <c r="A3183" s="200"/>
      <c r="B3183" s="202"/>
      <c r="C3183" s="36" t="s">
        <v>994</v>
      </c>
      <c r="D3183" s="47" t="s">
        <v>742</v>
      </c>
      <c r="E3183" s="37">
        <v>0.14399999999999999</v>
      </c>
      <c r="F3183" s="31">
        <v>22.2395</v>
      </c>
      <c r="G3183" s="34">
        <f>IF(ISNUMBER(F3183),E3183*F3183,"")</f>
        <v>3.2024879999999998</v>
      </c>
      <c r="H3183" s="35"/>
      <c r="I3183" s="31"/>
      <c r="J3183" s="155">
        <v>0</v>
      </c>
    </row>
    <row r="3184" spans="1:10" ht="15.75" hidden="1" thickBot="1" x14ac:dyDescent="0.3">
      <c r="A3184" s="201"/>
      <c r="B3184" s="188"/>
      <c r="C3184" s="36"/>
      <c r="D3184" s="36"/>
      <c r="E3184" s="37"/>
      <c r="F3184" s="31" t="s">
        <v>558</v>
      </c>
      <c r="G3184" s="34" t="str">
        <f>IF(ISNUMBER(F3184),E3184*F3184,"")</f>
        <v/>
      </c>
      <c r="H3184" s="35"/>
      <c r="I3184" s="31"/>
      <c r="J3184" s="155">
        <v>0</v>
      </c>
    </row>
    <row r="3185" spans="1:10" ht="15.75" hidden="1" thickBot="1" x14ac:dyDescent="0.3">
      <c r="A3185" s="180" t="s">
        <v>995</v>
      </c>
      <c r="B3185" s="186" t="str">
        <f>INDEX(Orçamentária!A:B,MATCH(Composições!A3185,Orçamentária!A:A,0),2)</f>
        <v>Tubo de cobre classe "E" 28 mm</v>
      </c>
      <c r="C3185" s="41"/>
      <c r="D3185" s="26" t="str">
        <f>TRIM(INDEX(Orçamentária!C:C,MATCH(Composições!A3185,Orçamentária!A:A,0),1))</f>
        <v>m</v>
      </c>
      <c r="E3185" s="27"/>
      <c r="F3185" s="42" t="s">
        <v>558</v>
      </c>
      <c r="G3185" s="28" t="str">
        <f>IF(ISNUMBER(F3185),E3185*F3185,"")</f>
        <v/>
      </c>
      <c r="H3185" s="29"/>
      <c r="I3185" s="30"/>
      <c r="J3185" s="155">
        <v>0</v>
      </c>
    </row>
    <row r="3186" spans="1:10" ht="15.75" hidden="1" thickBot="1" x14ac:dyDescent="0.3">
      <c r="A3186" s="200"/>
      <c r="B3186" s="202"/>
      <c r="C3186" s="32"/>
      <c r="D3186" s="32"/>
      <c r="E3186" s="33"/>
      <c r="F3186" s="43" t="s">
        <v>558</v>
      </c>
      <c r="G3186" s="34" t="str">
        <f>IF(ISNUMBER(F3186),E3186*F3186,"")</f>
        <v/>
      </c>
      <c r="H3186" s="35"/>
      <c r="I3186" s="31"/>
      <c r="J3186" s="155">
        <v>0</v>
      </c>
    </row>
    <row r="3187" spans="1:10" ht="26.25" hidden="1" thickBot="1" x14ac:dyDescent="0.3">
      <c r="A3187" s="200"/>
      <c r="B3187" s="202"/>
      <c r="C3187" s="36" t="s">
        <v>996</v>
      </c>
      <c r="D3187" s="36" t="s">
        <v>513</v>
      </c>
      <c r="E3187" s="37">
        <v>1.0210999999999999</v>
      </c>
      <c r="F3187" s="31">
        <v>66.281499999999994</v>
      </c>
      <c r="G3187" s="34">
        <f>IF(ISNUMBER(F3187),E3187*F3187,"")</f>
        <v>67.680039649999983</v>
      </c>
      <c r="H3187" s="39">
        <f>SUM(G3187:G3189)</f>
        <v>74.009319649999981</v>
      </c>
      <c r="I3187" s="40"/>
      <c r="J3187" s="155">
        <v>0</v>
      </c>
    </row>
    <row r="3188" spans="1:10" ht="26.25" hidden="1" thickBot="1" x14ac:dyDescent="0.3">
      <c r="A3188" s="200"/>
      <c r="B3188" s="202"/>
      <c r="C3188" s="36" t="s">
        <v>993</v>
      </c>
      <c r="D3188" s="47" t="s">
        <v>742</v>
      </c>
      <c r="E3188" s="37">
        <v>0.16</v>
      </c>
      <c r="F3188" s="31">
        <v>17.3185</v>
      </c>
      <c r="G3188" s="34">
        <f>IF(ISNUMBER(F3188),E3188*F3188,"")</f>
        <v>2.7709600000000001</v>
      </c>
      <c r="H3188" s="35"/>
      <c r="I3188" s="31"/>
      <c r="J3188" s="155">
        <v>0</v>
      </c>
    </row>
    <row r="3189" spans="1:10" ht="26.25" hidden="1" thickBot="1" x14ac:dyDescent="0.3">
      <c r="A3189" s="200"/>
      <c r="B3189" s="202"/>
      <c r="C3189" s="36" t="s">
        <v>994</v>
      </c>
      <c r="D3189" s="47" t="s">
        <v>742</v>
      </c>
      <c r="E3189" s="37">
        <v>0.16</v>
      </c>
      <c r="F3189" s="31">
        <v>22.2395</v>
      </c>
      <c r="G3189" s="34">
        <f>IF(ISNUMBER(F3189),E3189*F3189,"")</f>
        <v>3.5583200000000001</v>
      </c>
      <c r="H3189" s="35"/>
      <c r="I3189" s="31"/>
      <c r="J3189" s="155">
        <v>0</v>
      </c>
    </row>
    <row r="3190" spans="1:10" ht="15.75" hidden="1" thickBot="1" x14ac:dyDescent="0.3">
      <c r="A3190" s="201"/>
      <c r="B3190" s="188"/>
      <c r="C3190" s="36"/>
      <c r="D3190" s="36"/>
      <c r="E3190" s="37"/>
      <c r="F3190" s="31" t="s">
        <v>558</v>
      </c>
      <c r="G3190" s="34" t="str">
        <f>IF(ISNUMBER(F3190),E3190*F3190,"")</f>
        <v/>
      </c>
      <c r="H3190" s="35"/>
      <c r="I3190" s="31"/>
      <c r="J3190" s="155">
        <v>0</v>
      </c>
    </row>
    <row r="3191" spans="1:10" ht="15.75" hidden="1" thickBot="1" x14ac:dyDescent="0.3">
      <c r="A3191" s="180" t="s">
        <v>997</v>
      </c>
      <c r="B3191" s="186" t="str">
        <f>INDEX(Orçamentária!A:B,MATCH(Composições!A3191,Orçamentária!A:A,0),2)</f>
        <v>Tubo de cobre classe "E" 42 mm</v>
      </c>
      <c r="C3191" s="41"/>
      <c r="D3191" s="26" t="str">
        <f>TRIM(INDEX(Orçamentária!C:C,MATCH(Composições!A3191,Orçamentária!A:A,0),1))</f>
        <v>m</v>
      </c>
      <c r="E3191" s="27"/>
      <c r="F3191" s="42" t="s">
        <v>558</v>
      </c>
      <c r="G3191" s="28" t="str">
        <f>IF(ISNUMBER(F3191),E3191*F3191,"")</f>
        <v/>
      </c>
      <c r="H3191" s="29"/>
      <c r="I3191" s="30"/>
      <c r="J3191" s="155">
        <v>0</v>
      </c>
    </row>
    <row r="3192" spans="1:10" ht="15.75" hidden="1" thickBot="1" x14ac:dyDescent="0.3">
      <c r="A3192" s="200"/>
      <c r="B3192" s="202"/>
      <c r="C3192" s="32"/>
      <c r="D3192" s="32"/>
      <c r="E3192" s="33"/>
      <c r="F3192" s="43" t="s">
        <v>558</v>
      </c>
      <c r="G3192" s="34" t="str">
        <f>IF(ISNUMBER(F3192),E3192*F3192,"")</f>
        <v/>
      </c>
      <c r="H3192" s="35"/>
      <c r="I3192" s="31"/>
      <c r="J3192" s="155">
        <v>0</v>
      </c>
    </row>
    <row r="3193" spans="1:10" ht="26.25" hidden="1" thickBot="1" x14ac:dyDescent="0.3">
      <c r="A3193" s="200"/>
      <c r="B3193" s="202"/>
      <c r="C3193" s="36" t="s">
        <v>998</v>
      </c>
      <c r="D3193" s="47" t="s">
        <v>513</v>
      </c>
      <c r="E3193" s="37">
        <v>1.0210999999999999</v>
      </c>
      <c r="F3193" s="31">
        <v>129.98850000000002</v>
      </c>
      <c r="G3193" s="34">
        <f>IF(ISNUMBER(F3193),E3193*F3193,"")</f>
        <v>132.73125734999999</v>
      </c>
      <c r="H3193" s="39">
        <f>SUM(G3193:G3195)</f>
        <v>135.73766534999999</v>
      </c>
      <c r="I3193" s="40"/>
      <c r="J3193" s="155">
        <v>0</v>
      </c>
    </row>
    <row r="3194" spans="1:10" ht="26.25" hidden="1" thickBot="1" x14ac:dyDescent="0.3">
      <c r="A3194" s="200"/>
      <c r="B3194" s="202"/>
      <c r="C3194" s="36" t="s">
        <v>993</v>
      </c>
      <c r="D3194" s="47" t="s">
        <v>742</v>
      </c>
      <c r="E3194" s="37">
        <v>7.5999999999999998E-2</v>
      </c>
      <c r="F3194" s="31">
        <v>17.3185</v>
      </c>
      <c r="G3194" s="34">
        <f>IF(ISNUMBER(F3194),E3194*F3194,"")</f>
        <v>1.316206</v>
      </c>
      <c r="H3194" s="35"/>
      <c r="I3194" s="31"/>
      <c r="J3194" s="155">
        <v>0</v>
      </c>
    </row>
    <row r="3195" spans="1:10" ht="26.25" hidden="1" thickBot="1" x14ac:dyDescent="0.3">
      <c r="A3195" s="200"/>
      <c r="B3195" s="202"/>
      <c r="C3195" s="36" t="s">
        <v>994</v>
      </c>
      <c r="D3195" s="47" t="s">
        <v>742</v>
      </c>
      <c r="E3195" s="37">
        <v>7.5999999999999998E-2</v>
      </c>
      <c r="F3195" s="31">
        <v>22.2395</v>
      </c>
      <c r="G3195" s="34">
        <f>IF(ISNUMBER(F3195),E3195*F3195,"")</f>
        <v>1.690202</v>
      </c>
      <c r="H3195" s="35"/>
      <c r="I3195" s="31"/>
      <c r="J3195" s="155">
        <v>0</v>
      </c>
    </row>
    <row r="3196" spans="1:10" ht="15.75" hidden="1" thickBot="1" x14ac:dyDescent="0.3">
      <c r="A3196" s="201"/>
      <c r="B3196" s="188"/>
      <c r="C3196" s="36"/>
      <c r="D3196" s="36"/>
      <c r="E3196" s="37"/>
      <c r="F3196" s="31" t="s">
        <v>558</v>
      </c>
      <c r="G3196" s="34" t="str">
        <f>IF(ISNUMBER(F3196),E3196*F3196,"")</f>
        <v/>
      </c>
      <c r="H3196" s="35"/>
      <c r="I3196" s="31"/>
      <c r="J3196" s="155">
        <v>0</v>
      </c>
    </row>
    <row r="3197" spans="1:10" ht="15.75" hidden="1" thickBot="1" x14ac:dyDescent="0.3">
      <c r="A3197" s="180" t="s">
        <v>999</v>
      </c>
      <c r="B3197" s="186" t="str">
        <f>INDEX(Orçamentária!A:B,MATCH(Composições!A3197,Orçamentária!A:A,0),2)</f>
        <v>Bacia conforto (h=44 cm) – Linha Acessibilidade</v>
      </c>
      <c r="C3197" s="41"/>
      <c r="D3197" s="26" t="str">
        <f>TRIM(INDEX(Orçamentária!C:C,MATCH(Composições!A3197,Orçamentária!A:A,0),1))</f>
        <v>un</v>
      </c>
      <c r="E3197" s="27"/>
      <c r="F3197" s="42" t="s">
        <v>558</v>
      </c>
      <c r="G3197" s="28" t="str">
        <f>IF(ISNUMBER(F3197),E3197*F3197,"")</f>
        <v/>
      </c>
      <c r="H3197" s="29"/>
      <c r="I3197" s="30"/>
      <c r="J3197" s="155">
        <v>0</v>
      </c>
    </row>
    <row r="3198" spans="1:10" ht="15.75" hidden="1" thickBot="1" x14ac:dyDescent="0.3">
      <c r="A3198" s="200"/>
      <c r="B3198" s="202"/>
      <c r="C3198" s="32"/>
      <c r="D3198" s="32"/>
      <c r="E3198" s="33"/>
      <c r="F3198" s="43" t="s">
        <v>558</v>
      </c>
      <c r="G3198" s="34" t="str">
        <f>IF(ISNUMBER(F3198),E3198*F3198,"")</f>
        <v/>
      </c>
      <c r="H3198" s="35"/>
      <c r="I3198" s="31"/>
      <c r="J3198" s="155">
        <v>0</v>
      </c>
    </row>
    <row r="3199" spans="1:10" ht="39" hidden="1" thickBot="1" x14ac:dyDescent="0.3">
      <c r="A3199" s="200"/>
      <c r="B3199" s="202"/>
      <c r="C3199" s="36" t="s">
        <v>1000</v>
      </c>
      <c r="D3199" s="47" t="s">
        <v>292</v>
      </c>
      <c r="E3199" s="37">
        <v>2</v>
      </c>
      <c r="F3199" s="31">
        <v>14.107499999999998</v>
      </c>
      <c r="G3199" s="34">
        <f>IF(ISNUMBER(F3199),E3199*F3199,"")</f>
        <v>28.214999999999996</v>
      </c>
      <c r="H3199" s="39">
        <f>SUM(G3199:G3205)</f>
        <v>488.57317059999997</v>
      </c>
      <c r="I3199" s="40"/>
      <c r="J3199" s="155">
        <v>0</v>
      </c>
    </row>
    <row r="3200" spans="1:10" ht="15.75" hidden="1" thickBot="1" x14ac:dyDescent="0.3">
      <c r="A3200" s="200"/>
      <c r="B3200" s="202"/>
      <c r="C3200" s="36" t="s">
        <v>1001</v>
      </c>
      <c r="D3200" s="47" t="s">
        <v>292</v>
      </c>
      <c r="E3200" s="37">
        <v>1</v>
      </c>
      <c r="F3200" s="31">
        <v>2.7549999999999999</v>
      </c>
      <c r="G3200" s="34">
        <f>IF(ISNUMBER(F3200),E3200*F3200,"")</f>
        <v>2.7549999999999999</v>
      </c>
      <c r="H3200" s="35"/>
      <c r="I3200" s="31"/>
      <c r="J3200" s="155">
        <v>0</v>
      </c>
    </row>
    <row r="3201" spans="1:10" ht="26.25" hidden="1" thickBot="1" x14ac:dyDescent="0.3">
      <c r="A3201" s="200"/>
      <c r="B3201" s="202"/>
      <c r="C3201" s="36" t="s">
        <v>1002</v>
      </c>
      <c r="D3201" s="47" t="s">
        <v>292</v>
      </c>
      <c r="E3201" s="37">
        <v>1</v>
      </c>
      <c r="F3201" s="31">
        <v>436.04999999999995</v>
      </c>
      <c r="G3201" s="34">
        <f>IF(ISNUMBER(F3201),E3201*F3201,"")</f>
        <v>436.04999999999995</v>
      </c>
      <c r="H3201" s="35"/>
      <c r="I3201" s="31"/>
      <c r="J3201" s="155">
        <v>0</v>
      </c>
    </row>
    <row r="3202" spans="1:10" ht="15.75" hidden="1" thickBot="1" x14ac:dyDescent="0.3">
      <c r="A3202" s="200"/>
      <c r="B3202" s="202"/>
      <c r="C3202" s="36" t="s">
        <v>3621</v>
      </c>
      <c r="D3202" s="47" t="s">
        <v>938</v>
      </c>
      <c r="E3202" s="37">
        <v>8.8099999999999998E-2</v>
      </c>
      <c r="F3202" s="31">
        <v>52.8675</v>
      </c>
      <c r="G3202" s="34">
        <f>IF(ISNUMBER(F3202),E3202*F3202,"")</f>
        <v>4.6576267499999995</v>
      </c>
      <c r="H3202" s="35"/>
      <c r="I3202" s="31"/>
      <c r="J3202" s="155">
        <v>0</v>
      </c>
    </row>
    <row r="3203" spans="1:10" ht="26.25" hidden="1" thickBot="1" x14ac:dyDescent="0.3">
      <c r="A3203" s="200"/>
      <c r="B3203" s="202"/>
      <c r="C3203" s="36" t="s">
        <v>994</v>
      </c>
      <c r="D3203" s="47" t="s">
        <v>742</v>
      </c>
      <c r="E3203" s="37">
        <v>0.49680000000000002</v>
      </c>
      <c r="F3203" s="31">
        <v>22.2395</v>
      </c>
      <c r="G3203" s="34">
        <f>IF(ISNUMBER(F3203),E3203*F3203,"")</f>
        <v>11.048583600000001</v>
      </c>
      <c r="H3203" s="35"/>
      <c r="I3203" s="31"/>
      <c r="J3203" s="155">
        <v>0</v>
      </c>
    </row>
    <row r="3204" spans="1:10" ht="15.75" hidden="1" thickBot="1" x14ac:dyDescent="0.3">
      <c r="A3204" s="200"/>
      <c r="B3204" s="202"/>
      <c r="C3204" s="36" t="s">
        <v>743</v>
      </c>
      <c r="D3204" s="47" t="s">
        <v>742</v>
      </c>
      <c r="E3204" s="37">
        <v>0.34949999999999998</v>
      </c>
      <c r="F3204" s="31">
        <v>16.729499999999998</v>
      </c>
      <c r="G3204" s="34">
        <f>IF(ISNUMBER(F3204),E3204*F3204,"")</f>
        <v>5.8469602499999986</v>
      </c>
      <c r="H3204" s="35"/>
      <c r="I3204" s="31"/>
      <c r="J3204" s="155">
        <v>0</v>
      </c>
    </row>
    <row r="3205" spans="1:10" ht="26.25" hidden="1" thickBot="1" x14ac:dyDescent="0.3">
      <c r="A3205" s="200"/>
      <c r="B3205" s="202"/>
      <c r="C3205" s="36" t="s">
        <v>318</v>
      </c>
      <c r="D3205" s="36" t="s">
        <v>20</v>
      </c>
      <c r="E3205" s="37">
        <v>1</v>
      </c>
      <c r="F3205" s="34" t="s">
        <v>558</v>
      </c>
      <c r="G3205" s="34" t="str">
        <f>IF(ISNUMBER(F3205),E3205*F3205,"")</f>
        <v/>
      </c>
      <c r="H3205" s="35"/>
      <c r="I3205" s="31"/>
      <c r="J3205" s="155">
        <v>0</v>
      </c>
    </row>
    <row r="3206" spans="1:10" ht="15.75" hidden="1" thickBot="1" x14ac:dyDescent="0.3">
      <c r="A3206" s="201"/>
      <c r="B3206" s="188"/>
      <c r="C3206" s="36"/>
      <c r="D3206" s="36"/>
      <c r="E3206" s="37"/>
      <c r="F3206" s="31" t="s">
        <v>558</v>
      </c>
      <c r="G3206" s="34" t="str">
        <f>IF(ISNUMBER(F3206),E3206*F3206,"")</f>
        <v/>
      </c>
      <c r="H3206" s="35"/>
      <c r="I3206" s="31"/>
      <c r="J3206" s="155">
        <v>0</v>
      </c>
    </row>
    <row r="3207" spans="1:10" ht="15.75" hidden="1" thickBot="1" x14ac:dyDescent="0.3">
      <c r="A3207" s="180" t="s">
        <v>1003</v>
      </c>
      <c r="B3207" s="186" t="str">
        <f>INDEX(Orçamentária!A:B,MATCH(Composições!A3207,Orçamentária!A:A,0),2)</f>
        <v>Assento para bacia convencional - Linha Acessibilidade</v>
      </c>
      <c r="C3207" s="41"/>
      <c r="D3207" s="26" t="str">
        <f>TRIM(INDEX(Orçamentária!C:C,MATCH(Composições!A3207,Orçamentária!A:A,0),1))</f>
        <v>un</v>
      </c>
      <c r="E3207" s="27"/>
      <c r="F3207" s="42" t="s">
        <v>558</v>
      </c>
      <c r="G3207" s="28" t="str">
        <f>IF(ISNUMBER(F3207),E3207*F3207,"")</f>
        <v/>
      </c>
      <c r="H3207" s="29"/>
      <c r="I3207" s="30"/>
      <c r="J3207" s="155">
        <v>0</v>
      </c>
    </row>
    <row r="3208" spans="1:10" ht="15.75" hidden="1" thickBot="1" x14ac:dyDescent="0.3">
      <c r="A3208" s="200"/>
      <c r="B3208" s="202"/>
      <c r="C3208" s="32"/>
      <c r="D3208" s="32"/>
      <c r="E3208" s="33"/>
      <c r="F3208" s="43" t="s">
        <v>558</v>
      </c>
      <c r="G3208" s="34" t="str">
        <f>IF(ISNUMBER(F3208),E3208*F3208,"")</f>
        <v/>
      </c>
      <c r="H3208" s="35"/>
      <c r="I3208" s="31"/>
      <c r="J3208" s="155">
        <v>0</v>
      </c>
    </row>
    <row r="3209" spans="1:10" ht="26.25" hidden="1" thickBot="1" x14ac:dyDescent="0.3">
      <c r="A3209" s="200"/>
      <c r="B3209" s="202"/>
      <c r="C3209" s="36" t="s">
        <v>1004</v>
      </c>
      <c r="D3209" s="47" t="s">
        <v>147</v>
      </c>
      <c r="E3209" s="37">
        <v>1</v>
      </c>
      <c r="F3209" s="31" t="s">
        <v>558</v>
      </c>
      <c r="G3209" s="34" t="str">
        <f>IF(ISNUMBER(F3209),E3209*F3209,"")</f>
        <v/>
      </c>
      <c r="H3209" s="39">
        <f>SUM(G3209:G3210)</f>
        <v>1.6729499999999999</v>
      </c>
      <c r="I3209" s="40"/>
      <c r="J3209" s="155">
        <v>0</v>
      </c>
    </row>
    <row r="3210" spans="1:10" ht="15.75" hidden="1" thickBot="1" x14ac:dyDescent="0.3">
      <c r="A3210" s="200"/>
      <c r="B3210" s="202"/>
      <c r="C3210" s="36" t="s">
        <v>1005</v>
      </c>
      <c r="D3210" s="47" t="s">
        <v>12</v>
      </c>
      <c r="E3210" s="37">
        <v>0.1</v>
      </c>
      <c r="F3210" s="31">
        <v>16.729499999999998</v>
      </c>
      <c r="G3210" s="34">
        <f>IF(ISNUMBER(F3210),E3210*F3210,"")</f>
        <v>1.6729499999999999</v>
      </c>
      <c r="H3210" s="35"/>
      <c r="I3210" s="31"/>
      <c r="J3210" s="155">
        <v>0</v>
      </c>
    </row>
    <row r="3211" spans="1:10" ht="15.75" hidden="1" thickBot="1" x14ac:dyDescent="0.3">
      <c r="A3211" s="201"/>
      <c r="B3211" s="188"/>
      <c r="C3211" s="36"/>
      <c r="D3211" s="36"/>
      <c r="E3211" s="37"/>
      <c r="F3211" s="31" t="s">
        <v>558</v>
      </c>
      <c r="G3211" s="34" t="str">
        <f>IF(ISNUMBER(F3211),E3211*F3211,"")</f>
        <v/>
      </c>
      <c r="H3211" s="35"/>
      <c r="I3211" s="31"/>
      <c r="J3211" s="155">
        <v>0</v>
      </c>
    </row>
    <row r="3212" spans="1:10" ht="15.75" hidden="1" thickBot="1" x14ac:dyDescent="0.3">
      <c r="A3212" s="180" t="s">
        <v>1006</v>
      </c>
      <c r="B3212" s="186" t="str">
        <f>INDEX(Orçamentária!A:B,MATCH(Composições!A3212,Orçamentária!A:A,0),2)</f>
        <v>Base registro de gaveta 1 1/2”</v>
      </c>
      <c r="C3212" s="41"/>
      <c r="D3212" s="26" t="str">
        <f>TRIM(INDEX(Orçamentária!C:C,MATCH(Composições!A3212,Orçamentária!A:A,0),1))</f>
        <v>un</v>
      </c>
      <c r="E3212" s="27"/>
      <c r="F3212" s="42" t="s">
        <v>558</v>
      </c>
      <c r="G3212" s="28" t="str">
        <f>IF(ISNUMBER(F3212),E3212*F3212,"")</f>
        <v/>
      </c>
      <c r="H3212" s="29"/>
      <c r="I3212" s="30"/>
      <c r="J3212" s="155">
        <v>0</v>
      </c>
    </row>
    <row r="3213" spans="1:10" ht="15.75" hidden="1" thickBot="1" x14ac:dyDescent="0.3">
      <c r="A3213" s="200"/>
      <c r="B3213" s="202"/>
      <c r="C3213" s="32"/>
      <c r="D3213" s="32"/>
      <c r="E3213" s="33"/>
      <c r="F3213" s="43" t="s">
        <v>558</v>
      </c>
      <c r="G3213" s="34" t="str">
        <f>IF(ISNUMBER(F3213),E3213*F3213,"")</f>
        <v/>
      </c>
      <c r="H3213" s="35"/>
      <c r="I3213" s="31"/>
      <c r="J3213" s="155">
        <v>0</v>
      </c>
    </row>
    <row r="3214" spans="1:10" ht="26.25" hidden="1" thickBot="1" x14ac:dyDescent="0.3">
      <c r="A3214" s="200"/>
      <c r="B3214" s="202"/>
      <c r="C3214" s="36" t="s">
        <v>1007</v>
      </c>
      <c r="D3214" s="47" t="s">
        <v>147</v>
      </c>
      <c r="E3214" s="37">
        <v>1</v>
      </c>
      <c r="F3214" s="31" t="s">
        <v>558</v>
      </c>
      <c r="G3214" s="34" t="str">
        <f>IF(ISNUMBER(F3214),E3214*F3214,"")</f>
        <v/>
      </c>
      <c r="H3214" s="39">
        <f>SUM(G3214:G3217)</f>
        <v>31.454756500000002</v>
      </c>
      <c r="I3214" s="40"/>
      <c r="J3214" s="155">
        <v>0</v>
      </c>
    </row>
    <row r="3215" spans="1:10" ht="15.75" hidden="1" thickBot="1" x14ac:dyDescent="0.3">
      <c r="A3215" s="200"/>
      <c r="B3215" s="202"/>
      <c r="C3215" s="36" t="s">
        <v>336</v>
      </c>
      <c r="D3215" s="47" t="s">
        <v>292</v>
      </c>
      <c r="E3215" s="37">
        <v>1.9E-2</v>
      </c>
      <c r="F3215" s="31">
        <v>12.8155</v>
      </c>
      <c r="G3215" s="34">
        <f>IF(ISNUMBER(F3215),E3215*F3215,"")</f>
        <v>0.2434945</v>
      </c>
      <c r="H3215" s="35"/>
      <c r="I3215" s="31"/>
      <c r="J3215" s="155">
        <v>0</v>
      </c>
    </row>
    <row r="3216" spans="1:10" ht="15.75" hidden="1" thickBot="1" x14ac:dyDescent="0.3">
      <c r="A3216" s="200"/>
      <c r="B3216" s="202"/>
      <c r="C3216" s="36" t="s">
        <v>39</v>
      </c>
      <c r="D3216" s="47" t="s">
        <v>12</v>
      </c>
      <c r="E3216" s="37">
        <v>0.78900000000000003</v>
      </c>
      <c r="F3216" s="31">
        <v>22.2395</v>
      </c>
      <c r="G3216" s="34">
        <f>IF(ISNUMBER(F3216),E3216*F3216,"")</f>
        <v>17.546965499999999</v>
      </c>
      <c r="H3216" s="35"/>
      <c r="I3216" s="31"/>
      <c r="J3216" s="155">
        <v>0</v>
      </c>
    </row>
    <row r="3217" spans="1:10" ht="26.25" hidden="1" thickBot="1" x14ac:dyDescent="0.3">
      <c r="A3217" s="200"/>
      <c r="B3217" s="202"/>
      <c r="C3217" s="36" t="s">
        <v>993</v>
      </c>
      <c r="D3217" s="36" t="s">
        <v>12</v>
      </c>
      <c r="E3217" s="37">
        <v>0.78900000000000003</v>
      </c>
      <c r="F3217" s="31">
        <v>17.3185</v>
      </c>
      <c r="G3217" s="34">
        <f>IF(ISNUMBER(F3217),E3217*F3217,"")</f>
        <v>13.664296500000001</v>
      </c>
      <c r="H3217" s="35"/>
      <c r="I3217" s="31"/>
      <c r="J3217" s="155">
        <v>0</v>
      </c>
    </row>
    <row r="3218" spans="1:10" ht="15.75" hidden="1" thickBot="1" x14ac:dyDescent="0.3">
      <c r="A3218" s="201"/>
      <c r="B3218" s="188"/>
      <c r="C3218" s="36"/>
      <c r="D3218" s="36"/>
      <c r="E3218" s="37"/>
      <c r="F3218" s="31" t="s">
        <v>558</v>
      </c>
      <c r="G3218" s="34" t="str">
        <f>IF(ISNUMBER(F3218),E3218*F3218,"")</f>
        <v/>
      </c>
      <c r="H3218" s="35"/>
      <c r="I3218" s="31"/>
      <c r="J3218" s="155">
        <v>0</v>
      </c>
    </row>
    <row r="3219" spans="1:10" ht="15.75" hidden="1" thickBot="1" x14ac:dyDescent="0.3">
      <c r="A3219" s="180" t="s">
        <v>1008</v>
      </c>
      <c r="B3219" s="186" t="str">
        <f>INDEX(Orçamentária!A:B,MATCH(Composições!A3219,Orçamentária!A:A,0),2)</f>
        <v>Condutor 25 mm²</v>
      </c>
      <c r="C3219" s="41"/>
      <c r="D3219" s="26" t="str">
        <f>TRIM(INDEX(Orçamentária!C:C,MATCH(Composições!A3219,Orçamentária!A:A,0),1))</f>
        <v>m</v>
      </c>
      <c r="E3219" s="27"/>
      <c r="F3219" s="42" t="s">
        <v>558</v>
      </c>
      <c r="G3219" s="28" t="str">
        <f>IF(ISNUMBER(F3219),E3219*F3219,"")</f>
        <v/>
      </c>
      <c r="H3219" s="29"/>
      <c r="I3219" s="30"/>
      <c r="J3219" s="155">
        <v>0</v>
      </c>
    </row>
    <row r="3220" spans="1:10" ht="15.75" hidden="1" thickBot="1" x14ac:dyDescent="0.3">
      <c r="A3220" s="200"/>
      <c r="B3220" s="202"/>
      <c r="C3220" s="32"/>
      <c r="D3220" s="32"/>
      <c r="E3220" s="33"/>
      <c r="F3220" s="43" t="s">
        <v>558</v>
      </c>
      <c r="G3220" s="34" t="str">
        <f>IF(ISNUMBER(F3220),E3220*F3220,"")</f>
        <v/>
      </c>
      <c r="H3220" s="35"/>
      <c r="I3220" s="31"/>
      <c r="J3220" s="155">
        <v>0</v>
      </c>
    </row>
    <row r="3221" spans="1:10" ht="15.75" hidden="1" thickBot="1" x14ac:dyDescent="0.3">
      <c r="A3221" s="200"/>
      <c r="B3221" s="202"/>
      <c r="C3221" s="36" t="s">
        <v>1009</v>
      </c>
      <c r="D3221" s="36" t="s">
        <v>93</v>
      </c>
      <c r="E3221" s="37">
        <v>1.0149999999999999</v>
      </c>
      <c r="F3221" s="31">
        <v>0</v>
      </c>
      <c r="G3221" s="34">
        <f>IF(ISNUMBER(F3221),E3221*F3221,"")</f>
        <v>0</v>
      </c>
      <c r="H3221" s="39">
        <f>SUM(G3221:G3224)</f>
        <v>2.6368199999999997</v>
      </c>
      <c r="I3221" s="40"/>
      <c r="J3221" s="155">
        <v>0</v>
      </c>
    </row>
    <row r="3222" spans="1:10" ht="15.75" hidden="1" thickBot="1" x14ac:dyDescent="0.3">
      <c r="A3222" s="200"/>
      <c r="B3222" s="202"/>
      <c r="C3222" s="36" t="s">
        <v>590</v>
      </c>
      <c r="D3222" s="47" t="s">
        <v>292</v>
      </c>
      <c r="E3222" s="37">
        <v>8.9999999999999993E-3</v>
      </c>
      <c r="F3222" s="31">
        <v>3.5719999999999996</v>
      </c>
      <c r="G3222" s="34">
        <f>IF(ISNUMBER(F3222),E3222*F3222,"")</f>
        <v>3.2147999999999996E-2</v>
      </c>
      <c r="H3222" s="35"/>
      <c r="I3222" s="31"/>
      <c r="J3222" s="155">
        <v>0</v>
      </c>
    </row>
    <row r="3223" spans="1:10" ht="15.75" hidden="1" thickBot="1" x14ac:dyDescent="0.3">
      <c r="A3223" s="200"/>
      <c r="B3223" s="202"/>
      <c r="C3223" s="36" t="s">
        <v>74</v>
      </c>
      <c r="D3223" s="36" t="s">
        <v>12</v>
      </c>
      <c r="E3223" s="37">
        <v>6.4000000000000001E-2</v>
      </c>
      <c r="F3223" s="31">
        <v>17.802999999999997</v>
      </c>
      <c r="G3223" s="34">
        <f>IF(ISNUMBER(F3223),E3223*F3223,"")</f>
        <v>1.1393919999999997</v>
      </c>
      <c r="H3223" s="35"/>
      <c r="I3223" s="31"/>
      <c r="J3223" s="155">
        <v>0</v>
      </c>
    </row>
    <row r="3224" spans="1:10" ht="15.75" hidden="1" thickBot="1" x14ac:dyDescent="0.3">
      <c r="A3224" s="200"/>
      <c r="B3224" s="202"/>
      <c r="C3224" s="36" t="s">
        <v>30</v>
      </c>
      <c r="D3224" s="36" t="s">
        <v>12</v>
      </c>
      <c r="E3224" s="37">
        <v>6.4000000000000001E-2</v>
      </c>
      <c r="F3224" s="31">
        <v>22.895</v>
      </c>
      <c r="G3224" s="34">
        <f>IF(ISNUMBER(F3224),E3224*F3224,"")</f>
        <v>1.4652799999999999</v>
      </c>
      <c r="H3224" s="35"/>
      <c r="I3224" s="31"/>
      <c r="J3224" s="155">
        <v>0</v>
      </c>
    </row>
    <row r="3225" spans="1:10" ht="15.75" hidden="1" thickBot="1" x14ac:dyDescent="0.3">
      <c r="A3225" s="201"/>
      <c r="B3225" s="188"/>
      <c r="C3225" s="36"/>
      <c r="D3225" s="36"/>
      <c r="E3225" s="37"/>
      <c r="F3225" s="31" t="s">
        <v>558</v>
      </c>
      <c r="G3225" s="34" t="str">
        <f>IF(ISNUMBER(F3225),E3225*F3225,"")</f>
        <v/>
      </c>
      <c r="H3225" s="35"/>
      <c r="I3225" s="31"/>
      <c r="J3225" s="155">
        <v>0</v>
      </c>
    </row>
    <row r="3226" spans="1:10" ht="15.75" hidden="1" thickBot="1" x14ac:dyDescent="0.3">
      <c r="A3226" s="180" t="s">
        <v>1010</v>
      </c>
      <c r="B3226" s="186" t="str">
        <f>INDEX(Orçamentária!A:B,MATCH(Composições!A3226,Orçamentária!A:A,0),2)</f>
        <v>Condutor 35 mm²</v>
      </c>
      <c r="C3226" s="41"/>
      <c r="D3226" s="26" t="str">
        <f>TRIM(INDEX(Orçamentária!C:C,MATCH(Composições!A3226,Orçamentária!A:A,0),1))</f>
        <v>m</v>
      </c>
      <c r="E3226" s="27"/>
      <c r="F3226" s="42" t="s">
        <v>558</v>
      </c>
      <c r="G3226" s="28" t="str">
        <f>IF(ISNUMBER(F3226),E3226*F3226,"")</f>
        <v/>
      </c>
      <c r="H3226" s="29"/>
      <c r="I3226" s="30"/>
      <c r="J3226" s="155">
        <v>0</v>
      </c>
    </row>
    <row r="3227" spans="1:10" ht="15.75" hidden="1" thickBot="1" x14ac:dyDescent="0.3">
      <c r="A3227" s="200"/>
      <c r="B3227" s="202"/>
      <c r="C3227" s="32"/>
      <c r="D3227" s="32"/>
      <c r="E3227" s="33"/>
      <c r="F3227" s="43" t="s">
        <v>558</v>
      </c>
      <c r="G3227" s="34" t="str">
        <f>IF(ISNUMBER(F3227),E3227*F3227,"")</f>
        <v/>
      </c>
      <c r="H3227" s="35"/>
      <c r="I3227" s="31"/>
      <c r="J3227" s="155">
        <v>0</v>
      </c>
    </row>
    <row r="3228" spans="1:10" ht="15.75" hidden="1" thickBot="1" x14ac:dyDescent="0.3">
      <c r="A3228" s="200"/>
      <c r="B3228" s="202"/>
      <c r="C3228" s="36" t="s">
        <v>1011</v>
      </c>
      <c r="D3228" s="36" t="s">
        <v>93</v>
      </c>
      <c r="E3228" s="37">
        <v>1.0149999999999999</v>
      </c>
      <c r="F3228" s="31">
        <v>0</v>
      </c>
      <c r="G3228" s="34">
        <f>IF(ISNUMBER(F3228),E3228*F3228,"")</f>
        <v>0</v>
      </c>
      <c r="H3228" s="39">
        <f>SUM(G3228:G3231)</f>
        <v>3.0031019999999993</v>
      </c>
      <c r="I3228" s="40"/>
      <c r="J3228" s="155">
        <v>0</v>
      </c>
    </row>
    <row r="3229" spans="1:10" ht="15.75" hidden="1" thickBot="1" x14ac:dyDescent="0.3">
      <c r="A3229" s="200"/>
      <c r="B3229" s="202"/>
      <c r="C3229" s="36" t="s">
        <v>590</v>
      </c>
      <c r="D3229" s="47" t="s">
        <v>292</v>
      </c>
      <c r="E3229" s="37">
        <v>8.9999999999999993E-3</v>
      </c>
      <c r="F3229" s="31">
        <v>3.5719999999999996</v>
      </c>
      <c r="G3229" s="34">
        <f>IF(ISNUMBER(F3229),E3229*F3229,"")</f>
        <v>3.2147999999999996E-2</v>
      </c>
      <c r="H3229" s="35"/>
      <c r="I3229" s="31"/>
      <c r="J3229" s="155">
        <v>0</v>
      </c>
    </row>
    <row r="3230" spans="1:10" ht="15.75" hidden="1" thickBot="1" x14ac:dyDescent="0.3">
      <c r="A3230" s="200"/>
      <c r="B3230" s="202"/>
      <c r="C3230" s="36" t="s">
        <v>74</v>
      </c>
      <c r="D3230" s="36" t="s">
        <v>12</v>
      </c>
      <c r="E3230" s="37">
        <v>7.2999999999999995E-2</v>
      </c>
      <c r="F3230" s="31">
        <v>17.802999999999997</v>
      </c>
      <c r="G3230" s="34">
        <f>IF(ISNUMBER(F3230),E3230*F3230,"")</f>
        <v>1.2996189999999996</v>
      </c>
      <c r="H3230" s="35"/>
      <c r="I3230" s="31"/>
      <c r="J3230" s="155">
        <v>0</v>
      </c>
    </row>
    <row r="3231" spans="1:10" ht="15.75" hidden="1" thickBot="1" x14ac:dyDescent="0.3">
      <c r="A3231" s="200"/>
      <c r="B3231" s="202"/>
      <c r="C3231" s="36" t="s">
        <v>30</v>
      </c>
      <c r="D3231" s="36" t="s">
        <v>12</v>
      </c>
      <c r="E3231" s="37">
        <v>7.2999999999999995E-2</v>
      </c>
      <c r="F3231" s="31">
        <v>22.895</v>
      </c>
      <c r="G3231" s="34">
        <f>IF(ISNUMBER(F3231),E3231*F3231,"")</f>
        <v>1.6713349999999998</v>
      </c>
      <c r="H3231" s="35"/>
      <c r="I3231" s="31"/>
      <c r="J3231" s="155">
        <v>0</v>
      </c>
    </row>
    <row r="3232" spans="1:10" ht="15.75" hidden="1" thickBot="1" x14ac:dyDescent="0.3">
      <c r="A3232" s="201"/>
      <c r="B3232" s="188"/>
      <c r="C3232" s="36"/>
      <c r="D3232" s="36"/>
      <c r="E3232" s="37"/>
      <c r="F3232" s="31" t="s">
        <v>558</v>
      </c>
      <c r="G3232" s="34" t="str">
        <f>IF(ISNUMBER(F3232),E3232*F3232,"")</f>
        <v/>
      </c>
      <c r="H3232" s="35"/>
      <c r="I3232" s="31"/>
      <c r="J3232" s="155">
        <v>0</v>
      </c>
    </row>
    <row r="3233" spans="1:10" ht="15.75" hidden="1" thickBot="1" x14ac:dyDescent="0.3">
      <c r="A3233" s="180" t="s">
        <v>1012</v>
      </c>
      <c r="B3233" s="186" t="str">
        <f>INDEX(Orçamentária!A:B,MATCH(Composições!A3233,Orçamentária!A:A,0),2)</f>
        <v>Condutor 50 mm²</v>
      </c>
      <c r="C3233" s="41"/>
      <c r="D3233" s="26" t="str">
        <f>TRIM(INDEX(Orçamentária!C:C,MATCH(Composições!A3233,Orçamentária!A:A,0),1))</f>
        <v>m</v>
      </c>
      <c r="E3233" s="27"/>
      <c r="F3233" s="42" t="s">
        <v>558</v>
      </c>
      <c r="G3233" s="28" t="str">
        <f>IF(ISNUMBER(F3233),E3233*F3233,"")</f>
        <v/>
      </c>
      <c r="H3233" s="29"/>
      <c r="I3233" s="30"/>
      <c r="J3233" s="155">
        <v>0</v>
      </c>
    </row>
    <row r="3234" spans="1:10" ht="15.75" hidden="1" thickBot="1" x14ac:dyDescent="0.3">
      <c r="A3234" s="200"/>
      <c r="B3234" s="202"/>
      <c r="C3234" s="32"/>
      <c r="D3234" s="32"/>
      <c r="E3234" s="33"/>
      <c r="F3234" s="43" t="s">
        <v>558</v>
      </c>
      <c r="G3234" s="34" t="str">
        <f>IF(ISNUMBER(F3234),E3234*F3234,"")</f>
        <v/>
      </c>
      <c r="H3234" s="35"/>
      <c r="I3234" s="31"/>
      <c r="J3234" s="155">
        <v>0</v>
      </c>
    </row>
    <row r="3235" spans="1:10" ht="15.75" hidden="1" thickBot="1" x14ac:dyDescent="0.3">
      <c r="A3235" s="200"/>
      <c r="B3235" s="202"/>
      <c r="C3235" s="36" t="s">
        <v>1013</v>
      </c>
      <c r="D3235" s="36" t="s">
        <v>93</v>
      </c>
      <c r="E3235" s="37">
        <v>1.0149999999999999</v>
      </c>
      <c r="F3235" s="31">
        <v>0</v>
      </c>
      <c r="G3235" s="34">
        <f>IF(ISNUMBER(F3235),E3235*F3235,"")</f>
        <v>0</v>
      </c>
      <c r="H3235" s="39">
        <f>SUM(G3235:G3238)</f>
        <v>3.5728739999999997</v>
      </c>
      <c r="I3235" s="40"/>
      <c r="J3235" s="155">
        <v>0</v>
      </c>
    </row>
    <row r="3236" spans="1:10" ht="15.75" hidden="1" thickBot="1" x14ac:dyDescent="0.3">
      <c r="A3236" s="200"/>
      <c r="B3236" s="202"/>
      <c r="C3236" s="36" t="s">
        <v>590</v>
      </c>
      <c r="D3236" s="47" t="s">
        <v>292</v>
      </c>
      <c r="E3236" s="37">
        <v>8.9999999999999993E-3</v>
      </c>
      <c r="F3236" s="31">
        <v>3.5719999999999996</v>
      </c>
      <c r="G3236" s="34">
        <f>IF(ISNUMBER(F3236),E3236*F3236,"")</f>
        <v>3.2147999999999996E-2</v>
      </c>
      <c r="H3236" s="35"/>
      <c r="I3236" s="31"/>
      <c r="J3236" s="155">
        <v>0</v>
      </c>
    </row>
    <row r="3237" spans="1:10" ht="15.75" hidden="1" thickBot="1" x14ac:dyDescent="0.3">
      <c r="A3237" s="200"/>
      <c r="B3237" s="202"/>
      <c r="C3237" s="36" t="s">
        <v>74</v>
      </c>
      <c r="D3237" s="36" t="s">
        <v>12</v>
      </c>
      <c r="E3237" s="37">
        <v>8.6999999999999994E-2</v>
      </c>
      <c r="F3237" s="31">
        <v>17.802999999999997</v>
      </c>
      <c r="G3237" s="34">
        <f>IF(ISNUMBER(F3237),E3237*F3237,"")</f>
        <v>1.5488609999999996</v>
      </c>
      <c r="H3237" s="35"/>
      <c r="I3237" s="31"/>
      <c r="J3237" s="155">
        <v>0</v>
      </c>
    </row>
    <row r="3238" spans="1:10" ht="15.75" hidden="1" thickBot="1" x14ac:dyDescent="0.3">
      <c r="A3238" s="200"/>
      <c r="B3238" s="202"/>
      <c r="C3238" s="36" t="s">
        <v>30</v>
      </c>
      <c r="D3238" s="36" t="s">
        <v>12</v>
      </c>
      <c r="E3238" s="37">
        <v>8.6999999999999994E-2</v>
      </c>
      <c r="F3238" s="31">
        <v>22.895</v>
      </c>
      <c r="G3238" s="34">
        <f>IF(ISNUMBER(F3238),E3238*F3238,"")</f>
        <v>1.9918649999999998</v>
      </c>
      <c r="H3238" s="35"/>
      <c r="I3238" s="31"/>
      <c r="J3238" s="155">
        <v>0</v>
      </c>
    </row>
    <row r="3239" spans="1:10" ht="15.75" hidden="1" thickBot="1" x14ac:dyDescent="0.3">
      <c r="A3239" s="201"/>
      <c r="B3239" s="188"/>
      <c r="C3239" s="36"/>
      <c r="D3239" s="36"/>
      <c r="E3239" s="37"/>
      <c r="F3239" s="31" t="s">
        <v>558</v>
      </c>
      <c r="G3239" s="34" t="str">
        <f>IF(ISNUMBER(F3239),E3239*F3239,"")</f>
        <v/>
      </c>
      <c r="H3239" s="35"/>
      <c r="I3239" s="31"/>
      <c r="J3239" s="155">
        <v>0</v>
      </c>
    </row>
    <row r="3240" spans="1:10" ht="15.75" hidden="1" thickBot="1" x14ac:dyDescent="0.3">
      <c r="A3240" s="180" t="s">
        <v>1014</v>
      </c>
      <c r="B3240" s="186" t="str">
        <f>INDEX(Orçamentária!A:B,MATCH(Composições!A3240,Orçamentária!A:A,0),2)</f>
        <v>Condutor 70 mm²</v>
      </c>
      <c r="C3240" s="41"/>
      <c r="D3240" s="26" t="str">
        <f>TRIM(INDEX(Orçamentária!C:C,MATCH(Composições!A3240,Orçamentária!A:A,0),1))</f>
        <v>m</v>
      </c>
      <c r="E3240" s="27"/>
      <c r="F3240" s="42" t="s">
        <v>558</v>
      </c>
      <c r="G3240" s="28" t="str">
        <f>IF(ISNUMBER(F3240),E3240*F3240,"")</f>
        <v/>
      </c>
      <c r="H3240" s="29"/>
      <c r="I3240" s="30"/>
      <c r="J3240" s="155">
        <v>0</v>
      </c>
    </row>
    <row r="3241" spans="1:10" ht="15.75" hidden="1" thickBot="1" x14ac:dyDescent="0.3">
      <c r="A3241" s="200"/>
      <c r="B3241" s="202"/>
      <c r="C3241" s="32"/>
      <c r="D3241" s="32"/>
      <c r="E3241" s="33"/>
      <c r="F3241" s="43" t="s">
        <v>558</v>
      </c>
      <c r="G3241" s="34" t="str">
        <f>IF(ISNUMBER(F3241),E3241*F3241,"")</f>
        <v/>
      </c>
      <c r="H3241" s="35"/>
      <c r="I3241" s="31"/>
      <c r="J3241" s="155">
        <v>0</v>
      </c>
    </row>
    <row r="3242" spans="1:10" ht="15.75" hidden="1" thickBot="1" x14ac:dyDescent="0.3">
      <c r="A3242" s="200"/>
      <c r="B3242" s="202"/>
      <c r="C3242" s="36" t="s">
        <v>1015</v>
      </c>
      <c r="D3242" s="36" t="s">
        <v>93</v>
      </c>
      <c r="E3242" s="37">
        <v>1.0149999999999999</v>
      </c>
      <c r="F3242" s="31">
        <v>0</v>
      </c>
      <c r="G3242" s="34">
        <f>IF(ISNUMBER(F3242),E3242*F3242,"")</f>
        <v>0</v>
      </c>
      <c r="H3242" s="39">
        <f>SUM(G3242:G3245)</f>
        <v>4.3054379999999997</v>
      </c>
      <c r="I3242" s="40"/>
      <c r="J3242" s="155">
        <v>0</v>
      </c>
    </row>
    <row r="3243" spans="1:10" ht="15.75" hidden="1" thickBot="1" x14ac:dyDescent="0.3">
      <c r="A3243" s="200"/>
      <c r="B3243" s="202"/>
      <c r="C3243" s="36" t="s">
        <v>590</v>
      </c>
      <c r="D3243" s="47" t="s">
        <v>292</v>
      </c>
      <c r="E3243" s="37">
        <v>8.9999999999999993E-3</v>
      </c>
      <c r="F3243" s="31">
        <v>3.5719999999999996</v>
      </c>
      <c r="G3243" s="34">
        <f>IF(ISNUMBER(F3243),E3243*F3243,"")</f>
        <v>3.2147999999999996E-2</v>
      </c>
      <c r="H3243" s="35"/>
      <c r="I3243" s="31"/>
      <c r="J3243" s="155">
        <v>0</v>
      </c>
    </row>
    <row r="3244" spans="1:10" ht="15.75" hidden="1" thickBot="1" x14ac:dyDescent="0.3">
      <c r="A3244" s="200"/>
      <c r="B3244" s="202"/>
      <c r="C3244" s="36" t="s">
        <v>74</v>
      </c>
      <c r="D3244" s="36" t="s">
        <v>12</v>
      </c>
      <c r="E3244" s="37">
        <v>0.105</v>
      </c>
      <c r="F3244" s="31">
        <v>17.802999999999997</v>
      </c>
      <c r="G3244" s="34">
        <f>IF(ISNUMBER(F3244),E3244*F3244,"")</f>
        <v>1.8693149999999996</v>
      </c>
      <c r="H3244" s="35"/>
      <c r="I3244" s="31"/>
      <c r="J3244" s="155">
        <v>0</v>
      </c>
    </row>
    <row r="3245" spans="1:10" ht="15.75" hidden="1" thickBot="1" x14ac:dyDescent="0.3">
      <c r="A3245" s="200"/>
      <c r="B3245" s="202"/>
      <c r="C3245" s="36" t="s">
        <v>30</v>
      </c>
      <c r="D3245" s="36" t="s">
        <v>12</v>
      </c>
      <c r="E3245" s="37">
        <v>0.105</v>
      </c>
      <c r="F3245" s="31">
        <v>22.895</v>
      </c>
      <c r="G3245" s="34">
        <f>IF(ISNUMBER(F3245),E3245*F3245,"")</f>
        <v>2.403975</v>
      </c>
      <c r="H3245" s="35"/>
      <c r="I3245" s="31"/>
      <c r="J3245" s="155">
        <v>0</v>
      </c>
    </row>
    <row r="3246" spans="1:10" ht="15.75" hidden="1" thickBot="1" x14ac:dyDescent="0.3">
      <c r="A3246" s="201"/>
      <c r="B3246" s="188"/>
      <c r="C3246" s="36"/>
      <c r="D3246" s="36"/>
      <c r="E3246" s="37"/>
      <c r="F3246" s="31" t="s">
        <v>558</v>
      </c>
      <c r="G3246" s="34" t="str">
        <f>IF(ISNUMBER(F3246),E3246*F3246,"")</f>
        <v/>
      </c>
      <c r="H3246" s="35"/>
      <c r="I3246" s="31"/>
      <c r="J3246" s="155">
        <v>0</v>
      </c>
    </row>
    <row r="3247" spans="1:10" ht="15.75" hidden="1" thickBot="1" x14ac:dyDescent="0.3">
      <c r="A3247" s="180" t="s">
        <v>1016</v>
      </c>
      <c r="B3247" s="186" t="str">
        <f>INDEX(Orçamentária!A:B,MATCH(Composições!A3247,Orçamentária!A:A,0),2)</f>
        <v>Condutor 95 mm²</v>
      </c>
      <c r="C3247" s="41"/>
      <c r="D3247" s="26" t="str">
        <f>TRIM(INDEX(Orçamentária!C:C,MATCH(Composições!A3247,Orçamentária!A:A,0),1))</f>
        <v>m</v>
      </c>
      <c r="E3247" s="27"/>
      <c r="F3247" s="42" t="s">
        <v>558</v>
      </c>
      <c r="G3247" s="28" t="str">
        <f>IF(ISNUMBER(F3247),E3247*F3247,"")</f>
        <v/>
      </c>
      <c r="H3247" s="29"/>
      <c r="I3247" s="30"/>
      <c r="J3247" s="155">
        <v>0</v>
      </c>
    </row>
    <row r="3248" spans="1:10" ht="15.75" hidden="1" thickBot="1" x14ac:dyDescent="0.3">
      <c r="A3248" s="200"/>
      <c r="B3248" s="202"/>
      <c r="C3248" s="32"/>
      <c r="D3248" s="32"/>
      <c r="E3248" s="33"/>
      <c r="F3248" s="43" t="s">
        <v>558</v>
      </c>
      <c r="G3248" s="34" t="str">
        <f>IF(ISNUMBER(F3248),E3248*F3248,"")</f>
        <v/>
      </c>
      <c r="H3248" s="35"/>
      <c r="I3248" s="31"/>
      <c r="J3248" s="155">
        <v>0</v>
      </c>
    </row>
    <row r="3249" spans="1:10" ht="15.75" hidden="1" thickBot="1" x14ac:dyDescent="0.3">
      <c r="A3249" s="200"/>
      <c r="B3249" s="202"/>
      <c r="C3249" s="36" t="s">
        <v>1017</v>
      </c>
      <c r="D3249" s="36" t="s">
        <v>93</v>
      </c>
      <c r="E3249" s="37">
        <v>1.0149999999999999</v>
      </c>
      <c r="F3249" s="31">
        <v>0</v>
      </c>
      <c r="G3249" s="34">
        <f>IF(ISNUMBER(F3249),E3249*F3249,"")</f>
        <v>0</v>
      </c>
      <c r="H3249" s="39">
        <f>SUM(G3249:G3252)</f>
        <v>5.2414919999999992</v>
      </c>
      <c r="I3249" s="40"/>
      <c r="J3249" s="155">
        <v>0</v>
      </c>
    </row>
    <row r="3250" spans="1:10" ht="15.75" hidden="1" thickBot="1" x14ac:dyDescent="0.3">
      <c r="A3250" s="200"/>
      <c r="B3250" s="202"/>
      <c r="C3250" s="36" t="s">
        <v>590</v>
      </c>
      <c r="D3250" s="47" t="s">
        <v>292</v>
      </c>
      <c r="E3250" s="37">
        <v>8.9999999999999993E-3</v>
      </c>
      <c r="F3250" s="31">
        <v>3.5719999999999996</v>
      </c>
      <c r="G3250" s="34">
        <f>IF(ISNUMBER(F3250),E3250*F3250,"")</f>
        <v>3.2147999999999996E-2</v>
      </c>
      <c r="H3250" s="35"/>
      <c r="I3250" s="31"/>
      <c r="J3250" s="155">
        <v>0</v>
      </c>
    </row>
    <row r="3251" spans="1:10" ht="15.75" hidden="1" thickBot="1" x14ac:dyDescent="0.3">
      <c r="A3251" s="200"/>
      <c r="B3251" s="202"/>
      <c r="C3251" s="36" t="s">
        <v>74</v>
      </c>
      <c r="D3251" s="36" t="s">
        <v>12</v>
      </c>
      <c r="E3251" s="37">
        <v>0.128</v>
      </c>
      <c r="F3251" s="31">
        <v>17.802999999999997</v>
      </c>
      <c r="G3251" s="34">
        <f>IF(ISNUMBER(F3251),E3251*F3251,"")</f>
        <v>2.2787839999999995</v>
      </c>
      <c r="H3251" s="35"/>
      <c r="I3251" s="31"/>
      <c r="J3251" s="155">
        <v>0</v>
      </c>
    </row>
    <row r="3252" spans="1:10" ht="15.75" hidden="1" thickBot="1" x14ac:dyDescent="0.3">
      <c r="A3252" s="200"/>
      <c r="B3252" s="202"/>
      <c r="C3252" s="36" t="s">
        <v>30</v>
      </c>
      <c r="D3252" s="36" t="s">
        <v>12</v>
      </c>
      <c r="E3252" s="37">
        <v>0.128</v>
      </c>
      <c r="F3252" s="31">
        <v>22.895</v>
      </c>
      <c r="G3252" s="34">
        <f>IF(ISNUMBER(F3252),E3252*F3252,"")</f>
        <v>2.9305599999999998</v>
      </c>
      <c r="H3252" s="35"/>
      <c r="I3252" s="31"/>
      <c r="J3252" s="155">
        <v>0</v>
      </c>
    </row>
    <row r="3253" spans="1:10" ht="15.75" hidden="1" thickBot="1" x14ac:dyDescent="0.3">
      <c r="A3253" s="201"/>
      <c r="B3253" s="188"/>
      <c r="C3253" s="36"/>
      <c r="D3253" s="36"/>
      <c r="E3253" s="37"/>
      <c r="F3253" s="31" t="s">
        <v>558</v>
      </c>
      <c r="G3253" s="34" t="str">
        <f>IF(ISNUMBER(F3253),E3253*F3253,"")</f>
        <v/>
      </c>
      <c r="H3253" s="35"/>
      <c r="I3253" s="31"/>
      <c r="J3253" s="155">
        <v>0</v>
      </c>
    </row>
    <row r="3254" spans="1:10" ht="15.75" hidden="1" thickBot="1" x14ac:dyDescent="0.3">
      <c r="A3254" s="180" t="s">
        <v>1018</v>
      </c>
      <c r="B3254" s="186" t="str">
        <f>INDEX(Orçamentária!A:B,MATCH(Composições!A3254,Orçamentária!A:A,0),2)</f>
        <v>Condutor 120 mm²</v>
      </c>
      <c r="C3254" s="41"/>
      <c r="D3254" s="26" t="str">
        <f>TRIM(INDEX(Orçamentária!C:C,MATCH(Composições!A3254,Orçamentária!A:A,0),1))</f>
        <v>m</v>
      </c>
      <c r="E3254" s="27"/>
      <c r="F3254" s="42" t="s">
        <v>558</v>
      </c>
      <c r="G3254" s="28" t="str">
        <f>IF(ISNUMBER(F3254),E3254*F3254,"")</f>
        <v/>
      </c>
      <c r="H3254" s="29"/>
      <c r="I3254" s="30"/>
      <c r="J3254" s="155">
        <v>0</v>
      </c>
    </row>
    <row r="3255" spans="1:10" ht="15.75" hidden="1" thickBot="1" x14ac:dyDescent="0.3">
      <c r="A3255" s="200"/>
      <c r="B3255" s="202"/>
      <c r="C3255" s="32"/>
      <c r="D3255" s="32"/>
      <c r="E3255" s="33"/>
      <c r="F3255" s="43" t="s">
        <v>558</v>
      </c>
      <c r="G3255" s="34" t="str">
        <f>IF(ISNUMBER(F3255),E3255*F3255,"")</f>
        <v/>
      </c>
      <c r="H3255" s="35"/>
      <c r="I3255" s="31"/>
      <c r="J3255" s="155">
        <v>0</v>
      </c>
    </row>
    <row r="3256" spans="1:10" ht="15.75" hidden="1" thickBot="1" x14ac:dyDescent="0.3">
      <c r="A3256" s="200"/>
      <c r="B3256" s="202"/>
      <c r="C3256" s="36" t="s">
        <v>1019</v>
      </c>
      <c r="D3256" s="36" t="s">
        <v>93</v>
      </c>
      <c r="E3256" s="37">
        <v>1.0149999999999999</v>
      </c>
      <c r="F3256" s="31">
        <v>0</v>
      </c>
      <c r="G3256" s="34">
        <f>IF(ISNUMBER(F3256),E3256*F3256,"")</f>
        <v>0</v>
      </c>
      <c r="H3256" s="39">
        <f>SUM(G3256:G3259)</f>
        <v>6.2182439999999986</v>
      </c>
      <c r="I3256" s="40"/>
      <c r="J3256" s="155">
        <v>0</v>
      </c>
    </row>
    <row r="3257" spans="1:10" ht="15.75" hidden="1" thickBot="1" x14ac:dyDescent="0.3">
      <c r="A3257" s="200"/>
      <c r="B3257" s="202"/>
      <c r="C3257" s="36" t="s">
        <v>590</v>
      </c>
      <c r="D3257" s="47" t="s">
        <v>292</v>
      </c>
      <c r="E3257" s="37">
        <v>8.9999999999999993E-3</v>
      </c>
      <c r="F3257" s="31">
        <v>3.5719999999999996</v>
      </c>
      <c r="G3257" s="34">
        <f>IF(ISNUMBER(F3257),E3257*F3257,"")</f>
        <v>3.2147999999999996E-2</v>
      </c>
      <c r="H3257" s="35"/>
      <c r="I3257" s="31"/>
      <c r="J3257" s="155">
        <v>0</v>
      </c>
    </row>
    <row r="3258" spans="1:10" ht="15.75" hidden="1" thickBot="1" x14ac:dyDescent="0.3">
      <c r="A3258" s="200"/>
      <c r="B3258" s="202"/>
      <c r="C3258" s="36" t="s">
        <v>74</v>
      </c>
      <c r="D3258" s="36" t="s">
        <v>12</v>
      </c>
      <c r="E3258" s="37">
        <v>0.152</v>
      </c>
      <c r="F3258" s="31">
        <v>17.802999999999997</v>
      </c>
      <c r="G3258" s="34">
        <f>IF(ISNUMBER(F3258),E3258*F3258,"")</f>
        <v>2.7060559999999994</v>
      </c>
      <c r="H3258" s="35"/>
      <c r="I3258" s="31"/>
      <c r="J3258" s="155">
        <v>0</v>
      </c>
    </row>
    <row r="3259" spans="1:10" ht="15.75" hidden="1" thickBot="1" x14ac:dyDescent="0.3">
      <c r="A3259" s="200"/>
      <c r="B3259" s="202"/>
      <c r="C3259" s="36" t="s">
        <v>30</v>
      </c>
      <c r="D3259" s="36" t="s">
        <v>12</v>
      </c>
      <c r="E3259" s="37">
        <v>0.152</v>
      </c>
      <c r="F3259" s="31">
        <v>22.895</v>
      </c>
      <c r="G3259" s="34">
        <f>IF(ISNUMBER(F3259),E3259*F3259,"")</f>
        <v>3.4800399999999998</v>
      </c>
      <c r="H3259" s="35"/>
      <c r="I3259" s="31"/>
      <c r="J3259" s="155">
        <v>0</v>
      </c>
    </row>
    <row r="3260" spans="1:10" ht="15.75" hidden="1" thickBot="1" x14ac:dyDescent="0.3">
      <c r="A3260" s="201"/>
      <c r="B3260" s="188"/>
      <c r="C3260" s="36"/>
      <c r="D3260" s="36"/>
      <c r="E3260" s="37"/>
      <c r="F3260" s="31" t="s">
        <v>558</v>
      </c>
      <c r="G3260" s="34" t="str">
        <f>IF(ISNUMBER(F3260),E3260*F3260,"")</f>
        <v/>
      </c>
      <c r="H3260" s="35"/>
      <c r="I3260" s="31"/>
      <c r="J3260" s="155">
        <v>0</v>
      </c>
    </row>
    <row r="3261" spans="1:10" ht="15.75" hidden="1" thickBot="1" x14ac:dyDescent="0.3">
      <c r="A3261" s="180" t="s">
        <v>1020</v>
      </c>
      <c r="B3261" s="186" t="str">
        <f>INDEX(Orçamentária!A:B,MATCH(Composições!A3261,Orçamentária!A:A,0),2)</f>
        <v>Condutor 150 mm²</v>
      </c>
      <c r="C3261" s="41"/>
      <c r="D3261" s="26" t="str">
        <f>TRIM(INDEX(Orçamentária!C:C,MATCH(Composições!A3261,Orçamentária!A:A,0),1))</f>
        <v>m</v>
      </c>
      <c r="E3261" s="27"/>
      <c r="F3261" s="42" t="s">
        <v>558</v>
      </c>
      <c r="G3261" s="28" t="str">
        <f>IF(ISNUMBER(F3261),E3261*F3261,"")</f>
        <v/>
      </c>
      <c r="H3261" s="29"/>
      <c r="I3261" s="30"/>
      <c r="J3261" s="155">
        <v>0</v>
      </c>
    </row>
    <row r="3262" spans="1:10" ht="15.75" hidden="1" thickBot="1" x14ac:dyDescent="0.3">
      <c r="A3262" s="200"/>
      <c r="B3262" s="202"/>
      <c r="C3262" s="32"/>
      <c r="D3262" s="32"/>
      <c r="E3262" s="33"/>
      <c r="F3262" s="43" t="s">
        <v>558</v>
      </c>
      <c r="G3262" s="34" t="str">
        <f>IF(ISNUMBER(F3262),E3262*F3262,"")</f>
        <v/>
      </c>
      <c r="H3262" s="35"/>
      <c r="I3262" s="31"/>
      <c r="J3262" s="155">
        <v>0</v>
      </c>
    </row>
    <row r="3263" spans="1:10" ht="15.75" hidden="1" thickBot="1" x14ac:dyDescent="0.3">
      <c r="A3263" s="200"/>
      <c r="B3263" s="202"/>
      <c r="C3263" s="36" t="s">
        <v>1021</v>
      </c>
      <c r="D3263" s="36" t="s">
        <v>93</v>
      </c>
      <c r="E3263" s="37">
        <v>1.0149999999999999</v>
      </c>
      <c r="F3263" s="31">
        <v>0</v>
      </c>
      <c r="G3263" s="34">
        <f>IF(ISNUMBER(F3263),E3263*F3263,"")</f>
        <v>0</v>
      </c>
      <c r="H3263" s="39">
        <f>SUM(G3263:G3266)</f>
        <v>7.3170899999999994</v>
      </c>
      <c r="I3263" s="40"/>
      <c r="J3263" s="155">
        <v>0</v>
      </c>
    </row>
    <row r="3264" spans="1:10" ht="15.75" hidden="1" thickBot="1" x14ac:dyDescent="0.3">
      <c r="A3264" s="200"/>
      <c r="B3264" s="202"/>
      <c r="C3264" s="36" t="s">
        <v>590</v>
      </c>
      <c r="D3264" s="47" t="s">
        <v>292</v>
      </c>
      <c r="E3264" s="37">
        <v>8.9999999999999993E-3</v>
      </c>
      <c r="F3264" s="31">
        <v>3.5719999999999996</v>
      </c>
      <c r="G3264" s="34">
        <f>IF(ISNUMBER(F3264),E3264*F3264,"")</f>
        <v>3.2147999999999996E-2</v>
      </c>
      <c r="H3264" s="35"/>
      <c r="I3264" s="31"/>
      <c r="J3264" s="155">
        <v>0</v>
      </c>
    </row>
    <row r="3265" spans="1:10" ht="15.75" hidden="1" thickBot="1" x14ac:dyDescent="0.3">
      <c r="A3265" s="200"/>
      <c r="B3265" s="202"/>
      <c r="C3265" s="36" t="s">
        <v>74</v>
      </c>
      <c r="D3265" s="36" t="s">
        <v>12</v>
      </c>
      <c r="E3265" s="37">
        <v>0.17899999999999999</v>
      </c>
      <c r="F3265" s="31">
        <v>17.802999999999997</v>
      </c>
      <c r="G3265" s="34">
        <f>IF(ISNUMBER(F3265),E3265*F3265,"")</f>
        <v>3.1867369999999995</v>
      </c>
      <c r="H3265" s="35"/>
      <c r="I3265" s="31"/>
      <c r="J3265" s="155">
        <v>0</v>
      </c>
    </row>
    <row r="3266" spans="1:10" ht="15.75" hidden="1" thickBot="1" x14ac:dyDescent="0.3">
      <c r="A3266" s="200"/>
      <c r="B3266" s="202"/>
      <c r="C3266" s="36" t="s">
        <v>30</v>
      </c>
      <c r="D3266" s="36" t="s">
        <v>12</v>
      </c>
      <c r="E3266" s="37">
        <v>0.17899999999999999</v>
      </c>
      <c r="F3266" s="31">
        <v>22.895</v>
      </c>
      <c r="G3266" s="34">
        <f>IF(ISNUMBER(F3266),E3266*F3266,"")</f>
        <v>4.0982050000000001</v>
      </c>
      <c r="H3266" s="35"/>
      <c r="I3266" s="31"/>
      <c r="J3266" s="155">
        <v>0</v>
      </c>
    </row>
    <row r="3267" spans="1:10" ht="15.75" hidden="1" thickBot="1" x14ac:dyDescent="0.3">
      <c r="A3267" s="201"/>
      <c r="B3267" s="188"/>
      <c r="C3267" s="36"/>
      <c r="D3267" s="36"/>
      <c r="E3267" s="37"/>
      <c r="F3267" s="31" t="s">
        <v>558</v>
      </c>
      <c r="G3267" s="34" t="str">
        <f>IF(ISNUMBER(F3267),E3267*F3267,"")</f>
        <v/>
      </c>
      <c r="H3267" s="35"/>
      <c r="I3267" s="31"/>
      <c r="J3267" s="155">
        <v>0</v>
      </c>
    </row>
    <row r="3268" spans="1:10" ht="15.75" hidden="1" thickBot="1" x14ac:dyDescent="0.3">
      <c r="A3268" s="180" t="s">
        <v>1022</v>
      </c>
      <c r="B3268" s="186" t="str">
        <f>INDEX(Orçamentária!A:B,MATCH(Composições!A3268,Orçamentária!A:A,0),2)</f>
        <v>Condutor 185 mm²</v>
      </c>
      <c r="C3268" s="41"/>
      <c r="D3268" s="26" t="str">
        <f>TRIM(INDEX(Orçamentária!C:C,MATCH(Composições!A3268,Orçamentária!A:A,0),1))</f>
        <v>m</v>
      </c>
      <c r="E3268" s="27"/>
      <c r="F3268" s="42" t="s">
        <v>558</v>
      </c>
      <c r="G3268" s="28" t="str">
        <f>IF(ISNUMBER(F3268),E3268*F3268,"")</f>
        <v/>
      </c>
      <c r="H3268" s="29"/>
      <c r="I3268" s="30"/>
      <c r="J3268" s="155">
        <v>0</v>
      </c>
    </row>
    <row r="3269" spans="1:10" ht="15.75" hidden="1" thickBot="1" x14ac:dyDescent="0.3">
      <c r="A3269" s="200"/>
      <c r="B3269" s="202"/>
      <c r="C3269" s="32"/>
      <c r="D3269" s="32"/>
      <c r="E3269" s="33"/>
      <c r="F3269" s="43" t="s">
        <v>558</v>
      </c>
      <c r="G3269" s="34" t="str">
        <f>IF(ISNUMBER(F3269),E3269*F3269,"")</f>
        <v/>
      </c>
      <c r="H3269" s="35"/>
      <c r="I3269" s="31"/>
      <c r="J3269" s="155">
        <v>0</v>
      </c>
    </row>
    <row r="3270" spans="1:10" ht="15.75" hidden="1" thickBot="1" x14ac:dyDescent="0.3">
      <c r="A3270" s="200"/>
      <c r="B3270" s="202"/>
      <c r="C3270" s="36" t="s">
        <v>1023</v>
      </c>
      <c r="D3270" s="36" t="s">
        <v>93</v>
      </c>
      <c r="E3270" s="37">
        <v>1.0149999999999999</v>
      </c>
      <c r="F3270" s="31">
        <v>0</v>
      </c>
      <c r="G3270" s="34">
        <f>IF(ISNUMBER(F3270),E3270*F3270,"")</f>
        <v>0</v>
      </c>
      <c r="H3270" s="39">
        <f>SUM(G3270:G3273)</f>
        <v>8.6601239999999997</v>
      </c>
      <c r="I3270" s="40"/>
      <c r="J3270" s="155">
        <v>0</v>
      </c>
    </row>
    <row r="3271" spans="1:10" ht="15.75" hidden="1" thickBot="1" x14ac:dyDescent="0.3">
      <c r="A3271" s="200"/>
      <c r="B3271" s="202"/>
      <c r="C3271" s="36" t="s">
        <v>590</v>
      </c>
      <c r="D3271" s="47" t="s">
        <v>292</v>
      </c>
      <c r="E3271" s="37">
        <v>8.9999999999999993E-3</v>
      </c>
      <c r="F3271" s="31">
        <v>3.5719999999999996</v>
      </c>
      <c r="G3271" s="34">
        <f>IF(ISNUMBER(F3271),E3271*F3271,"")</f>
        <v>3.2147999999999996E-2</v>
      </c>
      <c r="H3271" s="35"/>
      <c r="I3271" s="31"/>
      <c r="J3271" s="155">
        <v>0</v>
      </c>
    </row>
    <row r="3272" spans="1:10" ht="15.75" hidden="1" thickBot="1" x14ac:dyDescent="0.3">
      <c r="A3272" s="200"/>
      <c r="B3272" s="202"/>
      <c r="C3272" s="36" t="s">
        <v>74</v>
      </c>
      <c r="D3272" s="36" t="s">
        <v>12</v>
      </c>
      <c r="E3272" s="37">
        <v>0.21199999999999999</v>
      </c>
      <c r="F3272" s="31">
        <v>17.802999999999997</v>
      </c>
      <c r="G3272" s="34">
        <f>IF(ISNUMBER(F3272),E3272*F3272,"")</f>
        <v>3.7742359999999993</v>
      </c>
      <c r="H3272" s="35"/>
      <c r="I3272" s="31"/>
      <c r="J3272" s="155">
        <v>0</v>
      </c>
    </row>
    <row r="3273" spans="1:10" ht="15.75" hidden="1" thickBot="1" x14ac:dyDescent="0.3">
      <c r="A3273" s="200"/>
      <c r="B3273" s="202"/>
      <c r="C3273" s="36" t="s">
        <v>30</v>
      </c>
      <c r="D3273" s="36" t="s">
        <v>12</v>
      </c>
      <c r="E3273" s="37">
        <v>0.21199999999999999</v>
      </c>
      <c r="F3273" s="31">
        <v>22.895</v>
      </c>
      <c r="G3273" s="34">
        <f>IF(ISNUMBER(F3273),E3273*F3273,"")</f>
        <v>4.8537400000000002</v>
      </c>
      <c r="H3273" s="35"/>
      <c r="I3273" s="31"/>
      <c r="J3273" s="155">
        <v>0</v>
      </c>
    </row>
    <row r="3274" spans="1:10" ht="15.75" hidden="1" thickBot="1" x14ac:dyDescent="0.3">
      <c r="A3274" s="201"/>
      <c r="B3274" s="188"/>
      <c r="C3274" s="36"/>
      <c r="D3274" s="36"/>
      <c r="E3274" s="37"/>
      <c r="F3274" s="31" t="s">
        <v>558</v>
      </c>
      <c r="G3274" s="34" t="str">
        <f>IF(ISNUMBER(F3274),E3274*F3274,"")</f>
        <v/>
      </c>
      <c r="H3274" s="35"/>
      <c r="I3274" s="31"/>
      <c r="J3274" s="155">
        <v>0</v>
      </c>
    </row>
    <row r="3275" spans="1:10" ht="15.75" hidden="1" thickBot="1" x14ac:dyDescent="0.3">
      <c r="A3275" s="180" t="s">
        <v>1024</v>
      </c>
      <c r="B3275" s="186" t="str">
        <f>INDEX(Orçamentária!A:B,MATCH(Composições!A3275,Orçamentária!A:A,0),2)</f>
        <v>Condutor 240 mm²</v>
      </c>
      <c r="C3275" s="41"/>
      <c r="D3275" s="26" t="str">
        <f>TRIM(INDEX(Orçamentária!C:C,MATCH(Composições!A3275,Orçamentária!A:A,0),1))</f>
        <v>m</v>
      </c>
      <c r="E3275" s="27"/>
      <c r="F3275" s="42" t="s">
        <v>558</v>
      </c>
      <c r="G3275" s="28" t="str">
        <f>IF(ISNUMBER(F3275),E3275*F3275,"")</f>
        <v/>
      </c>
      <c r="H3275" s="29"/>
      <c r="I3275" s="30"/>
      <c r="J3275" s="155">
        <v>0</v>
      </c>
    </row>
    <row r="3276" spans="1:10" ht="15.75" hidden="1" thickBot="1" x14ac:dyDescent="0.3">
      <c r="A3276" s="200"/>
      <c r="B3276" s="202"/>
      <c r="C3276" s="32"/>
      <c r="D3276" s="32"/>
      <c r="E3276" s="33"/>
      <c r="F3276" s="43" t="s">
        <v>558</v>
      </c>
      <c r="G3276" s="34" t="str">
        <f>IF(ISNUMBER(F3276),E3276*F3276,"")</f>
        <v/>
      </c>
      <c r="H3276" s="35"/>
      <c r="I3276" s="31"/>
      <c r="J3276" s="155">
        <v>0</v>
      </c>
    </row>
    <row r="3277" spans="1:10" ht="15.75" hidden="1" thickBot="1" x14ac:dyDescent="0.3">
      <c r="A3277" s="200"/>
      <c r="B3277" s="202"/>
      <c r="C3277" s="36" t="s">
        <v>1025</v>
      </c>
      <c r="D3277" s="36" t="s">
        <v>93</v>
      </c>
      <c r="E3277" s="37">
        <v>1.0149999999999999</v>
      </c>
      <c r="F3277" s="31">
        <v>0</v>
      </c>
      <c r="G3277" s="34">
        <f>IF(ISNUMBER(F3277),E3277*F3277,"")</f>
        <v>0</v>
      </c>
      <c r="H3277" s="39">
        <f>SUM(G3277:G3280)</f>
        <v>2.6368199999999997</v>
      </c>
      <c r="I3277" s="40"/>
      <c r="J3277" s="155">
        <v>0</v>
      </c>
    </row>
    <row r="3278" spans="1:10" ht="15.75" hidden="1" thickBot="1" x14ac:dyDescent="0.3">
      <c r="A3278" s="200"/>
      <c r="B3278" s="202"/>
      <c r="C3278" s="36" t="s">
        <v>590</v>
      </c>
      <c r="D3278" s="47" t="s">
        <v>292</v>
      </c>
      <c r="E3278" s="37">
        <v>8.9999999999999993E-3</v>
      </c>
      <c r="F3278" s="31">
        <v>3.5719999999999996</v>
      </c>
      <c r="G3278" s="34">
        <f>IF(ISNUMBER(F3278),E3278*F3278,"")</f>
        <v>3.2147999999999996E-2</v>
      </c>
      <c r="H3278" s="35"/>
      <c r="I3278" s="31"/>
      <c r="J3278" s="155">
        <v>0</v>
      </c>
    </row>
    <row r="3279" spans="1:10" ht="15.75" hidden="1" thickBot="1" x14ac:dyDescent="0.3">
      <c r="A3279" s="200"/>
      <c r="B3279" s="202"/>
      <c r="C3279" s="36" t="s">
        <v>74</v>
      </c>
      <c r="D3279" s="36" t="s">
        <v>12</v>
      </c>
      <c r="E3279" s="37">
        <v>6.4000000000000001E-2</v>
      </c>
      <c r="F3279" s="31">
        <v>17.802999999999997</v>
      </c>
      <c r="G3279" s="34">
        <f>IF(ISNUMBER(F3279),E3279*F3279,"")</f>
        <v>1.1393919999999997</v>
      </c>
      <c r="H3279" s="35"/>
      <c r="I3279" s="31"/>
      <c r="J3279" s="155">
        <v>0</v>
      </c>
    </row>
    <row r="3280" spans="1:10" ht="15.75" hidden="1" thickBot="1" x14ac:dyDescent="0.3">
      <c r="A3280" s="200"/>
      <c r="B3280" s="202"/>
      <c r="C3280" s="36" t="s">
        <v>30</v>
      </c>
      <c r="D3280" s="36" t="s">
        <v>12</v>
      </c>
      <c r="E3280" s="37">
        <v>6.4000000000000001E-2</v>
      </c>
      <c r="F3280" s="31">
        <v>22.895</v>
      </c>
      <c r="G3280" s="34">
        <f>IF(ISNUMBER(F3280),E3280*F3280,"")</f>
        <v>1.4652799999999999</v>
      </c>
      <c r="H3280" s="35"/>
      <c r="I3280" s="31"/>
      <c r="J3280" s="155">
        <v>0</v>
      </c>
    </row>
    <row r="3281" spans="1:10" ht="15.75" hidden="1" thickBot="1" x14ac:dyDescent="0.3">
      <c r="A3281" s="201"/>
      <c r="B3281" s="188"/>
      <c r="C3281" s="36"/>
      <c r="D3281" s="36"/>
      <c r="E3281" s="37"/>
      <c r="F3281" s="31" t="s">
        <v>558</v>
      </c>
      <c r="G3281" s="34" t="str">
        <f>IF(ISNUMBER(F3281),E3281*F3281,"")</f>
        <v/>
      </c>
      <c r="H3281" s="35"/>
      <c r="I3281" s="31"/>
      <c r="J3281" s="155">
        <v>0</v>
      </c>
    </row>
    <row r="3282" spans="1:10" ht="15.75" hidden="1" thickBot="1" x14ac:dyDescent="0.3">
      <c r="A3282" s="180" t="s">
        <v>1026</v>
      </c>
      <c r="B3282" s="186" t="str">
        <f>INDEX(Orçamentária!A:B,MATCH(Composições!A3282,Orçamentária!A:A,0),2)</f>
        <v>Montagem e desmontagem de andaime fachadeiro</v>
      </c>
      <c r="C3282" s="41"/>
      <c r="D3282" s="26" t="str">
        <f>TRIM(INDEX(Orçamentária!C:C,MATCH(Composições!A3282,Orçamentária!A:A,0),1))</f>
        <v>m2</v>
      </c>
      <c r="E3282" s="27"/>
      <c r="F3282" s="42" t="s">
        <v>558</v>
      </c>
      <c r="G3282" s="28" t="str">
        <f>IF(ISNUMBER(F3282),E3282*F3282,"")</f>
        <v/>
      </c>
      <c r="H3282" s="29"/>
      <c r="I3282" s="30"/>
      <c r="J3282" s="155">
        <v>0</v>
      </c>
    </row>
    <row r="3283" spans="1:10" ht="15.75" hidden="1" thickBot="1" x14ac:dyDescent="0.3">
      <c r="A3283" s="200"/>
      <c r="B3283" s="202"/>
      <c r="C3283" s="32"/>
      <c r="D3283" s="32"/>
      <c r="E3283" s="33"/>
      <c r="F3283" s="43" t="s">
        <v>558</v>
      </c>
      <c r="G3283" s="34" t="str">
        <f>IF(ISNUMBER(F3283),E3283*F3283,"")</f>
        <v/>
      </c>
      <c r="H3283" s="35"/>
      <c r="I3283" s="31"/>
      <c r="J3283" s="155">
        <v>0</v>
      </c>
    </row>
    <row r="3284" spans="1:10" ht="26.25" hidden="1" thickBot="1" x14ac:dyDescent="0.3">
      <c r="A3284" s="200"/>
      <c r="B3284" s="202"/>
      <c r="C3284" s="36" t="s">
        <v>1027</v>
      </c>
      <c r="D3284" s="47" t="s">
        <v>742</v>
      </c>
      <c r="E3284" s="37">
        <v>0.29509999999999997</v>
      </c>
      <c r="F3284" s="31">
        <v>17.299499999999998</v>
      </c>
      <c r="G3284" s="34">
        <f>IF(ISNUMBER(F3284),E3284*F3284,"")</f>
        <v>5.1050824499999994</v>
      </c>
      <c r="H3284" s="39">
        <f>SUM(G3284:G3286)</f>
        <v>7.804456535129999</v>
      </c>
      <c r="I3284" s="40"/>
      <c r="J3284" s="155">
        <v>0</v>
      </c>
    </row>
    <row r="3285" spans="1:10" ht="15.75" hidden="1" thickBot="1" x14ac:dyDescent="0.3">
      <c r="A3285" s="200"/>
      <c r="B3285" s="202"/>
      <c r="C3285" s="36" t="s">
        <v>743</v>
      </c>
      <c r="D3285" s="47" t="s">
        <v>742</v>
      </c>
      <c r="E3285" s="37">
        <v>5.8999999999999997E-2</v>
      </c>
      <c r="F3285" s="31">
        <v>16.729499999999998</v>
      </c>
      <c r="G3285" s="34">
        <f>IF(ISNUMBER(F3285),E3285*F3285,"")</f>
        <v>0.98704049999999988</v>
      </c>
      <c r="H3285" s="35"/>
      <c r="I3285" s="31"/>
      <c r="J3285" s="155">
        <v>0</v>
      </c>
    </row>
    <row r="3286" spans="1:10" ht="51.75" hidden="1" thickBot="1" x14ac:dyDescent="0.3">
      <c r="A3286" s="200"/>
      <c r="B3286" s="202"/>
      <c r="C3286" s="36" t="s">
        <v>1028</v>
      </c>
      <c r="D3286" s="47" t="s">
        <v>1029</v>
      </c>
      <c r="E3286" s="37">
        <v>0.1673</v>
      </c>
      <c r="F3286" s="31">
        <v>10.2351081</v>
      </c>
      <c r="G3286" s="34">
        <f>IF(ISNUMBER(F3286),E3286*F3286,"")</f>
        <v>1.7123335851299999</v>
      </c>
      <c r="H3286" s="35"/>
      <c r="I3286" s="31"/>
      <c r="J3286" s="155">
        <v>0</v>
      </c>
    </row>
    <row r="3287" spans="1:10" ht="15.75" hidden="1" thickBot="1" x14ac:dyDescent="0.3">
      <c r="A3287" s="201"/>
      <c r="B3287" s="188"/>
      <c r="C3287" s="36"/>
      <c r="D3287" s="36"/>
      <c r="E3287" s="37"/>
      <c r="F3287" s="31" t="s">
        <v>558</v>
      </c>
      <c r="G3287" s="34" t="str">
        <f>IF(ISNUMBER(F3287),E3287*F3287,"")</f>
        <v/>
      </c>
      <c r="H3287" s="35"/>
      <c r="I3287" s="31"/>
      <c r="J3287" s="155">
        <v>0</v>
      </c>
    </row>
    <row r="3288" spans="1:10" ht="15.75" hidden="1" thickBot="1" x14ac:dyDescent="0.3">
      <c r="A3288" s="180" t="s">
        <v>1030</v>
      </c>
      <c r="B3288" s="186" t="str">
        <f>INDEX(Orçamentária!A:B,MATCH(Composições!A3288,Orçamentária!A:A,0),2)</f>
        <v>Montagem e desmontagem de andaime tubular</v>
      </c>
      <c r="C3288" s="41"/>
      <c r="D3288" s="26" t="str">
        <f>TRIM(INDEX(Orçamentária!C:C,MATCH(Composições!A3288,Orçamentária!A:A,0),1))</f>
        <v>m</v>
      </c>
      <c r="E3288" s="27"/>
      <c r="F3288" s="42" t="s">
        <v>558</v>
      </c>
      <c r="G3288" s="28" t="str">
        <f>IF(ISNUMBER(F3288),E3288*F3288,"")</f>
        <v/>
      </c>
      <c r="H3288" s="29"/>
      <c r="I3288" s="30"/>
      <c r="J3288" s="155">
        <v>0</v>
      </c>
    </row>
    <row r="3289" spans="1:10" ht="15.75" hidden="1" thickBot="1" x14ac:dyDescent="0.3">
      <c r="A3289" s="200"/>
      <c r="B3289" s="202"/>
      <c r="C3289" s="32"/>
      <c r="D3289" s="32"/>
      <c r="E3289" s="33"/>
      <c r="F3289" s="43" t="s">
        <v>558</v>
      </c>
      <c r="G3289" s="34" t="str">
        <f>IF(ISNUMBER(F3289),E3289*F3289,"")</f>
        <v/>
      </c>
      <c r="H3289" s="35"/>
      <c r="I3289" s="31"/>
      <c r="J3289" s="155">
        <v>0</v>
      </c>
    </row>
    <row r="3290" spans="1:10" ht="26.25" hidden="1" thickBot="1" x14ac:dyDescent="0.3">
      <c r="A3290" s="200"/>
      <c r="B3290" s="202"/>
      <c r="C3290" s="36" t="s">
        <v>1027</v>
      </c>
      <c r="D3290" s="47" t="s">
        <v>742</v>
      </c>
      <c r="E3290" s="37">
        <v>0.5</v>
      </c>
      <c r="F3290" s="31">
        <v>17.299499999999998</v>
      </c>
      <c r="G3290" s="34">
        <f>IF(ISNUMBER(F3290),E3290*F3290,"")</f>
        <v>8.6497499999999992</v>
      </c>
      <c r="H3290" s="39">
        <f>SUM(G3290:G3292)</f>
        <v>14.437213456199999</v>
      </c>
      <c r="I3290" s="40"/>
      <c r="J3290" s="155">
        <v>0</v>
      </c>
    </row>
    <row r="3291" spans="1:10" ht="15.75" hidden="1" thickBot="1" x14ac:dyDescent="0.3">
      <c r="A3291" s="200"/>
      <c r="B3291" s="202"/>
      <c r="C3291" s="36" t="s">
        <v>743</v>
      </c>
      <c r="D3291" s="47" t="s">
        <v>742</v>
      </c>
      <c r="E3291" s="37">
        <v>0.1</v>
      </c>
      <c r="F3291" s="31">
        <v>16.729499999999998</v>
      </c>
      <c r="G3291" s="34">
        <f>IF(ISNUMBER(F3291),E3291*F3291,"")</f>
        <v>1.6729499999999999</v>
      </c>
      <c r="H3291" s="39"/>
      <c r="I3291" s="40"/>
      <c r="J3291" s="155">
        <v>0</v>
      </c>
    </row>
    <row r="3292" spans="1:10" ht="51.75" hidden="1" thickBot="1" x14ac:dyDescent="0.3">
      <c r="A3292" s="200"/>
      <c r="B3292" s="202"/>
      <c r="C3292" s="36" t="s">
        <v>1028</v>
      </c>
      <c r="D3292" s="47" t="s">
        <v>1029</v>
      </c>
      <c r="E3292" s="37">
        <v>0.40200000000000002</v>
      </c>
      <c r="F3292" s="31">
        <v>10.2351081</v>
      </c>
      <c r="G3292" s="34">
        <f>IF(ISNUMBER(F3292),E3292*F3292,"")</f>
        <v>4.1145134562000001</v>
      </c>
      <c r="H3292" s="35"/>
      <c r="I3292" s="31"/>
      <c r="J3292" s="155">
        <v>0</v>
      </c>
    </row>
    <row r="3293" spans="1:10" ht="15.75" hidden="1" thickBot="1" x14ac:dyDescent="0.3">
      <c r="A3293" s="201"/>
      <c r="B3293" s="188"/>
      <c r="C3293" s="36"/>
      <c r="D3293" s="36"/>
      <c r="E3293" s="37"/>
      <c r="F3293" s="31" t="s">
        <v>558</v>
      </c>
      <c r="G3293" s="34" t="str">
        <f>IF(ISNUMBER(F3293),E3293*F3293,"")</f>
        <v/>
      </c>
      <c r="H3293" s="35"/>
      <c r="I3293" s="31"/>
      <c r="J3293" s="155">
        <v>0</v>
      </c>
    </row>
    <row r="3294" spans="1:10" ht="15.75" hidden="1" thickBot="1" x14ac:dyDescent="0.3">
      <c r="A3294" s="180" t="s">
        <v>1031</v>
      </c>
      <c r="B3294" s="186" t="str">
        <f>INDEX(Orçamentária!A:B,MATCH(Composições!A3294,Orçamentária!A:A,0),2)</f>
        <v>Tela de proteção para andaime</v>
      </c>
      <c r="C3294" s="41"/>
      <c r="D3294" s="26" t="str">
        <f>TRIM(INDEX(Orçamentária!C:C,MATCH(Composições!A3294,Orçamentária!A:A,0),1))</f>
        <v>m2 x mês</v>
      </c>
      <c r="E3294" s="27"/>
      <c r="F3294" s="42" t="s">
        <v>558</v>
      </c>
      <c r="G3294" s="28" t="str">
        <f>IF(ISNUMBER(F3294),E3294*F3294,"")</f>
        <v/>
      </c>
      <c r="H3294" s="29"/>
      <c r="I3294" s="30"/>
      <c r="J3294" s="155">
        <v>0</v>
      </c>
    </row>
    <row r="3295" spans="1:10" ht="15.75" hidden="1" thickBot="1" x14ac:dyDescent="0.3">
      <c r="A3295" s="200"/>
      <c r="B3295" s="202"/>
      <c r="C3295" s="32"/>
      <c r="D3295" s="32"/>
      <c r="E3295" s="33"/>
      <c r="F3295" s="43" t="s">
        <v>558</v>
      </c>
      <c r="G3295" s="34" t="str">
        <f>IF(ISNUMBER(F3295),E3295*F3295,"")</f>
        <v/>
      </c>
      <c r="H3295" s="35"/>
      <c r="I3295" s="31"/>
      <c r="J3295" s="155">
        <v>0</v>
      </c>
    </row>
    <row r="3296" spans="1:10" ht="26.25" hidden="1" thickBot="1" x14ac:dyDescent="0.3">
      <c r="A3296" s="200"/>
      <c r="B3296" s="202"/>
      <c r="C3296" s="36" t="s">
        <v>1032</v>
      </c>
      <c r="D3296" s="47" t="s">
        <v>292</v>
      </c>
      <c r="E3296" s="37">
        <v>0.89449999999999996</v>
      </c>
      <c r="F3296" s="31">
        <v>0.13300000000000001</v>
      </c>
      <c r="G3296" s="34">
        <f>IF(ISNUMBER(F3296),E3296*F3296,"")</f>
        <v>0.1189685</v>
      </c>
      <c r="H3296" s="39">
        <f>SUM(G3296:G3299)</f>
        <v>3.8708035000000001</v>
      </c>
      <c r="I3296" s="40"/>
      <c r="J3296" s="155">
        <v>0</v>
      </c>
    </row>
    <row r="3297" spans="1:10" ht="26.25" hidden="1" thickBot="1" x14ac:dyDescent="0.3">
      <c r="A3297" s="200"/>
      <c r="B3297" s="202"/>
      <c r="C3297" s="36" t="s">
        <v>1033</v>
      </c>
      <c r="D3297" s="47" t="s">
        <v>1034</v>
      </c>
      <c r="E3297" s="37">
        <f>ROUND(1.177*(1/3),4)</f>
        <v>0.39229999999999998</v>
      </c>
      <c r="F3297" s="31">
        <v>1.976</v>
      </c>
      <c r="G3297" s="34">
        <f>IF(ISNUMBER(F3297),E3297*F3297,"")</f>
        <v>0.77518480000000001</v>
      </c>
      <c r="H3297" s="35"/>
      <c r="I3297" s="31"/>
      <c r="J3297" s="155">
        <v>0</v>
      </c>
    </row>
    <row r="3298" spans="1:10" ht="15.75" hidden="1" thickBot="1" x14ac:dyDescent="0.3">
      <c r="A3298" s="200"/>
      <c r="B3298" s="202"/>
      <c r="C3298" s="36" t="s">
        <v>825</v>
      </c>
      <c r="D3298" s="47" t="s">
        <v>742</v>
      </c>
      <c r="E3298" s="37">
        <v>6.9900000000000004E-2</v>
      </c>
      <c r="F3298" s="31">
        <v>18.962</v>
      </c>
      <c r="G3298" s="34">
        <f>IF(ISNUMBER(F3298),E3298*F3298,"")</f>
        <v>1.3254437999999999</v>
      </c>
      <c r="H3298" s="35"/>
      <c r="I3298" s="31"/>
      <c r="J3298" s="155">
        <v>0</v>
      </c>
    </row>
    <row r="3299" spans="1:10" ht="15.75" hidden="1" thickBot="1" x14ac:dyDescent="0.3">
      <c r="A3299" s="200"/>
      <c r="B3299" s="202"/>
      <c r="C3299" s="36" t="s">
        <v>1035</v>
      </c>
      <c r="D3299" s="47" t="s">
        <v>742</v>
      </c>
      <c r="E3299" s="37">
        <v>7.3400000000000007E-2</v>
      </c>
      <c r="F3299" s="31">
        <v>22.495999999999999</v>
      </c>
      <c r="G3299" s="34">
        <f>IF(ISNUMBER(F3299),E3299*F3299,"")</f>
        <v>1.6512064</v>
      </c>
      <c r="H3299" s="35"/>
      <c r="I3299" s="31"/>
      <c r="J3299" s="155">
        <v>0</v>
      </c>
    </row>
    <row r="3300" spans="1:10" ht="15.75" hidden="1" thickBot="1" x14ac:dyDescent="0.3">
      <c r="A3300" s="200"/>
      <c r="B3300" s="202"/>
      <c r="C3300" s="36"/>
      <c r="D3300" s="47"/>
      <c r="E3300" s="37"/>
      <c r="F3300" s="31" t="s">
        <v>558</v>
      </c>
      <c r="G3300" s="34" t="str">
        <f>IF(ISNUMBER(F3300),E3300*F3300,"")</f>
        <v/>
      </c>
      <c r="H3300" s="35"/>
      <c r="I3300" s="31"/>
      <c r="J3300" s="155">
        <v>0</v>
      </c>
    </row>
    <row r="3301" spans="1:10" ht="26.25" hidden="1" thickBot="1" x14ac:dyDescent="0.3">
      <c r="A3301" s="200"/>
      <c r="B3301" s="202"/>
      <c r="C3301" s="52" t="s">
        <v>1036</v>
      </c>
      <c r="D3301" s="47"/>
      <c r="E3301" s="37"/>
      <c r="F3301" s="31" t="s">
        <v>558</v>
      </c>
      <c r="G3301" s="34" t="str">
        <f>IF(ISNUMBER(F3301),E3301*F3301,"")</f>
        <v/>
      </c>
      <c r="H3301" s="35"/>
      <c r="I3301" s="31"/>
      <c r="J3301" s="155">
        <v>0</v>
      </c>
    </row>
    <row r="3302" spans="1:10" ht="15.75" hidden="1" thickBot="1" x14ac:dyDescent="0.3">
      <c r="A3302" s="201"/>
      <c r="B3302" s="188"/>
      <c r="C3302" s="55"/>
      <c r="D3302" s="55"/>
      <c r="E3302" s="66"/>
      <c r="F3302" s="67" t="s">
        <v>558</v>
      </c>
      <c r="G3302" s="68" t="str">
        <f>IF(ISNUMBER(F3302),E3302*F3302,"")</f>
        <v/>
      </c>
      <c r="H3302" s="69"/>
      <c r="I3302" s="31"/>
      <c r="J3302" s="155">
        <v>0</v>
      </c>
    </row>
    <row r="3303" spans="1:10" ht="15.75" hidden="1" thickBot="1" x14ac:dyDescent="0.3">
      <c r="A3303" s="180" t="s">
        <v>1037</v>
      </c>
      <c r="B3303" s="186" t="str">
        <f>INDEX(Orçamentária!A:B,MATCH(Composições!A3303,Orçamentária!A:A,0),2)</f>
        <v>Remoção de folha de porta de enrolar</v>
      </c>
      <c r="C3303" s="41"/>
      <c r="D3303" s="26" t="str">
        <f>TRIM(INDEX(Orçamentária!C:C,MATCH(Composições!A3303,Orçamentária!A:A,0),1))</f>
        <v>un</v>
      </c>
      <c r="E3303" s="27"/>
      <c r="F3303" s="42" t="s">
        <v>558</v>
      </c>
      <c r="G3303" s="28" t="str">
        <f>IF(ISNUMBER(F3303),E3303*F3303,"")</f>
        <v/>
      </c>
      <c r="H3303" s="29"/>
      <c r="I3303" s="30"/>
      <c r="J3303" s="155">
        <v>0</v>
      </c>
    </row>
    <row r="3304" spans="1:10" ht="15.75" hidden="1" thickBot="1" x14ac:dyDescent="0.3">
      <c r="A3304" s="200"/>
      <c r="B3304" s="202"/>
      <c r="C3304" s="32"/>
      <c r="D3304" s="32"/>
      <c r="E3304" s="33"/>
      <c r="F3304" s="43" t="s">
        <v>558</v>
      </c>
      <c r="G3304" s="34" t="str">
        <f>IF(ISNUMBER(F3304),E3304*F3304,"")</f>
        <v/>
      </c>
      <c r="H3304" s="35"/>
      <c r="I3304" s="31"/>
      <c r="J3304" s="155">
        <v>0</v>
      </c>
    </row>
    <row r="3305" spans="1:10" ht="15.75" hidden="1" thickBot="1" x14ac:dyDescent="0.3">
      <c r="A3305" s="200"/>
      <c r="B3305" s="202"/>
      <c r="C3305" s="36" t="s">
        <v>653</v>
      </c>
      <c r="D3305" s="36" t="s">
        <v>12</v>
      </c>
      <c r="E3305" s="37">
        <v>2.5</v>
      </c>
      <c r="F3305" s="31">
        <v>22.591000000000001</v>
      </c>
      <c r="G3305" s="34">
        <f>IF(ISNUMBER(F3305),E3305*F3305,"")</f>
        <v>56.477500000000006</v>
      </c>
      <c r="H3305" s="39">
        <f>SUM(G3305:G3306)</f>
        <v>148.19999999999999</v>
      </c>
      <c r="I3305" s="40"/>
      <c r="J3305" s="155">
        <v>0</v>
      </c>
    </row>
    <row r="3306" spans="1:10" ht="15.75" hidden="1" thickBot="1" x14ac:dyDescent="0.3">
      <c r="A3306" s="200"/>
      <c r="B3306" s="202"/>
      <c r="C3306" s="36" t="s">
        <v>654</v>
      </c>
      <c r="D3306" s="36" t="s">
        <v>12</v>
      </c>
      <c r="E3306" s="37">
        <v>5</v>
      </c>
      <c r="F3306" s="31">
        <v>18.344499999999996</v>
      </c>
      <c r="G3306" s="34">
        <f>IF(ISNUMBER(F3306),E3306*F3306,"")</f>
        <v>91.722499999999982</v>
      </c>
      <c r="H3306" s="35"/>
      <c r="I3306" s="31"/>
      <c r="J3306" s="155">
        <v>0</v>
      </c>
    </row>
    <row r="3307" spans="1:10" ht="15.75" hidden="1" thickBot="1" x14ac:dyDescent="0.3">
      <c r="A3307" s="201"/>
      <c r="B3307" s="188"/>
      <c r="C3307" s="36"/>
      <c r="D3307" s="36"/>
      <c r="E3307" s="37"/>
      <c r="F3307" s="31" t="s">
        <v>558</v>
      </c>
      <c r="G3307" s="34" t="str">
        <f>IF(ISNUMBER(F3307),E3307*F3307,"")</f>
        <v/>
      </c>
      <c r="H3307" s="35"/>
      <c r="I3307" s="31"/>
      <c r="J3307" s="155">
        <v>0</v>
      </c>
    </row>
    <row r="3308" spans="1:10" ht="15.75" hidden="1" thickBot="1" x14ac:dyDescent="0.3">
      <c r="A3308" s="180" t="s">
        <v>1038</v>
      </c>
      <c r="B3308" s="186" t="str">
        <f>INDEX(Orçamentária!A:B,MATCH(Composições!A3308,Orçamentária!A:A,0),2)</f>
        <v>Base registro de gaveta 1"</v>
      </c>
      <c r="C3308" s="41"/>
      <c r="D3308" s="26" t="str">
        <f>TRIM(INDEX(Orçamentária!C:C,MATCH(Composições!A3308,Orçamentária!A:A,0),1))</f>
        <v>un</v>
      </c>
      <c r="E3308" s="27"/>
      <c r="F3308" s="42" t="s">
        <v>558</v>
      </c>
      <c r="G3308" s="28" t="str">
        <f>IF(ISNUMBER(F3308),E3308*F3308,"")</f>
        <v/>
      </c>
      <c r="H3308" s="29"/>
      <c r="I3308" s="30"/>
      <c r="J3308" s="155">
        <v>0</v>
      </c>
    </row>
    <row r="3309" spans="1:10" ht="15.75" hidden="1" thickBot="1" x14ac:dyDescent="0.3">
      <c r="A3309" s="200"/>
      <c r="B3309" s="202"/>
      <c r="C3309" s="32"/>
      <c r="D3309" s="32"/>
      <c r="E3309" s="33"/>
      <c r="F3309" s="43" t="s">
        <v>558</v>
      </c>
      <c r="G3309" s="34" t="str">
        <f>IF(ISNUMBER(F3309),E3309*F3309,"")</f>
        <v/>
      </c>
      <c r="H3309" s="35"/>
      <c r="I3309" s="31"/>
      <c r="J3309" s="155">
        <v>0</v>
      </c>
    </row>
    <row r="3310" spans="1:10" ht="26.25" hidden="1" thickBot="1" x14ac:dyDescent="0.3">
      <c r="A3310" s="200"/>
      <c r="B3310" s="202"/>
      <c r="C3310" s="36" t="s">
        <v>1039</v>
      </c>
      <c r="D3310" s="47" t="s">
        <v>147</v>
      </c>
      <c r="E3310" s="37">
        <v>1</v>
      </c>
      <c r="F3310" s="31" t="s">
        <v>558</v>
      </c>
      <c r="G3310" s="34" t="str">
        <f>IF(ISNUMBER(F3310),E3310*F3310,"")</f>
        <v/>
      </c>
      <c r="H3310" s="39">
        <f>SUM(G3310:G3313)</f>
        <v>30.759418249999996</v>
      </c>
      <c r="I3310" s="40"/>
      <c r="J3310" s="155">
        <v>0</v>
      </c>
    </row>
    <row r="3311" spans="1:10" ht="15.75" hidden="1" thickBot="1" x14ac:dyDescent="0.3">
      <c r="A3311" s="200"/>
      <c r="B3311" s="202"/>
      <c r="C3311" s="36" t="s">
        <v>336</v>
      </c>
      <c r="D3311" s="47" t="s">
        <v>292</v>
      </c>
      <c r="E3311" s="37">
        <v>9.4999999999999998E-3</v>
      </c>
      <c r="F3311" s="31">
        <v>12.8155</v>
      </c>
      <c r="G3311" s="34">
        <f>IF(ISNUMBER(F3311),E3311*F3311,"")</f>
        <v>0.12174725</v>
      </c>
      <c r="H3311" s="35"/>
      <c r="I3311" s="31"/>
      <c r="J3311" s="155">
        <v>0</v>
      </c>
    </row>
    <row r="3312" spans="1:10" ht="15.75" hidden="1" thickBot="1" x14ac:dyDescent="0.3">
      <c r="A3312" s="200"/>
      <c r="B3312" s="202"/>
      <c r="C3312" s="36" t="s">
        <v>39</v>
      </c>
      <c r="D3312" s="47" t="s">
        <v>12</v>
      </c>
      <c r="E3312" s="37">
        <v>0.77449999999999997</v>
      </c>
      <c r="F3312" s="31">
        <v>22.2395</v>
      </c>
      <c r="G3312" s="34">
        <f>IF(ISNUMBER(F3312),E3312*F3312,"")</f>
        <v>17.22449275</v>
      </c>
      <c r="H3312" s="35"/>
      <c r="I3312" s="31"/>
      <c r="J3312" s="155">
        <v>0</v>
      </c>
    </row>
    <row r="3313" spans="1:10" ht="26.25" hidden="1" thickBot="1" x14ac:dyDescent="0.3">
      <c r="A3313" s="200"/>
      <c r="B3313" s="202"/>
      <c r="C3313" s="36" t="s">
        <v>108</v>
      </c>
      <c r="D3313" s="36" t="s">
        <v>12</v>
      </c>
      <c r="E3313" s="37">
        <v>0.77449999999999997</v>
      </c>
      <c r="F3313" s="31">
        <v>17.3185</v>
      </c>
      <c r="G3313" s="34">
        <f>IF(ISNUMBER(F3313),E3313*F3313,"")</f>
        <v>13.41317825</v>
      </c>
      <c r="H3313" s="35"/>
      <c r="I3313" s="31"/>
      <c r="J3313" s="155">
        <v>0</v>
      </c>
    </row>
    <row r="3314" spans="1:10" ht="15.75" hidden="1" thickBot="1" x14ac:dyDescent="0.3">
      <c r="A3314" s="201"/>
      <c r="B3314" s="188"/>
      <c r="C3314" s="36"/>
      <c r="D3314" s="36"/>
      <c r="E3314" s="37"/>
      <c r="F3314" s="31" t="s">
        <v>558</v>
      </c>
      <c r="G3314" s="34" t="str">
        <f>IF(ISNUMBER(F3314),E3314*F3314,"")</f>
        <v/>
      </c>
      <c r="H3314" s="35"/>
      <c r="I3314" s="31"/>
      <c r="J3314" s="155">
        <v>0</v>
      </c>
    </row>
    <row r="3315" spans="1:10" ht="15.75" hidden="1" thickBot="1" x14ac:dyDescent="0.3">
      <c r="A3315" s="180" t="s">
        <v>1040</v>
      </c>
      <c r="B3315" s="186" t="str">
        <f>INDEX(Orçamentária!A:B,MATCH(Composições!A3315,Orçamentária!A:A,0),2)</f>
        <v>Base registro de pressão 3/4"</v>
      </c>
      <c r="C3315" s="41"/>
      <c r="D3315" s="26" t="str">
        <f>TRIM(INDEX(Orçamentária!C:C,MATCH(Composições!A3315,Orçamentária!A:A,0),1))</f>
        <v>un</v>
      </c>
      <c r="E3315" s="27"/>
      <c r="F3315" s="42" t="s">
        <v>558</v>
      </c>
      <c r="G3315" s="28" t="str">
        <f>IF(ISNUMBER(F3315),E3315*F3315,"")</f>
        <v/>
      </c>
      <c r="H3315" s="29"/>
      <c r="I3315" s="30"/>
      <c r="J3315" s="155">
        <v>0</v>
      </c>
    </row>
    <row r="3316" spans="1:10" ht="15.75" hidden="1" thickBot="1" x14ac:dyDescent="0.3">
      <c r="A3316" s="200"/>
      <c r="B3316" s="202"/>
      <c r="C3316" s="32"/>
      <c r="D3316" s="32"/>
      <c r="E3316" s="33"/>
      <c r="F3316" s="43" t="s">
        <v>558</v>
      </c>
      <c r="G3316" s="34" t="str">
        <f>IF(ISNUMBER(F3316),E3316*F3316,"")</f>
        <v/>
      </c>
      <c r="H3316" s="35"/>
      <c r="I3316" s="31"/>
      <c r="J3316" s="155">
        <v>0</v>
      </c>
    </row>
    <row r="3317" spans="1:10" ht="15.75" hidden="1" thickBot="1" x14ac:dyDescent="0.3">
      <c r="A3317" s="200"/>
      <c r="B3317" s="202"/>
      <c r="C3317" s="36" t="s">
        <v>336</v>
      </c>
      <c r="D3317" s="47" t="s">
        <v>292</v>
      </c>
      <c r="E3317" s="37">
        <v>1.2999999999999999E-2</v>
      </c>
      <c r="F3317" s="31">
        <v>12.8155</v>
      </c>
      <c r="G3317" s="34">
        <f>IF(ISNUMBER(F3317),E3317*F3317,"")</f>
        <v>0.16660149999999999</v>
      </c>
      <c r="H3317" s="39">
        <f>SUM(G3317:G3320)</f>
        <v>8.0782015000000005</v>
      </c>
      <c r="I3317" s="40"/>
      <c r="J3317" s="155">
        <v>0</v>
      </c>
    </row>
    <row r="3318" spans="1:10" ht="26.25" hidden="1" thickBot="1" x14ac:dyDescent="0.3">
      <c r="A3318" s="200"/>
      <c r="B3318" s="202"/>
      <c r="C3318" s="36" t="s">
        <v>1041</v>
      </c>
      <c r="D3318" s="47" t="s">
        <v>147</v>
      </c>
      <c r="E3318" s="37">
        <v>1</v>
      </c>
      <c r="F3318" s="31" t="s">
        <v>558</v>
      </c>
      <c r="G3318" s="34" t="str">
        <f>IF(ISNUMBER(F3318),E3318*F3318,"")</f>
        <v/>
      </c>
      <c r="H3318" s="35"/>
      <c r="I3318" s="31"/>
      <c r="J3318" s="155">
        <v>0</v>
      </c>
    </row>
    <row r="3319" spans="1:10" ht="26.25" hidden="1" thickBot="1" x14ac:dyDescent="0.3">
      <c r="A3319" s="200"/>
      <c r="B3319" s="202"/>
      <c r="C3319" s="36" t="s">
        <v>108</v>
      </c>
      <c r="D3319" s="47" t="s">
        <v>12</v>
      </c>
      <c r="E3319" s="37">
        <v>0.2</v>
      </c>
      <c r="F3319" s="31">
        <v>17.3185</v>
      </c>
      <c r="G3319" s="34">
        <f>IF(ISNUMBER(F3319),E3319*F3319,"")</f>
        <v>3.4637000000000002</v>
      </c>
      <c r="H3319" s="35"/>
      <c r="I3319" s="31"/>
      <c r="J3319" s="155">
        <v>0</v>
      </c>
    </row>
    <row r="3320" spans="1:10" ht="15.75" hidden="1" thickBot="1" x14ac:dyDescent="0.3">
      <c r="A3320" s="200"/>
      <c r="B3320" s="202"/>
      <c r="C3320" s="36" t="s">
        <v>39</v>
      </c>
      <c r="D3320" s="36" t="s">
        <v>12</v>
      </c>
      <c r="E3320" s="37">
        <v>0.2</v>
      </c>
      <c r="F3320" s="31">
        <v>22.2395</v>
      </c>
      <c r="G3320" s="34">
        <f>IF(ISNUMBER(F3320),E3320*F3320,"")</f>
        <v>4.4478999999999997</v>
      </c>
      <c r="H3320" s="35"/>
      <c r="I3320" s="31"/>
      <c r="J3320" s="155">
        <v>0</v>
      </c>
    </row>
    <row r="3321" spans="1:10" ht="15.75" hidden="1" thickBot="1" x14ac:dyDescent="0.3">
      <c r="A3321" s="201"/>
      <c r="B3321" s="188"/>
      <c r="C3321" s="36"/>
      <c r="D3321" s="36"/>
      <c r="E3321" s="37"/>
      <c r="F3321" s="31" t="s">
        <v>558</v>
      </c>
      <c r="G3321" s="34" t="str">
        <f>IF(ISNUMBER(F3321),E3321*F3321,"")</f>
        <v/>
      </c>
      <c r="H3321" s="35"/>
      <c r="I3321" s="31"/>
      <c r="J3321" s="155">
        <v>0</v>
      </c>
    </row>
    <row r="3322" spans="1:10" ht="15.75" hidden="1" thickBot="1" x14ac:dyDescent="0.3">
      <c r="A3322" s="180" t="s">
        <v>1042</v>
      </c>
      <c r="B3322" s="186" t="str">
        <f>INDEX(Orçamentária!A:B,MATCH(Composições!A3322,Orçamentária!A:A,0),2)</f>
        <v>Tampa em ferro fundido T33</v>
      </c>
      <c r="C3322" s="41"/>
      <c r="D3322" s="26" t="str">
        <f>TRIM(INDEX(Orçamentária!C:C,MATCH(Composições!A3322,Orçamentária!A:A,0),1))</f>
        <v>un</v>
      </c>
      <c r="E3322" s="27"/>
      <c r="F3322" s="42" t="s">
        <v>558</v>
      </c>
      <c r="G3322" s="28" t="str">
        <f>IF(ISNUMBER(F3322),E3322*F3322,"")</f>
        <v/>
      </c>
      <c r="H3322" s="29"/>
      <c r="I3322" s="30"/>
      <c r="J3322" s="155">
        <v>0</v>
      </c>
    </row>
    <row r="3323" spans="1:10" ht="15.75" hidden="1" thickBot="1" x14ac:dyDescent="0.3">
      <c r="A3323" s="200"/>
      <c r="B3323" s="202"/>
      <c r="C3323" s="32"/>
      <c r="D3323" s="32"/>
      <c r="E3323" s="33"/>
      <c r="F3323" s="43" t="s">
        <v>558</v>
      </c>
      <c r="G3323" s="34" t="str">
        <f>IF(ISNUMBER(F3323),E3323*F3323,"")</f>
        <v/>
      </c>
      <c r="H3323" s="35"/>
      <c r="I3323" s="31"/>
      <c r="J3323" s="155">
        <v>0</v>
      </c>
    </row>
    <row r="3324" spans="1:10" ht="26.25" hidden="1" thickBot="1" x14ac:dyDescent="0.3">
      <c r="A3324" s="200"/>
      <c r="B3324" s="202"/>
      <c r="C3324" s="36" t="s">
        <v>1043</v>
      </c>
      <c r="D3324" s="47" t="s">
        <v>292</v>
      </c>
      <c r="E3324" s="37">
        <v>1</v>
      </c>
      <c r="F3324" s="31">
        <v>247.43699999999995</v>
      </c>
      <c r="G3324" s="34">
        <f>IF(ISNUMBER(F3324),E3324*F3324,"")</f>
        <v>247.43699999999995</v>
      </c>
      <c r="H3324" s="39">
        <f>SUM(G3324:G3327)</f>
        <v>285.6001998803074</v>
      </c>
      <c r="I3324" s="40"/>
      <c r="J3324" s="155">
        <v>0</v>
      </c>
    </row>
    <row r="3325" spans="1:10" ht="26.25" hidden="1" thickBot="1" x14ac:dyDescent="0.3">
      <c r="A3325" s="200"/>
      <c r="B3325" s="202"/>
      <c r="C3325" s="36" t="s">
        <v>3305</v>
      </c>
      <c r="D3325" s="47" t="s">
        <v>122</v>
      </c>
      <c r="E3325" s="37">
        <v>4.4000000000000003E-3</v>
      </c>
      <c r="F3325" s="31">
        <v>453.32971143350005</v>
      </c>
      <c r="G3325" s="34">
        <f>IF(ISNUMBER(F3325),E3325*F3325,"")</f>
        <v>1.9946507303074004</v>
      </c>
      <c r="H3325" s="35"/>
      <c r="I3325" s="31"/>
      <c r="J3325" s="155">
        <v>0</v>
      </c>
    </row>
    <row r="3326" spans="1:10" ht="15.75" hidden="1" thickBot="1" x14ac:dyDescent="0.3">
      <c r="A3326" s="200"/>
      <c r="B3326" s="202"/>
      <c r="C3326" s="36" t="s">
        <v>22</v>
      </c>
      <c r="D3326" s="36" t="s">
        <v>12</v>
      </c>
      <c r="E3326" s="37">
        <v>1.0088999999999999</v>
      </c>
      <c r="F3326" s="31">
        <v>22.704999999999998</v>
      </c>
      <c r="G3326" s="34">
        <f>IF(ISNUMBER(F3326),E3326*F3326,"")</f>
        <v>22.907074499999997</v>
      </c>
      <c r="H3326" s="35"/>
      <c r="I3326" s="31"/>
      <c r="J3326" s="155">
        <v>0</v>
      </c>
    </row>
    <row r="3327" spans="1:10" ht="15.75" hidden="1" thickBot="1" x14ac:dyDescent="0.3">
      <c r="A3327" s="200"/>
      <c r="B3327" s="202"/>
      <c r="C3327" s="36" t="s">
        <v>23</v>
      </c>
      <c r="D3327" s="36" t="s">
        <v>12</v>
      </c>
      <c r="E3327" s="37">
        <v>0.79269999999999996</v>
      </c>
      <c r="F3327" s="31">
        <v>16.729499999999998</v>
      </c>
      <c r="G3327" s="34">
        <f>IF(ISNUMBER(F3327),E3327*F3327,"")</f>
        <v>13.261474649999998</v>
      </c>
      <c r="H3327" s="35"/>
      <c r="I3327" s="31"/>
      <c r="J3327" s="155">
        <v>0</v>
      </c>
    </row>
    <row r="3328" spans="1:10" ht="15.75" hidden="1" thickBot="1" x14ac:dyDescent="0.3">
      <c r="A3328" s="201"/>
      <c r="B3328" s="188"/>
      <c r="C3328" s="55"/>
      <c r="D3328" s="55"/>
      <c r="E3328" s="66"/>
      <c r="F3328" s="67" t="s">
        <v>558</v>
      </c>
      <c r="G3328" s="68" t="str">
        <f>IF(ISNUMBER(F3328),E3328*F3328,"")</f>
        <v/>
      </c>
      <c r="H3328" s="69"/>
      <c r="I3328" s="31"/>
      <c r="J3328" s="155">
        <v>0</v>
      </c>
    </row>
    <row r="3329" spans="1:10" ht="15.75" hidden="1" thickBot="1" x14ac:dyDescent="0.3">
      <c r="A3329" s="181" t="s">
        <v>1045</v>
      </c>
      <c r="B3329" s="202" t="str">
        <f>INDEX(Orçamentária!A:B,MATCH(Composições!A3329,Orçamentária!A:A,0),2)</f>
        <v>Arquiteto(a) com experiência em intervenção no patrimônio cultural</v>
      </c>
      <c r="C3329" s="173"/>
      <c r="D3329" s="26" t="str">
        <f>TRIM(INDEX(Orçamentária!C:C,MATCH(Composições!A3329,Orçamentária!A:A,0),1))</f>
        <v>hh</v>
      </c>
      <c r="E3329" s="70"/>
      <c r="F3329" s="71" t="s">
        <v>558</v>
      </c>
      <c r="G3329" s="71" t="str">
        <f>IF(ISNUMBER(F3329),E3329*F3329,"")</f>
        <v/>
      </c>
      <c r="H3329" s="72"/>
      <c r="I3329" s="30"/>
      <c r="J3329" s="155">
        <v>0</v>
      </c>
    </row>
    <row r="3330" spans="1:10" ht="15.75" hidden="1" thickBot="1" x14ac:dyDescent="0.3">
      <c r="A3330" s="200"/>
      <c r="B3330" s="202"/>
      <c r="C3330" s="32"/>
      <c r="D3330" s="32"/>
      <c r="E3330" s="33"/>
      <c r="F3330" s="31" t="s">
        <v>558</v>
      </c>
      <c r="G3330" s="34" t="str">
        <f>IF(ISNUMBER(F3330),E3330*F3330,"")</f>
        <v/>
      </c>
      <c r="H3330" s="35"/>
      <c r="I3330" s="31"/>
      <c r="J3330" s="155">
        <v>0</v>
      </c>
    </row>
    <row r="3331" spans="1:10" ht="15.75" hidden="1" thickBot="1" x14ac:dyDescent="0.3">
      <c r="A3331" s="200"/>
      <c r="B3331" s="202"/>
      <c r="C3331" s="36" t="s">
        <v>1046</v>
      </c>
      <c r="D3331" s="36" t="s">
        <v>12</v>
      </c>
      <c r="E3331" s="37">
        <v>1</v>
      </c>
      <c r="F3331" s="31">
        <v>91.96</v>
      </c>
      <c r="G3331" s="34">
        <f>IF(ISNUMBER(F3331),E3331*F3331,"")</f>
        <v>91.96</v>
      </c>
      <c r="H3331" s="39">
        <f>SUM(G3331:G3331)</f>
        <v>91.96</v>
      </c>
      <c r="I3331" s="40"/>
      <c r="J3331" s="155">
        <v>0</v>
      </c>
    </row>
    <row r="3332" spans="1:10" ht="15.75" hidden="1" thickBot="1" x14ac:dyDescent="0.3">
      <c r="A3332" s="201"/>
      <c r="B3332" s="188"/>
      <c r="C3332" s="36"/>
      <c r="D3332" s="36"/>
      <c r="E3332" s="37"/>
      <c r="F3332" s="31" t="s">
        <v>558</v>
      </c>
      <c r="G3332" s="34" t="str">
        <f>IF(ISNUMBER(F3332),E3332*F3332,"")</f>
        <v/>
      </c>
      <c r="H3332" s="35"/>
      <c r="I3332" s="31"/>
      <c r="J3332" s="155">
        <v>0</v>
      </c>
    </row>
    <row r="3333" spans="1:10" ht="15.75" hidden="1" thickBot="1" x14ac:dyDescent="0.3">
      <c r="A3333" s="180" t="s">
        <v>1047</v>
      </c>
      <c r="B3333" s="186" t="str">
        <f>INDEX(Orçamentária!A:B,MATCH(Composições!A3333,Orçamentária!A:A,0),2)</f>
        <v>Locação de andaime suspenso tipo leve</v>
      </c>
      <c r="C3333" s="41"/>
      <c r="D3333" s="26" t="str">
        <f>TRIM(INDEX(Orçamentária!C:C,MATCH(Composições!A3333,Orçamentária!A:A,0),1))</f>
        <v>un x mês</v>
      </c>
      <c r="E3333" s="27"/>
      <c r="F3333" s="42" t="s">
        <v>558</v>
      </c>
      <c r="G3333" s="28" t="str">
        <f>IF(ISNUMBER(F3333),E3333*F3333,"")</f>
        <v/>
      </c>
      <c r="H3333" s="29"/>
      <c r="I3333" s="30"/>
      <c r="J3333" s="155">
        <v>0</v>
      </c>
    </row>
    <row r="3334" spans="1:10" ht="15.75" hidden="1" thickBot="1" x14ac:dyDescent="0.3">
      <c r="A3334" s="181"/>
      <c r="B3334" s="202"/>
      <c r="C3334" s="32"/>
      <c r="D3334" s="32"/>
      <c r="E3334" s="33"/>
      <c r="F3334" s="43" t="s">
        <v>558</v>
      </c>
      <c r="G3334" s="34" t="str">
        <f>IF(ISNUMBER(F3334),E3334*F3334,"")</f>
        <v/>
      </c>
      <c r="H3334" s="35"/>
      <c r="I3334" s="31"/>
      <c r="J3334" s="155">
        <v>0</v>
      </c>
    </row>
    <row r="3335" spans="1:10" ht="39" hidden="1" thickBot="1" x14ac:dyDescent="0.3">
      <c r="A3335" s="181"/>
      <c r="B3335" s="202"/>
      <c r="C3335" s="36" t="s">
        <v>1048</v>
      </c>
      <c r="D3335" s="36" t="s">
        <v>129</v>
      </c>
      <c r="E3335" s="37">
        <v>1</v>
      </c>
      <c r="F3335" s="31">
        <v>536.75</v>
      </c>
      <c r="G3335" s="34">
        <f>IF(ISNUMBER(F3335),E3335*F3335,"")</f>
        <v>536.75</v>
      </c>
      <c r="H3335" s="39">
        <f>SUM(G3335:G3335)</f>
        <v>536.75</v>
      </c>
      <c r="I3335" s="40"/>
      <c r="J3335" s="155">
        <v>0</v>
      </c>
    </row>
    <row r="3336" spans="1:10" ht="15.75" hidden="1" thickBot="1" x14ac:dyDescent="0.3">
      <c r="A3336" s="182"/>
      <c r="B3336" s="188"/>
      <c r="C3336" s="36"/>
      <c r="D3336" s="36"/>
      <c r="E3336" s="37"/>
      <c r="F3336" s="31" t="s">
        <v>558</v>
      </c>
      <c r="G3336" s="34" t="str">
        <f>IF(ISNUMBER(F3336),E3336*F3336,"")</f>
        <v/>
      </c>
      <c r="H3336" s="35"/>
      <c r="I3336" s="31"/>
      <c r="J3336" s="155">
        <v>0</v>
      </c>
    </row>
    <row r="3337" spans="1:10" ht="15.75" hidden="1" thickBot="1" x14ac:dyDescent="0.3">
      <c r="A3337" s="180" t="s">
        <v>1049</v>
      </c>
      <c r="B3337" s="186" t="str">
        <f>INDEX(Orçamentária!A:B,MATCH(Composições!A3337,Orçamentária!A:A,0),2)</f>
        <v>Limpeza de superfície por hidrojateamento de média pressão</v>
      </c>
      <c r="C3337" s="41"/>
      <c r="D3337" s="26" t="str">
        <f>TRIM(INDEX(Orçamentária!C:C,MATCH(Composições!A3337,Orçamentária!A:A,0),1))</f>
        <v>m2</v>
      </c>
      <c r="E3337" s="27"/>
      <c r="F3337" s="42" t="s">
        <v>558</v>
      </c>
      <c r="G3337" s="28" t="str">
        <f>IF(ISNUMBER(F3337),E3337*F3337,"")</f>
        <v/>
      </c>
      <c r="H3337" s="29"/>
      <c r="I3337" s="30"/>
      <c r="J3337" s="155">
        <v>0</v>
      </c>
    </row>
    <row r="3338" spans="1:10" ht="15.75" hidden="1" thickBot="1" x14ac:dyDescent="0.3">
      <c r="A3338" s="200"/>
      <c r="B3338" s="202"/>
      <c r="C3338" s="32"/>
      <c r="D3338" s="32"/>
      <c r="E3338" s="33"/>
      <c r="F3338" s="43" t="s">
        <v>558</v>
      </c>
      <c r="G3338" s="34" t="str">
        <f>IF(ISNUMBER(F3338),E3338*F3338,"")</f>
        <v/>
      </c>
      <c r="H3338" s="35"/>
      <c r="I3338" s="31"/>
      <c r="J3338" s="155">
        <v>0</v>
      </c>
    </row>
    <row r="3339" spans="1:10" ht="15.75" hidden="1" thickBot="1" x14ac:dyDescent="0.3">
      <c r="A3339" s="200"/>
      <c r="B3339" s="202"/>
      <c r="C3339" s="36" t="s">
        <v>23</v>
      </c>
      <c r="D3339" s="36" t="s">
        <v>12</v>
      </c>
      <c r="E3339" s="37">
        <v>8.8999999999999996E-2</v>
      </c>
      <c r="F3339" s="31">
        <v>16.729499999999998</v>
      </c>
      <c r="G3339" s="34">
        <f>IF(ISNUMBER(F3339),E3339*F3339,"")</f>
        <v>1.4889254999999997</v>
      </c>
      <c r="H3339" s="39">
        <f>SUM(G3339:G3340)</f>
        <v>1.5058829999999996</v>
      </c>
      <c r="I3339" s="40"/>
      <c r="J3339" s="155">
        <v>0</v>
      </c>
    </row>
    <row r="3340" spans="1:10" ht="39" hidden="1" thickBot="1" x14ac:dyDescent="0.3">
      <c r="A3340" s="200"/>
      <c r="B3340" s="202"/>
      <c r="C3340" s="36" t="s">
        <v>1050</v>
      </c>
      <c r="D3340" s="36" t="s">
        <v>33</v>
      </c>
      <c r="E3340" s="37">
        <v>1.4999999999999999E-2</v>
      </c>
      <c r="F3340" s="31">
        <v>1.1304999999999998</v>
      </c>
      <c r="G3340" s="34">
        <f>IF(ISNUMBER(F3340),E3340*F3340,"")</f>
        <v>1.6957499999999997E-2</v>
      </c>
      <c r="H3340" s="35"/>
      <c r="I3340" s="31"/>
      <c r="J3340" s="155">
        <v>0</v>
      </c>
    </row>
    <row r="3341" spans="1:10" ht="15.75" hidden="1" thickBot="1" x14ac:dyDescent="0.3">
      <c r="A3341" s="201"/>
      <c r="B3341" s="188"/>
      <c r="C3341" s="36"/>
      <c r="D3341" s="36"/>
      <c r="E3341" s="37"/>
      <c r="F3341" s="31" t="s">
        <v>558</v>
      </c>
      <c r="G3341" s="34" t="str">
        <f>IF(ISNUMBER(F3341),E3341*F3341,"")</f>
        <v/>
      </c>
      <c r="H3341" s="35"/>
      <c r="I3341" s="31"/>
      <c r="J3341" s="155">
        <v>0</v>
      </c>
    </row>
    <row r="3342" spans="1:10" ht="15.75" hidden="1" thickBot="1" x14ac:dyDescent="0.3">
      <c r="A3342" s="180" t="s">
        <v>1051</v>
      </c>
      <c r="B3342" s="186" t="str">
        <f>INDEX(Orçamentária!A:B,MATCH(Composições!A3342,Orçamentária!A:A,0),2)</f>
        <v>Inspeção da integridade e adesão de placas de rocha ornamental por percussão</v>
      </c>
      <c r="C3342" s="41"/>
      <c r="D3342" s="26" t="str">
        <f>TRIM(INDEX(Orçamentária!C:C,MATCH(Composições!A3342,Orçamentária!A:A,0),1))</f>
        <v>m2</v>
      </c>
      <c r="E3342" s="27"/>
      <c r="F3342" s="49" t="s">
        <v>558</v>
      </c>
      <c r="G3342" s="28" t="str">
        <f>IF(ISNUMBER(F3342),E3342*F3342,"")</f>
        <v/>
      </c>
      <c r="H3342" s="29"/>
      <c r="I3342" s="30"/>
      <c r="J3342" s="155">
        <v>0</v>
      </c>
    </row>
    <row r="3343" spans="1:10" ht="15.75" hidden="1" thickBot="1" x14ac:dyDescent="0.3">
      <c r="A3343" s="200"/>
      <c r="B3343" s="202"/>
      <c r="C3343" s="32"/>
      <c r="D3343" s="32"/>
      <c r="E3343" s="33"/>
      <c r="F3343" s="54" t="s">
        <v>558</v>
      </c>
      <c r="G3343" s="54" t="str">
        <f>IF(ISNUMBER(F3343),E3343*F3343,"")</f>
        <v/>
      </c>
      <c r="H3343" s="73"/>
      <c r="I3343" s="74"/>
      <c r="J3343" s="155">
        <v>0</v>
      </c>
    </row>
    <row r="3344" spans="1:10" ht="15.75" hidden="1" thickBot="1" x14ac:dyDescent="0.3">
      <c r="A3344" s="200"/>
      <c r="B3344" s="202"/>
      <c r="C3344" s="36" t="s">
        <v>54</v>
      </c>
      <c r="D3344" s="36" t="s">
        <v>12</v>
      </c>
      <c r="E3344" s="37">
        <v>0.25</v>
      </c>
      <c r="F3344" s="54">
        <v>18.9145</v>
      </c>
      <c r="G3344" s="54">
        <f>IF(ISNUMBER(F3344),E3344*F3344,"")</f>
        <v>4.7286250000000001</v>
      </c>
      <c r="H3344" s="39">
        <f>SUM(G3344:G3345)</f>
        <v>4.7286250000000001</v>
      </c>
      <c r="I3344" s="40"/>
      <c r="J3344" s="155">
        <v>0</v>
      </c>
    </row>
    <row r="3345" spans="1:10" ht="15.75" hidden="1" thickBot="1" x14ac:dyDescent="0.3">
      <c r="A3345" s="201"/>
      <c r="B3345" s="188"/>
      <c r="C3345" s="36"/>
      <c r="D3345" s="36"/>
      <c r="E3345" s="37"/>
      <c r="F3345" s="54" t="s">
        <v>558</v>
      </c>
      <c r="G3345" s="54" t="str">
        <f>IF(ISNUMBER(F3345),E3345*F3345,"")</f>
        <v/>
      </c>
      <c r="H3345" s="73"/>
      <c r="I3345" s="74"/>
      <c r="J3345" s="155">
        <v>0</v>
      </c>
    </row>
    <row r="3346" spans="1:10" ht="15.75" hidden="1" thickBot="1" x14ac:dyDescent="0.3">
      <c r="A3346" s="180" t="s">
        <v>1052</v>
      </c>
      <c r="B3346" s="186" t="str">
        <f>INDEX(Orçamentária!A:B,MATCH(Composições!A3346,Orçamentária!A:A,0),2)</f>
        <v>Demolição de proteção mecânica de impermeabilização</v>
      </c>
      <c r="C3346" s="41"/>
      <c r="D3346" s="26" t="str">
        <f>TRIM(INDEX(Orçamentária!C:C,MATCH(Composições!A3346,Orçamentária!A:A,0),1))</f>
        <v>m2</v>
      </c>
      <c r="E3346" s="27"/>
      <c r="F3346" s="49" t="s">
        <v>558</v>
      </c>
      <c r="G3346" s="28" t="str">
        <f>IF(ISNUMBER(F3346),E3346*F3346,"")</f>
        <v/>
      </c>
      <c r="H3346" s="29"/>
      <c r="I3346" s="30"/>
      <c r="J3346" s="155">
        <v>0</v>
      </c>
    </row>
    <row r="3347" spans="1:10" ht="15.75" hidden="1" thickBot="1" x14ac:dyDescent="0.3">
      <c r="A3347" s="200"/>
      <c r="B3347" s="202"/>
      <c r="C3347" s="32"/>
      <c r="D3347" s="32"/>
      <c r="E3347" s="33"/>
      <c r="F3347" s="54" t="s">
        <v>558</v>
      </c>
      <c r="G3347" s="54" t="str">
        <f>IF(ISNUMBER(F3347),E3347*F3347,"")</f>
        <v/>
      </c>
      <c r="H3347" s="73"/>
      <c r="I3347" s="74"/>
      <c r="J3347" s="155">
        <v>0</v>
      </c>
    </row>
    <row r="3348" spans="1:10" ht="15.75" hidden="1" thickBot="1" x14ac:dyDescent="0.3">
      <c r="A3348" s="200"/>
      <c r="B3348" s="202"/>
      <c r="C3348" s="36" t="s">
        <v>23</v>
      </c>
      <c r="D3348" s="36" t="s">
        <v>742</v>
      </c>
      <c r="E3348" s="37">
        <v>1.25</v>
      </c>
      <c r="F3348" s="54">
        <v>16.729499999999998</v>
      </c>
      <c r="G3348" s="54">
        <f>IF(ISNUMBER(F3348),E3348*F3348,"")</f>
        <v>20.911874999999998</v>
      </c>
      <c r="H3348" s="39">
        <f>SUM(G3348:G3348)</f>
        <v>20.911874999999998</v>
      </c>
      <c r="I3348" s="40"/>
      <c r="J3348" s="155">
        <v>0</v>
      </c>
    </row>
    <row r="3349" spans="1:10" ht="15.75" hidden="1" thickBot="1" x14ac:dyDescent="0.3">
      <c r="A3349" s="201"/>
      <c r="B3349" s="188"/>
      <c r="C3349" s="36"/>
      <c r="D3349" s="36"/>
      <c r="E3349" s="37"/>
      <c r="F3349" s="54" t="s">
        <v>558</v>
      </c>
      <c r="G3349" s="54" t="str">
        <f>IF(ISNUMBER(F3349),E3349*F3349,"")</f>
        <v/>
      </c>
      <c r="H3349" s="73"/>
      <c r="I3349" s="74"/>
      <c r="J3349" s="155">
        <v>0</v>
      </c>
    </row>
    <row r="3350" spans="1:10" ht="15.75" hidden="1" thickBot="1" x14ac:dyDescent="0.3">
      <c r="A3350" s="180" t="s">
        <v>1053</v>
      </c>
      <c r="B3350" s="186" t="str">
        <f>INDEX(Orçamentária!A:B,MATCH(Composições!A3350,Orçamentária!A:A,0),2)</f>
        <v>Impermeabilização com emulsão asfáltica</v>
      </c>
      <c r="C3350" s="41"/>
      <c r="D3350" s="26" t="str">
        <f>TRIM(INDEX(Orçamentária!C:C,MATCH(Composições!A3350,Orçamentária!A:A,0),1))</f>
        <v>m2</v>
      </c>
      <c r="E3350" s="27"/>
      <c r="F3350" s="49" t="s">
        <v>558</v>
      </c>
      <c r="G3350" s="28" t="str">
        <f>IF(ISNUMBER(F3350),E3350*F3350,"")</f>
        <v/>
      </c>
      <c r="H3350" s="29"/>
      <c r="I3350" s="30"/>
      <c r="J3350" s="155">
        <v>0</v>
      </c>
    </row>
    <row r="3351" spans="1:10" ht="15.75" hidden="1" thickBot="1" x14ac:dyDescent="0.3">
      <c r="A3351" s="200"/>
      <c r="B3351" s="202"/>
      <c r="C3351" s="32"/>
      <c r="D3351" s="32"/>
      <c r="E3351" s="33"/>
      <c r="F3351" s="54" t="s">
        <v>558</v>
      </c>
      <c r="G3351" s="54" t="str">
        <f>IF(ISNUMBER(F3351),E3351*F3351,"")</f>
        <v/>
      </c>
      <c r="H3351" s="73"/>
      <c r="I3351" s="74"/>
      <c r="J3351" s="155">
        <v>0</v>
      </c>
    </row>
    <row r="3352" spans="1:10" ht="39" hidden="1" thickBot="1" x14ac:dyDescent="0.3">
      <c r="A3352" s="200"/>
      <c r="B3352" s="202"/>
      <c r="C3352" s="36" t="s">
        <v>1054</v>
      </c>
      <c r="D3352" s="36" t="s">
        <v>938</v>
      </c>
      <c r="E3352" s="37">
        <v>1.5</v>
      </c>
      <c r="F3352" s="54">
        <v>13.717999999999998</v>
      </c>
      <c r="G3352" s="54">
        <f>IF(ISNUMBER(F3352),E3352*F3352,"")</f>
        <v>20.576999999999998</v>
      </c>
      <c r="H3352" s="39">
        <f>SUM(G3352:G3355)</f>
        <v>38.383790499999996</v>
      </c>
      <c r="I3352" s="40"/>
      <c r="J3352" s="155">
        <v>0</v>
      </c>
    </row>
    <row r="3353" spans="1:10" ht="15.75" hidden="1" thickBot="1" x14ac:dyDescent="0.3">
      <c r="A3353" s="200"/>
      <c r="B3353" s="202"/>
      <c r="C3353" s="36" t="s">
        <v>3479</v>
      </c>
      <c r="D3353" s="36" t="s">
        <v>1034</v>
      </c>
      <c r="E3353" s="37">
        <v>1.351</v>
      </c>
      <c r="F3353" s="54">
        <v>4.8354999999999997</v>
      </c>
      <c r="G3353" s="54">
        <f>IF(ISNUMBER(F3353),E3353*F3353,"")</f>
        <v>6.5327604999999993</v>
      </c>
      <c r="H3353" s="73"/>
      <c r="I3353" s="40"/>
      <c r="J3353" s="155">
        <v>0</v>
      </c>
    </row>
    <row r="3354" spans="1:10" ht="15.75" hidden="1" thickBot="1" x14ac:dyDescent="0.3">
      <c r="A3354" s="200"/>
      <c r="B3354" s="202"/>
      <c r="C3354" s="36" t="s">
        <v>1055</v>
      </c>
      <c r="D3354" s="36" t="s">
        <v>742</v>
      </c>
      <c r="E3354" s="37">
        <v>8.5000000000000006E-2</v>
      </c>
      <c r="F3354" s="54">
        <v>19.911999999999999</v>
      </c>
      <c r="G3354" s="54">
        <f>IF(ISNUMBER(F3354),E3354*F3354,"")</f>
        <v>1.69252</v>
      </c>
      <c r="H3354" s="73"/>
      <c r="I3354" s="74"/>
      <c r="J3354" s="155">
        <v>0</v>
      </c>
    </row>
    <row r="3355" spans="1:10" ht="15.75" hidden="1" thickBot="1" x14ac:dyDescent="0.3">
      <c r="A3355" s="200"/>
      <c r="B3355" s="202"/>
      <c r="C3355" s="36" t="s">
        <v>1056</v>
      </c>
      <c r="D3355" s="36" t="s">
        <v>742</v>
      </c>
      <c r="E3355" s="37">
        <v>0.42199999999999999</v>
      </c>
      <c r="F3355" s="54">
        <v>22.704999999999998</v>
      </c>
      <c r="G3355" s="54">
        <f>IF(ISNUMBER(F3355),E3355*F3355,"")</f>
        <v>9.5815099999999997</v>
      </c>
      <c r="H3355" s="73"/>
      <c r="I3355" s="74"/>
      <c r="J3355" s="155">
        <v>0</v>
      </c>
    </row>
    <row r="3356" spans="1:10" ht="15.75" hidden="1" thickBot="1" x14ac:dyDescent="0.3">
      <c r="A3356" s="201"/>
      <c r="B3356" s="188"/>
      <c r="C3356" s="36"/>
      <c r="D3356" s="36"/>
      <c r="E3356" s="37"/>
      <c r="F3356" s="54" t="s">
        <v>558</v>
      </c>
      <c r="G3356" s="54" t="str">
        <f>IF(ISNUMBER(F3356),E3356*F3356,"")</f>
        <v/>
      </c>
      <c r="H3356" s="73"/>
      <c r="I3356" s="74"/>
      <c r="J3356" s="155">
        <v>0</v>
      </c>
    </row>
    <row r="3357" spans="1:10" ht="15.75" hidden="1" thickBot="1" x14ac:dyDescent="0.3">
      <c r="A3357" s="180" t="s">
        <v>1057</v>
      </c>
      <c r="B3357" s="186" t="str">
        <f>INDEX(Orçamentária!A:B,MATCH(Composições!A3357,Orçamentária!A:A,0),2)</f>
        <v>Camada de proteção mecânica simples de impermeabilização</v>
      </c>
      <c r="C3357" s="41"/>
      <c r="D3357" s="26" t="str">
        <f>TRIM(INDEX(Orçamentária!C:C,MATCH(Composições!A3357,Orçamentária!A:A,0),1))</f>
        <v>m2</v>
      </c>
      <c r="E3357" s="27"/>
      <c r="F3357" s="49" t="s">
        <v>558</v>
      </c>
      <c r="G3357" s="28" t="str">
        <f>IF(ISNUMBER(F3357),E3357*F3357,"")</f>
        <v/>
      </c>
      <c r="H3357" s="29"/>
      <c r="I3357" s="30"/>
      <c r="J3357" s="155">
        <v>0</v>
      </c>
    </row>
    <row r="3358" spans="1:10" ht="15.75" hidden="1" thickBot="1" x14ac:dyDescent="0.3">
      <c r="A3358" s="200"/>
      <c r="B3358" s="202"/>
      <c r="C3358" s="32"/>
      <c r="D3358" s="32"/>
      <c r="E3358" s="33"/>
      <c r="F3358" s="54" t="s">
        <v>558</v>
      </c>
      <c r="G3358" s="54" t="str">
        <f>IF(ISNUMBER(F3358),E3358*F3358,"")</f>
        <v/>
      </c>
      <c r="H3358" s="73"/>
      <c r="I3358" s="74"/>
      <c r="J3358" s="155">
        <v>0</v>
      </c>
    </row>
    <row r="3359" spans="1:10" ht="15.75" hidden="1" thickBot="1" x14ac:dyDescent="0.3">
      <c r="A3359" s="200"/>
      <c r="B3359" s="202"/>
      <c r="C3359" s="36" t="s">
        <v>1058</v>
      </c>
      <c r="D3359" s="36" t="s">
        <v>1034</v>
      </c>
      <c r="E3359" s="37">
        <v>1.04</v>
      </c>
      <c r="F3359" s="54">
        <v>1.4249999999999998</v>
      </c>
      <c r="G3359" s="54">
        <f>IF(ISNUMBER(F3359),E3359*F3359,"")</f>
        <v>1.4819999999999998</v>
      </c>
      <c r="H3359" s="39">
        <f>SUM(G3359:G3362)</f>
        <v>41.554766364687502</v>
      </c>
      <c r="I3359" s="40"/>
      <c r="J3359" s="155">
        <v>0</v>
      </c>
    </row>
    <row r="3360" spans="1:10" ht="26.25" hidden="1" thickBot="1" x14ac:dyDescent="0.3">
      <c r="A3360" s="200"/>
      <c r="B3360" s="202"/>
      <c r="C3360" s="36" t="s">
        <v>1059</v>
      </c>
      <c r="D3360" s="36" t="s">
        <v>122</v>
      </c>
      <c r="E3360" s="37">
        <v>3.5000000000000003E-2</v>
      </c>
      <c r="F3360" s="54">
        <v>653.86136756250005</v>
      </c>
      <c r="G3360" s="54">
        <f>IF(ISNUMBER(F3360),E3360*F3360,"")</f>
        <v>22.885147864687504</v>
      </c>
      <c r="H3360" s="73"/>
      <c r="I3360" s="74"/>
      <c r="J3360" s="155">
        <v>0</v>
      </c>
    </row>
    <row r="3361" spans="1:10" ht="15.75" hidden="1" thickBot="1" x14ac:dyDescent="0.3">
      <c r="A3361" s="200"/>
      <c r="B3361" s="202"/>
      <c r="C3361" s="36" t="s">
        <v>22</v>
      </c>
      <c r="D3361" s="36" t="s">
        <v>742</v>
      </c>
      <c r="E3361" s="37">
        <v>0.65900000000000003</v>
      </c>
      <c r="F3361" s="54">
        <v>22.704999999999998</v>
      </c>
      <c r="G3361" s="54">
        <f>IF(ISNUMBER(F3361),E3361*F3361,"")</f>
        <v>14.962595</v>
      </c>
      <c r="H3361" s="73"/>
      <c r="I3361" s="74"/>
      <c r="J3361" s="155">
        <v>0</v>
      </c>
    </row>
    <row r="3362" spans="1:10" ht="15.75" hidden="1" thickBot="1" x14ac:dyDescent="0.3">
      <c r="A3362" s="200"/>
      <c r="B3362" s="202"/>
      <c r="C3362" s="36" t="s">
        <v>23</v>
      </c>
      <c r="D3362" s="36" t="s">
        <v>742</v>
      </c>
      <c r="E3362" s="37">
        <v>0.13300000000000001</v>
      </c>
      <c r="F3362" s="54">
        <v>16.729499999999998</v>
      </c>
      <c r="G3362" s="54">
        <f>IF(ISNUMBER(F3362),E3362*F3362,"")</f>
        <v>2.2250234999999998</v>
      </c>
      <c r="H3362" s="73"/>
      <c r="I3362" s="74"/>
      <c r="J3362" s="155">
        <v>0</v>
      </c>
    </row>
    <row r="3363" spans="1:10" ht="15.75" hidden="1" thickBot="1" x14ac:dyDescent="0.3">
      <c r="A3363" s="201"/>
      <c r="B3363" s="188"/>
      <c r="C3363" s="36"/>
      <c r="D3363" s="36"/>
      <c r="E3363" s="37"/>
      <c r="F3363" s="54" t="s">
        <v>558</v>
      </c>
      <c r="G3363" s="54" t="str">
        <f>IF(ISNUMBER(F3363),E3363*F3363,"")</f>
        <v/>
      </c>
      <c r="H3363" s="73"/>
      <c r="I3363" s="74"/>
      <c r="J3363" s="155">
        <v>0</v>
      </c>
    </row>
    <row r="3364" spans="1:10" ht="15.75" hidden="1" thickBot="1" x14ac:dyDescent="0.3">
      <c r="A3364" s="180" t="s">
        <v>1060</v>
      </c>
      <c r="B3364" s="186" t="str">
        <f>INDEX(Orçamentária!A:B,MATCH(Composições!A3364,Orçamentária!A:A,0),2)</f>
        <v>Camada de proteção mecânica estruturada de impermeabilização</v>
      </c>
      <c r="C3364" s="41"/>
      <c r="D3364" s="26" t="str">
        <f>TRIM(INDEX(Orçamentária!C:C,MATCH(Composições!A3364,Orçamentária!A:A,0),1))</f>
        <v>m2</v>
      </c>
      <c r="E3364" s="27"/>
      <c r="F3364" s="49" t="s">
        <v>558</v>
      </c>
      <c r="G3364" s="28" t="str">
        <f>IF(ISNUMBER(F3364),E3364*F3364,"")</f>
        <v/>
      </c>
      <c r="H3364" s="29"/>
      <c r="I3364" s="30"/>
      <c r="J3364" s="155">
        <v>0</v>
      </c>
    </row>
    <row r="3365" spans="1:10" ht="15.75" hidden="1" thickBot="1" x14ac:dyDescent="0.3">
      <c r="A3365" s="200"/>
      <c r="B3365" s="202"/>
      <c r="C3365" s="32"/>
      <c r="D3365" s="32"/>
      <c r="E3365" s="33"/>
      <c r="F3365" s="54" t="s">
        <v>558</v>
      </c>
      <c r="G3365" s="54" t="str">
        <f>IF(ISNUMBER(F3365),E3365*F3365,"")</f>
        <v/>
      </c>
      <c r="H3365" s="73"/>
      <c r="I3365" s="74"/>
      <c r="J3365" s="155">
        <v>0</v>
      </c>
    </row>
    <row r="3366" spans="1:10" ht="26.25" hidden="1" thickBot="1" x14ac:dyDescent="0.3">
      <c r="A3366" s="200"/>
      <c r="B3366" s="202"/>
      <c r="C3366" s="36" t="s">
        <v>1061</v>
      </c>
      <c r="D3366" s="36" t="s">
        <v>1034</v>
      </c>
      <c r="E3366" s="37">
        <v>1.05</v>
      </c>
      <c r="F3366" s="54">
        <v>13.166999999999998</v>
      </c>
      <c r="G3366" s="54">
        <f>IF(ISNUMBER(F3366),E3366*F3366,"")</f>
        <v>13.825349999999998</v>
      </c>
      <c r="H3366" s="39">
        <f>SUM(G3366:G3369)</f>
        <v>55.132546364687499</v>
      </c>
      <c r="I3366" s="40"/>
      <c r="J3366" s="155">
        <v>0</v>
      </c>
    </row>
    <row r="3367" spans="1:10" ht="26.25" hidden="1" thickBot="1" x14ac:dyDescent="0.3">
      <c r="A3367" s="200"/>
      <c r="B3367" s="202"/>
      <c r="C3367" s="36" t="s">
        <v>1059</v>
      </c>
      <c r="D3367" s="36" t="s">
        <v>122</v>
      </c>
      <c r="E3367" s="37">
        <v>3.5000000000000003E-2</v>
      </c>
      <c r="F3367" s="54">
        <v>653.86136756250005</v>
      </c>
      <c r="G3367" s="54">
        <f>IF(ISNUMBER(F3367),E3367*F3367,"")</f>
        <v>22.885147864687504</v>
      </c>
      <c r="H3367" s="73"/>
      <c r="I3367" s="74"/>
      <c r="J3367" s="155">
        <v>0</v>
      </c>
    </row>
    <row r="3368" spans="1:10" ht="15.75" hidden="1" thickBot="1" x14ac:dyDescent="0.3">
      <c r="A3368" s="200"/>
      <c r="B3368" s="202"/>
      <c r="C3368" s="36" t="s">
        <v>22</v>
      </c>
      <c r="D3368" s="36" t="s">
        <v>742</v>
      </c>
      <c r="E3368" s="37">
        <v>0.70599999999999996</v>
      </c>
      <c r="F3368" s="54">
        <v>22.704999999999998</v>
      </c>
      <c r="G3368" s="54">
        <f>IF(ISNUMBER(F3368),E3368*F3368,"")</f>
        <v>16.029729999999997</v>
      </c>
      <c r="H3368" s="73"/>
      <c r="I3368" s="74"/>
      <c r="J3368" s="155">
        <v>0</v>
      </c>
    </row>
    <row r="3369" spans="1:10" ht="15.75" hidden="1" thickBot="1" x14ac:dyDescent="0.3">
      <c r="A3369" s="200"/>
      <c r="B3369" s="202"/>
      <c r="C3369" s="36" t="s">
        <v>23</v>
      </c>
      <c r="D3369" s="36" t="s">
        <v>742</v>
      </c>
      <c r="E3369" s="37">
        <v>0.14299999999999999</v>
      </c>
      <c r="F3369" s="54">
        <v>16.729499999999998</v>
      </c>
      <c r="G3369" s="54">
        <f>IF(ISNUMBER(F3369),E3369*F3369,"")</f>
        <v>2.3923184999999996</v>
      </c>
      <c r="H3369" s="73"/>
      <c r="I3369" s="74"/>
      <c r="J3369" s="155">
        <v>0</v>
      </c>
    </row>
    <row r="3370" spans="1:10" ht="15.75" hidden="1" thickBot="1" x14ac:dyDescent="0.3">
      <c r="A3370" s="201"/>
      <c r="B3370" s="188"/>
      <c r="C3370" s="36"/>
      <c r="D3370" s="36"/>
      <c r="E3370" s="37"/>
      <c r="F3370" s="54" t="s">
        <v>558</v>
      </c>
      <c r="G3370" s="54" t="str">
        <f>IF(ISNUMBER(F3370),E3370*F3370,"")</f>
        <v/>
      </c>
      <c r="H3370" s="73"/>
      <c r="I3370" s="74"/>
      <c r="J3370" s="155">
        <v>0</v>
      </c>
    </row>
    <row r="3371" spans="1:10" ht="15.75" hidden="1" thickBot="1" x14ac:dyDescent="0.3">
      <c r="A3371" s="180" t="s">
        <v>1062</v>
      </c>
      <c r="B3371" s="186" t="str">
        <f>INDEX(Orçamentária!A:B,MATCH(Composições!A3371,Orçamentária!A:A,0),2)</f>
        <v>Remoção de placas  de mármore encaixadas por fixadores metálicos (modelo Ed. Principal)</v>
      </c>
      <c r="C3371" s="41"/>
      <c r="D3371" s="26" t="str">
        <f>TRIM(INDEX(Orçamentária!C:C,MATCH(Composições!A3371,Orçamentária!A:A,0),1))</f>
        <v>m2</v>
      </c>
      <c r="E3371" s="27"/>
      <c r="F3371" s="49" t="s">
        <v>558</v>
      </c>
      <c r="G3371" s="28" t="str">
        <f>IF(ISNUMBER(F3371),E3371*F3371,"")</f>
        <v/>
      </c>
      <c r="H3371" s="29"/>
      <c r="I3371" s="30"/>
      <c r="J3371" s="155">
        <v>0</v>
      </c>
    </row>
    <row r="3372" spans="1:10" ht="15.75" hidden="1" thickBot="1" x14ac:dyDescent="0.3">
      <c r="A3372" s="200"/>
      <c r="B3372" s="202"/>
      <c r="C3372" s="32"/>
      <c r="D3372" s="32"/>
      <c r="E3372" s="33"/>
      <c r="F3372" s="54" t="s">
        <v>558</v>
      </c>
      <c r="G3372" s="54" t="str">
        <f>IF(ISNUMBER(F3372),E3372*F3372,"")</f>
        <v/>
      </c>
      <c r="H3372" s="73"/>
      <c r="I3372" s="74"/>
      <c r="J3372" s="155">
        <v>0</v>
      </c>
    </row>
    <row r="3373" spans="1:10" ht="15.75" hidden="1" thickBot="1" x14ac:dyDescent="0.3">
      <c r="A3373" s="200"/>
      <c r="B3373" s="202"/>
      <c r="C3373" s="36" t="s">
        <v>54</v>
      </c>
      <c r="D3373" s="36" t="s">
        <v>12</v>
      </c>
      <c r="E3373" s="37">
        <v>0.4</v>
      </c>
      <c r="F3373" s="54">
        <v>18.9145</v>
      </c>
      <c r="G3373" s="54">
        <f>IF(ISNUMBER(F3373),E3373*F3373,"")</f>
        <v>7.5658000000000003</v>
      </c>
      <c r="H3373" s="39">
        <f>SUM(G3373:G3374)</f>
        <v>14.2576</v>
      </c>
      <c r="I3373" s="40"/>
      <c r="J3373" s="155">
        <v>0</v>
      </c>
    </row>
    <row r="3374" spans="1:10" ht="15.75" hidden="1" thickBot="1" x14ac:dyDescent="0.3">
      <c r="A3374" s="200"/>
      <c r="B3374" s="202"/>
      <c r="C3374" s="36" t="s">
        <v>23</v>
      </c>
      <c r="D3374" s="36" t="s">
        <v>12</v>
      </c>
      <c r="E3374" s="37">
        <v>0.4</v>
      </c>
      <c r="F3374" s="54">
        <v>16.729499999999998</v>
      </c>
      <c r="G3374" s="54">
        <f>IF(ISNUMBER(F3374),E3374*F3374,"")</f>
        <v>6.6917999999999997</v>
      </c>
      <c r="H3374" s="73"/>
      <c r="I3374" s="74"/>
      <c r="J3374" s="155">
        <v>0</v>
      </c>
    </row>
    <row r="3375" spans="1:10" ht="15.75" hidden="1" thickBot="1" x14ac:dyDescent="0.3">
      <c r="A3375" s="201"/>
      <c r="B3375" s="188"/>
      <c r="C3375" s="36"/>
      <c r="D3375" s="36"/>
      <c r="E3375" s="37"/>
      <c r="F3375" s="54" t="s">
        <v>558</v>
      </c>
      <c r="G3375" s="54" t="str">
        <f>IF(ISNUMBER(F3375),E3375*F3375,"")</f>
        <v/>
      </c>
      <c r="H3375" s="73"/>
      <c r="I3375" s="74"/>
      <c r="J3375" s="155">
        <v>0</v>
      </c>
    </row>
    <row r="3376" spans="1:10" ht="15.75" hidden="1" thickBot="1" x14ac:dyDescent="0.3">
      <c r="A3376" s="180" t="s">
        <v>1063</v>
      </c>
      <c r="B3376" s="186" t="str">
        <f>INDEX(Orçamentária!A:B,MATCH(Composições!A3376,Orçamentária!A:A,0),2)</f>
        <v>Remoção de placas de rocha ornamental argamassada, para reaproveitamento</v>
      </c>
      <c r="C3376" s="41"/>
      <c r="D3376" s="26" t="str">
        <f>TRIM(INDEX(Orçamentária!C:C,MATCH(Composições!A3376,Orçamentária!A:A,0),1))</f>
        <v>m2</v>
      </c>
      <c r="E3376" s="27"/>
      <c r="F3376" s="49" t="s">
        <v>558</v>
      </c>
      <c r="G3376" s="28" t="str">
        <f>IF(ISNUMBER(F3376),E3376*F3376,"")</f>
        <v/>
      </c>
      <c r="H3376" s="29"/>
      <c r="I3376" s="30"/>
      <c r="J3376" s="155">
        <v>0</v>
      </c>
    </row>
    <row r="3377" spans="1:10" ht="15.75" hidden="1" thickBot="1" x14ac:dyDescent="0.3">
      <c r="A3377" s="200"/>
      <c r="B3377" s="202"/>
      <c r="C3377" s="32"/>
      <c r="D3377" s="32"/>
      <c r="E3377" s="33"/>
      <c r="F3377" s="54" t="s">
        <v>558</v>
      </c>
      <c r="G3377" s="54" t="str">
        <f>IF(ISNUMBER(F3377),E3377*F3377,"")</f>
        <v/>
      </c>
      <c r="H3377" s="73"/>
      <c r="I3377" s="74"/>
      <c r="J3377" s="155">
        <v>0</v>
      </c>
    </row>
    <row r="3378" spans="1:10" ht="15.75" hidden="1" thickBot="1" x14ac:dyDescent="0.3">
      <c r="A3378" s="200"/>
      <c r="B3378" s="202"/>
      <c r="C3378" s="36" t="s">
        <v>54</v>
      </c>
      <c r="D3378" s="36" t="s">
        <v>12</v>
      </c>
      <c r="E3378" s="37">
        <v>1.2</v>
      </c>
      <c r="F3378" s="54">
        <v>18.9145</v>
      </c>
      <c r="G3378" s="54">
        <f>IF(ISNUMBER(F3378),E3378*F3378,"")</f>
        <v>22.697399999999998</v>
      </c>
      <c r="H3378" s="39">
        <f>SUM(G3378:G3379)</f>
        <v>42.772799999999997</v>
      </c>
      <c r="I3378" s="40"/>
      <c r="J3378" s="155">
        <v>0</v>
      </c>
    </row>
    <row r="3379" spans="1:10" ht="15.75" hidden="1" thickBot="1" x14ac:dyDescent="0.3">
      <c r="A3379" s="200"/>
      <c r="B3379" s="202"/>
      <c r="C3379" s="36" t="s">
        <v>23</v>
      </c>
      <c r="D3379" s="36" t="s">
        <v>12</v>
      </c>
      <c r="E3379" s="37">
        <v>1.2</v>
      </c>
      <c r="F3379" s="54">
        <v>16.729499999999998</v>
      </c>
      <c r="G3379" s="54">
        <f>IF(ISNUMBER(F3379),E3379*F3379,"")</f>
        <v>20.075399999999998</v>
      </c>
      <c r="H3379" s="73"/>
      <c r="I3379" s="74"/>
      <c r="J3379" s="155">
        <v>0</v>
      </c>
    </row>
    <row r="3380" spans="1:10" ht="15.75" hidden="1" thickBot="1" x14ac:dyDescent="0.3">
      <c r="A3380" s="201"/>
      <c r="B3380" s="188"/>
      <c r="C3380" s="36"/>
      <c r="D3380" s="36"/>
      <c r="E3380" s="37"/>
      <c r="F3380" s="54" t="s">
        <v>558</v>
      </c>
      <c r="G3380" s="54" t="str">
        <f>IF(ISNUMBER(F3380),E3380*F3380,"")</f>
        <v/>
      </c>
      <c r="H3380" s="73"/>
      <c r="I3380" s="74"/>
      <c r="J3380" s="155">
        <v>0</v>
      </c>
    </row>
    <row r="3381" spans="1:10" ht="15.75" hidden="1" thickBot="1" x14ac:dyDescent="0.3">
      <c r="A3381" s="180" t="s">
        <v>1064</v>
      </c>
      <c r="B3381" s="186" t="str">
        <f>INDEX(Orçamentária!A:B,MATCH(Composições!A3381,Orçamentária!A:A,0),2)</f>
        <v>Identificação e acondicionamento de placas de rocha ornamental</v>
      </c>
      <c r="C3381" s="41"/>
      <c r="D3381" s="26" t="str">
        <f>TRIM(INDEX(Orçamentária!C:C,MATCH(Composições!A3381,Orçamentária!A:A,0),1))</f>
        <v>m2</v>
      </c>
      <c r="E3381" s="27"/>
      <c r="F3381" s="49" t="s">
        <v>558</v>
      </c>
      <c r="G3381" s="28" t="str">
        <f>IF(ISNUMBER(F3381),E3381*F3381,"")</f>
        <v/>
      </c>
      <c r="H3381" s="29"/>
      <c r="I3381" s="30"/>
      <c r="J3381" s="155">
        <v>0</v>
      </c>
    </row>
    <row r="3382" spans="1:10" ht="15.75" hidden="1" thickBot="1" x14ac:dyDescent="0.3">
      <c r="A3382" s="200"/>
      <c r="B3382" s="202"/>
      <c r="C3382" s="32"/>
      <c r="D3382" s="32"/>
      <c r="E3382" s="33"/>
      <c r="F3382" s="54" t="s">
        <v>558</v>
      </c>
      <c r="G3382" s="54" t="str">
        <f>IF(ISNUMBER(F3382),E3382*F3382,"")</f>
        <v/>
      </c>
      <c r="H3382" s="73"/>
      <c r="I3382" s="74"/>
      <c r="J3382" s="155">
        <v>0</v>
      </c>
    </row>
    <row r="3383" spans="1:10" ht="15.75" hidden="1" thickBot="1" x14ac:dyDescent="0.3">
      <c r="A3383" s="200"/>
      <c r="B3383" s="202"/>
      <c r="C3383" s="36" t="s">
        <v>1065</v>
      </c>
      <c r="D3383" s="36" t="s">
        <v>95</v>
      </c>
      <c r="E3383" s="37">
        <v>1.05</v>
      </c>
      <c r="F3383" s="54">
        <v>3.7905000000000002</v>
      </c>
      <c r="G3383" s="54">
        <f>IF(ISNUMBER(F3383),E3383*F3383,"")</f>
        <v>3.9800250000000004</v>
      </c>
      <c r="H3383" s="39">
        <f>SUM(G3383:G3384)</f>
        <v>7.3259249999999998</v>
      </c>
      <c r="I3383" s="40"/>
      <c r="J3383" s="155">
        <v>0</v>
      </c>
    </row>
    <row r="3384" spans="1:10" ht="15.75" hidden="1" thickBot="1" x14ac:dyDescent="0.3">
      <c r="A3384" s="200"/>
      <c r="B3384" s="202"/>
      <c r="C3384" s="36" t="s">
        <v>23</v>
      </c>
      <c r="D3384" s="36" t="s">
        <v>12</v>
      </c>
      <c r="E3384" s="37">
        <v>0.2</v>
      </c>
      <c r="F3384" s="54">
        <v>16.729499999999998</v>
      </c>
      <c r="G3384" s="54">
        <f>IF(ISNUMBER(F3384),E3384*F3384,"")</f>
        <v>3.3458999999999999</v>
      </c>
      <c r="H3384" s="73"/>
      <c r="I3384" s="74"/>
      <c r="J3384" s="155">
        <v>0</v>
      </c>
    </row>
    <row r="3385" spans="1:10" ht="15.75" hidden="1" thickBot="1" x14ac:dyDescent="0.3">
      <c r="A3385" s="201"/>
      <c r="B3385" s="188"/>
      <c r="C3385" s="36"/>
      <c r="D3385" s="36"/>
      <c r="E3385" s="37"/>
      <c r="F3385" s="54" t="s">
        <v>558</v>
      </c>
      <c r="G3385" s="54" t="str">
        <f>IF(ISNUMBER(F3385),E3385*F3385,"")</f>
        <v/>
      </c>
      <c r="H3385" s="73"/>
      <c r="I3385" s="74"/>
      <c r="J3385" s="155">
        <v>0</v>
      </c>
    </row>
    <row r="3386" spans="1:10" ht="15.75" hidden="1" thickBot="1" x14ac:dyDescent="0.3">
      <c r="A3386" s="180" t="s">
        <v>1066</v>
      </c>
      <c r="B3386" s="186" t="str">
        <f>INDEX(Orçamentária!A:B,MATCH(Composições!A3386,Orçamentária!A:A,0),2)</f>
        <v>Limpeza de placas de rocha ornamental argamassada, para reaproveitamento</v>
      </c>
      <c r="C3386" s="41"/>
      <c r="D3386" s="26" t="str">
        <f>TRIM(INDEX(Orçamentária!C:C,MATCH(Composições!A3386,Orçamentária!A:A,0),1))</f>
        <v>m2</v>
      </c>
      <c r="E3386" s="27"/>
      <c r="F3386" s="49" t="s">
        <v>558</v>
      </c>
      <c r="G3386" s="28" t="str">
        <f>IF(ISNUMBER(F3386),E3386*F3386,"")</f>
        <v/>
      </c>
      <c r="H3386" s="29"/>
      <c r="I3386" s="30"/>
      <c r="J3386" s="155">
        <v>0</v>
      </c>
    </row>
    <row r="3387" spans="1:10" ht="15.75" hidden="1" thickBot="1" x14ac:dyDescent="0.3">
      <c r="A3387" s="200"/>
      <c r="B3387" s="202"/>
      <c r="C3387" s="32"/>
      <c r="D3387" s="32"/>
      <c r="E3387" s="33"/>
      <c r="F3387" s="54" t="s">
        <v>558</v>
      </c>
      <c r="G3387" s="54" t="str">
        <f>IF(ISNUMBER(F3387),E3387*F3387,"")</f>
        <v/>
      </c>
      <c r="H3387" s="73"/>
      <c r="I3387" s="74"/>
      <c r="J3387" s="155">
        <v>0</v>
      </c>
    </row>
    <row r="3388" spans="1:10" ht="15.75" hidden="1" thickBot="1" x14ac:dyDescent="0.3">
      <c r="A3388" s="200"/>
      <c r="B3388" s="202"/>
      <c r="C3388" s="36" t="s">
        <v>23</v>
      </c>
      <c r="D3388" s="36" t="s">
        <v>12</v>
      </c>
      <c r="E3388" s="37">
        <v>0.3</v>
      </c>
      <c r="F3388" s="54">
        <v>16.729499999999998</v>
      </c>
      <c r="G3388" s="54">
        <f>IF(ISNUMBER(F3388),E3388*F3388,"")</f>
        <v>5.0188499999999996</v>
      </c>
      <c r="H3388" s="39">
        <f>SUM(G3388)</f>
        <v>5.0188499999999996</v>
      </c>
      <c r="I3388" s="40"/>
      <c r="J3388" s="155">
        <v>0</v>
      </c>
    </row>
    <row r="3389" spans="1:10" ht="15.75" hidden="1" thickBot="1" x14ac:dyDescent="0.3">
      <c r="A3389" s="201"/>
      <c r="B3389" s="188"/>
      <c r="C3389" s="36"/>
      <c r="D3389" s="36"/>
      <c r="E3389" s="37"/>
      <c r="F3389" s="54" t="s">
        <v>558</v>
      </c>
      <c r="G3389" s="54" t="str">
        <f>IF(ISNUMBER(F3389),E3389*F3389,"")</f>
        <v/>
      </c>
      <c r="H3389" s="73"/>
      <c r="I3389" s="74"/>
      <c r="J3389" s="155">
        <v>0</v>
      </c>
    </row>
    <row r="3390" spans="1:10" ht="15.75" hidden="1" thickBot="1" x14ac:dyDescent="0.3">
      <c r="A3390" s="180" t="s">
        <v>1067</v>
      </c>
      <c r="B3390" s="186" t="str">
        <f>INDEX(Orçamentária!A:B,MATCH(Composições!A3390,Orçamentária!A:A,0),2)</f>
        <v>Remoção e acondicionamento de fixadores metálicos para placas de mármore em fachada (modelo Ed. Principal)</v>
      </c>
      <c r="C3390" s="41"/>
      <c r="D3390" s="26" t="str">
        <f>TRIM(INDEX(Orçamentária!C:C,MATCH(Composições!A3390,Orçamentária!A:A,0),1))</f>
        <v>un</v>
      </c>
      <c r="E3390" s="27"/>
      <c r="F3390" s="49" t="s">
        <v>558</v>
      </c>
      <c r="G3390" s="28" t="str">
        <f>IF(ISNUMBER(F3390),E3390*F3390,"")</f>
        <v/>
      </c>
      <c r="H3390" s="29"/>
      <c r="I3390" s="30"/>
      <c r="J3390" s="155">
        <v>0</v>
      </c>
    </row>
    <row r="3391" spans="1:10" ht="15.75" hidden="1" thickBot="1" x14ac:dyDescent="0.3">
      <c r="A3391" s="200"/>
      <c r="B3391" s="202"/>
      <c r="C3391" s="32"/>
      <c r="D3391" s="32"/>
      <c r="E3391" s="33"/>
      <c r="F3391" s="54" t="s">
        <v>558</v>
      </c>
      <c r="G3391" s="54" t="str">
        <f>IF(ISNUMBER(F3391),E3391*F3391,"")</f>
        <v/>
      </c>
      <c r="H3391" s="73"/>
      <c r="I3391" s="74"/>
      <c r="J3391" s="155">
        <v>0</v>
      </c>
    </row>
    <row r="3392" spans="1:10" ht="15.75" hidden="1" thickBot="1" x14ac:dyDescent="0.3">
      <c r="A3392" s="200"/>
      <c r="B3392" s="202"/>
      <c r="C3392" s="36" t="s">
        <v>23</v>
      </c>
      <c r="D3392" s="36" t="s">
        <v>12</v>
      </c>
      <c r="E3392" s="37">
        <v>0.1</v>
      </c>
      <c r="F3392" s="54">
        <v>16.729499999999998</v>
      </c>
      <c r="G3392" s="54">
        <f>IF(ISNUMBER(F3392),E3392*F3392,"")</f>
        <v>1.6729499999999999</v>
      </c>
      <c r="H3392" s="39">
        <f>SUM(G3392)</f>
        <v>1.6729499999999999</v>
      </c>
      <c r="I3392" s="40"/>
      <c r="J3392" s="155">
        <v>0</v>
      </c>
    </row>
    <row r="3393" spans="1:10" ht="15.75" hidden="1" thickBot="1" x14ac:dyDescent="0.3">
      <c r="A3393" s="201"/>
      <c r="B3393" s="188"/>
      <c r="C3393" s="36"/>
      <c r="D3393" s="36"/>
      <c r="E3393" s="37"/>
      <c r="F3393" s="54" t="s">
        <v>558</v>
      </c>
      <c r="G3393" s="54" t="str">
        <f>IF(ISNUMBER(F3393),E3393*F3393,"")</f>
        <v/>
      </c>
      <c r="H3393" s="73"/>
      <c r="I3393" s="74"/>
      <c r="J3393" s="155">
        <v>0</v>
      </c>
    </row>
    <row r="3394" spans="1:10" ht="15.75" hidden="1" thickBot="1" x14ac:dyDescent="0.3">
      <c r="A3394" s="180" t="s">
        <v>1068</v>
      </c>
      <c r="B3394" s="186" t="str">
        <f>INDEX(Orçamentária!A:B,MATCH(Composições!A3394,Orçamentária!A:A,0),2)</f>
        <v>Instalação de fixadores metálicos para placas de mármore em fachada reaproveitados (modelo Ed. Principal)</v>
      </c>
      <c r="C3394" s="41"/>
      <c r="D3394" s="26" t="str">
        <f>TRIM(INDEX(Orçamentária!C:C,MATCH(Composições!A3394,Orçamentária!A:A,0),1))</f>
        <v>un</v>
      </c>
      <c r="E3394" s="27"/>
      <c r="F3394" s="49" t="s">
        <v>558</v>
      </c>
      <c r="G3394" s="28" t="str">
        <f>IF(ISNUMBER(F3394),E3394*F3394,"")</f>
        <v/>
      </c>
      <c r="H3394" s="29"/>
      <c r="I3394" s="30"/>
      <c r="J3394" s="155">
        <v>0</v>
      </c>
    </row>
    <row r="3395" spans="1:10" ht="15.75" hidden="1" thickBot="1" x14ac:dyDescent="0.3">
      <c r="A3395" s="200"/>
      <c r="B3395" s="202"/>
      <c r="C3395" s="32"/>
      <c r="D3395" s="32"/>
      <c r="E3395" s="33"/>
      <c r="F3395" s="54" t="s">
        <v>558</v>
      </c>
      <c r="G3395" s="54" t="str">
        <f>IF(ISNUMBER(F3395),E3395*F3395,"")</f>
        <v/>
      </c>
      <c r="H3395" s="73"/>
      <c r="I3395" s="74"/>
      <c r="J3395" s="155">
        <v>0</v>
      </c>
    </row>
    <row r="3396" spans="1:10" ht="15.75" hidden="1" thickBot="1" x14ac:dyDescent="0.3">
      <c r="A3396" s="200"/>
      <c r="B3396" s="202"/>
      <c r="C3396" s="36" t="s">
        <v>22</v>
      </c>
      <c r="D3396" s="36" t="s">
        <v>12</v>
      </c>
      <c r="E3396" s="37">
        <f>0.1+0.1</f>
        <v>0.2</v>
      </c>
      <c r="F3396" s="54">
        <v>22.704999999999998</v>
      </c>
      <c r="G3396" s="54">
        <f>IF(ISNUMBER(F3396),E3396*F3396,"")</f>
        <v>4.5409999999999995</v>
      </c>
      <c r="H3396" s="39">
        <f>SUM(G3396:G3400)</f>
        <v>8.0803926803009993</v>
      </c>
      <c r="I3396" s="40"/>
      <c r="J3396" s="155">
        <v>0</v>
      </c>
    </row>
    <row r="3397" spans="1:10" ht="15.75" hidden="1" thickBot="1" x14ac:dyDescent="0.3">
      <c r="A3397" s="200"/>
      <c r="B3397" s="202"/>
      <c r="C3397" s="36" t="s">
        <v>23</v>
      </c>
      <c r="D3397" s="36" t="s">
        <v>12</v>
      </c>
      <c r="E3397" s="37">
        <f>0.1+0.1</f>
        <v>0.2</v>
      </c>
      <c r="F3397" s="54">
        <v>16.729499999999998</v>
      </c>
      <c r="G3397" s="54">
        <f>IF(ISNUMBER(F3397),E3397*F3397,"")</f>
        <v>3.3458999999999999</v>
      </c>
      <c r="H3397" s="73"/>
      <c r="I3397" s="74"/>
      <c r="J3397" s="155">
        <v>0</v>
      </c>
    </row>
    <row r="3398" spans="1:10" ht="15.75" hidden="1" thickBot="1" x14ac:dyDescent="0.3">
      <c r="A3398" s="200"/>
      <c r="B3398" s="202"/>
      <c r="C3398" s="36" t="s">
        <v>1069</v>
      </c>
      <c r="D3398" s="36" t="s">
        <v>147</v>
      </c>
      <c r="E3398" s="37">
        <f>0.016*2</f>
        <v>3.2000000000000001E-2</v>
      </c>
      <c r="F3398" s="54">
        <v>0</v>
      </c>
      <c r="G3398" s="54">
        <f>IF(ISNUMBER(F3398),E3398*F3398,"")</f>
        <v>0</v>
      </c>
      <c r="H3398" s="73"/>
      <c r="I3398" s="74"/>
      <c r="J3398" s="155">
        <v>0</v>
      </c>
    </row>
    <row r="3399" spans="1:10" ht="15.75" hidden="1" thickBot="1" x14ac:dyDescent="0.3">
      <c r="A3399" s="200"/>
      <c r="B3399" s="202"/>
      <c r="C3399" s="36" t="s">
        <v>1070</v>
      </c>
      <c r="D3399" s="36" t="s">
        <v>1071</v>
      </c>
      <c r="E3399" s="37">
        <f>0.1*2</f>
        <v>0.2</v>
      </c>
      <c r="F3399" s="54">
        <v>0</v>
      </c>
      <c r="G3399" s="54">
        <f>IF(ISNUMBER(F3399),E3399*F3399,"")</f>
        <v>0</v>
      </c>
      <c r="H3399" s="73"/>
      <c r="I3399" s="74"/>
      <c r="J3399" s="155">
        <v>0</v>
      </c>
    </row>
    <row r="3400" spans="1:10" ht="39" hidden="1" thickBot="1" x14ac:dyDescent="0.3">
      <c r="A3400" s="200"/>
      <c r="B3400" s="202"/>
      <c r="C3400" s="36" t="s">
        <v>1072</v>
      </c>
      <c r="D3400" s="36" t="s">
        <v>110</v>
      </c>
      <c r="E3400" s="37">
        <f>ROUND(0.15*0.05*0.05,4)</f>
        <v>4.0000000000000002E-4</v>
      </c>
      <c r="F3400" s="54">
        <v>483.73170075249999</v>
      </c>
      <c r="G3400" s="54">
        <f>IF(ISNUMBER(F3400),E3400*F3400,"")</f>
        <v>0.193492680301</v>
      </c>
      <c r="H3400" s="73"/>
      <c r="I3400" s="74"/>
      <c r="J3400" s="155">
        <v>0</v>
      </c>
    </row>
    <row r="3401" spans="1:10" ht="15.75" hidden="1" thickBot="1" x14ac:dyDescent="0.3">
      <c r="A3401" s="200"/>
      <c r="B3401" s="202"/>
      <c r="C3401" s="36"/>
      <c r="D3401" s="36"/>
      <c r="E3401" s="37"/>
      <c r="F3401" s="54" t="s">
        <v>558</v>
      </c>
      <c r="G3401" s="54" t="str">
        <f>IF(ISNUMBER(F3401),E3401*F3401,"")</f>
        <v/>
      </c>
      <c r="H3401" s="73"/>
      <c r="I3401" s="74"/>
      <c r="J3401" s="155">
        <v>0</v>
      </c>
    </row>
    <row r="3402" spans="1:10" ht="15.75" hidden="1" thickBot="1" x14ac:dyDescent="0.3">
      <c r="A3402" s="200"/>
      <c r="B3402" s="202"/>
      <c r="C3402" s="152" t="s">
        <v>1073</v>
      </c>
      <c r="D3402" s="36"/>
      <c r="E3402" s="37"/>
      <c r="F3402" s="54" t="s">
        <v>558</v>
      </c>
      <c r="G3402" s="54" t="str">
        <f>IF(ISNUMBER(F3402),E3402*F3402,"")</f>
        <v/>
      </c>
      <c r="H3402" s="73"/>
      <c r="I3402" s="74"/>
      <c r="J3402" s="155">
        <v>0</v>
      </c>
    </row>
    <row r="3403" spans="1:10" ht="15.75" hidden="1" thickBot="1" x14ac:dyDescent="0.3">
      <c r="A3403" s="201"/>
      <c r="B3403" s="188"/>
      <c r="C3403" s="36"/>
      <c r="D3403" s="36"/>
      <c r="E3403" s="37"/>
      <c r="F3403" s="54" t="s">
        <v>558</v>
      </c>
      <c r="G3403" s="54" t="str">
        <f>IF(ISNUMBER(F3403),E3403*F3403,"")</f>
        <v/>
      </c>
      <c r="H3403" s="73"/>
      <c r="I3403" s="74"/>
      <c r="J3403" s="155">
        <v>0</v>
      </c>
    </row>
    <row r="3404" spans="1:10" ht="15.75" hidden="1" thickBot="1" x14ac:dyDescent="0.3">
      <c r="A3404" s="180" t="s">
        <v>1074</v>
      </c>
      <c r="B3404" s="186" t="str">
        <f>INDEX(Orçamentária!A:B,MATCH(Composições!A3404,Orçamentária!A:A,0),2)</f>
        <v>Fixadores metálicos para rochas ornamentais (tipo Ed. Principal, peça superior)</v>
      </c>
      <c r="C3404" s="41"/>
      <c r="D3404" s="26" t="str">
        <f>TRIM(INDEX(Orçamentária!C:C,MATCH(Composições!A3404,Orçamentária!A:A,0),1))</f>
        <v>un</v>
      </c>
      <c r="E3404" s="27"/>
      <c r="F3404" s="49" t="s">
        <v>558</v>
      </c>
      <c r="G3404" s="28" t="str">
        <f>IF(ISNUMBER(F3404),E3404*F3404,"")</f>
        <v/>
      </c>
      <c r="H3404" s="29"/>
      <c r="I3404" s="30"/>
      <c r="J3404" s="155">
        <v>0</v>
      </c>
    </row>
    <row r="3405" spans="1:10" ht="15.75" hidden="1" thickBot="1" x14ac:dyDescent="0.3">
      <c r="A3405" s="200"/>
      <c r="B3405" s="202"/>
      <c r="C3405" s="32"/>
      <c r="D3405" s="32"/>
      <c r="E3405" s="33"/>
      <c r="F3405" s="54" t="s">
        <v>558</v>
      </c>
      <c r="G3405" s="54" t="str">
        <f>IF(ISNUMBER(F3405),E3405*F3405,"")</f>
        <v/>
      </c>
      <c r="H3405" s="73"/>
      <c r="I3405" s="74"/>
      <c r="J3405" s="155">
        <v>0</v>
      </c>
    </row>
    <row r="3406" spans="1:10" ht="15.75" hidden="1" thickBot="1" x14ac:dyDescent="0.3">
      <c r="A3406" s="200"/>
      <c r="B3406" s="202"/>
      <c r="C3406" s="36" t="s">
        <v>22</v>
      </c>
      <c r="D3406" s="36" t="s">
        <v>12</v>
      </c>
      <c r="E3406" s="37">
        <f>0.1+0.1</f>
        <v>0.2</v>
      </c>
      <c r="F3406" s="54">
        <v>22.704999999999998</v>
      </c>
      <c r="G3406" s="54">
        <f>IF(ISNUMBER(F3406),E3406*F3406,"")</f>
        <v>4.5409999999999995</v>
      </c>
      <c r="H3406" s="39">
        <f>SUM(G3406:G3411)</f>
        <v>8.0803926803009993</v>
      </c>
      <c r="I3406" s="40"/>
      <c r="J3406" s="155">
        <v>0</v>
      </c>
    </row>
    <row r="3407" spans="1:10" ht="15.75" hidden="1" thickBot="1" x14ac:dyDescent="0.3">
      <c r="A3407" s="200"/>
      <c r="B3407" s="202"/>
      <c r="C3407" s="36" t="s">
        <v>23</v>
      </c>
      <c r="D3407" s="36" t="s">
        <v>12</v>
      </c>
      <c r="E3407" s="37">
        <f>0.1+0.1</f>
        <v>0.2</v>
      </c>
      <c r="F3407" s="54">
        <v>16.729499999999998</v>
      </c>
      <c r="G3407" s="54">
        <f>IF(ISNUMBER(F3407),E3407*F3407,"")</f>
        <v>3.3458999999999999</v>
      </c>
      <c r="H3407" s="73"/>
      <c r="I3407" s="74"/>
      <c r="J3407" s="155">
        <v>0</v>
      </c>
    </row>
    <row r="3408" spans="1:10" ht="15.75" hidden="1" thickBot="1" x14ac:dyDescent="0.3">
      <c r="A3408" s="200"/>
      <c r="B3408" s="202"/>
      <c r="C3408" s="36" t="s">
        <v>1069</v>
      </c>
      <c r="D3408" s="36" t="s">
        <v>147</v>
      </c>
      <c r="E3408" s="37">
        <f>0.016*2</f>
        <v>3.2000000000000001E-2</v>
      </c>
      <c r="F3408" s="54">
        <v>0</v>
      </c>
      <c r="G3408" s="54">
        <f>IF(ISNUMBER(F3408),E3408*F3408,"")</f>
        <v>0</v>
      </c>
      <c r="H3408" s="73"/>
      <c r="I3408" s="74"/>
      <c r="J3408" s="155">
        <v>0</v>
      </c>
    </row>
    <row r="3409" spans="1:10" ht="15.75" hidden="1" thickBot="1" x14ac:dyDescent="0.3">
      <c r="A3409" s="200"/>
      <c r="B3409" s="202"/>
      <c r="C3409" s="36" t="s">
        <v>1070</v>
      </c>
      <c r="D3409" s="36" t="s">
        <v>1071</v>
      </c>
      <c r="E3409" s="37">
        <f>0.1*2</f>
        <v>0.2</v>
      </c>
      <c r="F3409" s="54">
        <v>0</v>
      </c>
      <c r="G3409" s="54">
        <f>IF(ISNUMBER(F3409),E3409*F3409,"")</f>
        <v>0</v>
      </c>
      <c r="H3409" s="73"/>
      <c r="I3409" s="74"/>
      <c r="J3409" s="155">
        <v>0</v>
      </c>
    </row>
    <row r="3410" spans="1:10" ht="15.75" hidden="1" thickBot="1" x14ac:dyDescent="0.3">
      <c r="A3410" s="200"/>
      <c r="B3410" s="202"/>
      <c r="C3410" s="36" t="s">
        <v>1075</v>
      </c>
      <c r="D3410" s="36" t="s">
        <v>147</v>
      </c>
      <c r="E3410" s="37">
        <v>1</v>
      </c>
      <c r="F3410" s="54" t="s">
        <v>558</v>
      </c>
      <c r="G3410" s="54" t="str">
        <f>IF(ISNUMBER(F3410),E3410*F3410,"")</f>
        <v/>
      </c>
      <c r="H3410" s="73"/>
      <c r="I3410" s="74"/>
      <c r="J3410" s="155">
        <v>0</v>
      </c>
    </row>
    <row r="3411" spans="1:10" ht="39" hidden="1" thickBot="1" x14ac:dyDescent="0.3">
      <c r="A3411" s="200"/>
      <c r="B3411" s="202"/>
      <c r="C3411" s="36" t="s">
        <v>1072</v>
      </c>
      <c r="D3411" s="36" t="s">
        <v>110</v>
      </c>
      <c r="E3411" s="37">
        <f>ROUND(0.15*0.05*0.05,4)</f>
        <v>4.0000000000000002E-4</v>
      </c>
      <c r="F3411" s="54">
        <v>483.73170075249999</v>
      </c>
      <c r="G3411" s="54">
        <f>IF(ISNUMBER(F3411),E3411*F3411,"")</f>
        <v>0.193492680301</v>
      </c>
      <c r="H3411" s="73"/>
      <c r="I3411" s="74"/>
      <c r="J3411" s="155">
        <v>0</v>
      </c>
    </row>
    <row r="3412" spans="1:10" ht="15.75" hidden="1" thickBot="1" x14ac:dyDescent="0.3">
      <c r="A3412" s="200"/>
      <c r="B3412" s="202"/>
      <c r="C3412" s="36"/>
      <c r="D3412" s="36"/>
      <c r="E3412" s="37"/>
      <c r="F3412" s="54" t="s">
        <v>558</v>
      </c>
      <c r="G3412" s="54" t="str">
        <f>IF(ISNUMBER(F3412),E3412*F3412,"")</f>
        <v/>
      </c>
      <c r="H3412" s="73"/>
      <c r="I3412" s="74"/>
      <c r="J3412" s="155">
        <v>0</v>
      </c>
    </row>
    <row r="3413" spans="1:10" ht="15.75" hidden="1" thickBot="1" x14ac:dyDescent="0.3">
      <c r="A3413" s="200"/>
      <c r="B3413" s="202"/>
      <c r="C3413" s="152" t="s">
        <v>1073</v>
      </c>
      <c r="D3413" s="36"/>
      <c r="E3413" s="37"/>
      <c r="F3413" s="54" t="s">
        <v>558</v>
      </c>
      <c r="G3413" s="54" t="str">
        <f>IF(ISNUMBER(F3413),E3413*F3413,"")</f>
        <v/>
      </c>
      <c r="H3413" s="73"/>
      <c r="I3413" s="74"/>
      <c r="J3413" s="155">
        <v>0</v>
      </c>
    </row>
    <row r="3414" spans="1:10" ht="15.75" hidden="1" thickBot="1" x14ac:dyDescent="0.3">
      <c r="A3414" s="201"/>
      <c r="B3414" s="188"/>
      <c r="C3414" s="36"/>
      <c r="D3414" s="36"/>
      <c r="E3414" s="37"/>
      <c r="F3414" s="54" t="s">
        <v>558</v>
      </c>
      <c r="G3414" s="54" t="str">
        <f>IF(ISNUMBER(F3414),E3414*F3414,"")</f>
        <v/>
      </c>
      <c r="H3414" s="73"/>
      <c r="I3414" s="74"/>
      <c r="J3414" s="155">
        <v>0</v>
      </c>
    </row>
    <row r="3415" spans="1:10" ht="15.75" hidden="1" thickBot="1" x14ac:dyDescent="0.3">
      <c r="A3415" s="180" t="s">
        <v>1076</v>
      </c>
      <c r="B3415" s="186" t="str">
        <f>INDEX(Orçamentária!A:B,MATCH(Composições!A3415,Orçamentária!A:A,0),2)</f>
        <v>Mármore Branco Especial 20 mm argamassado (Ed. Principal e Anexo 1)</v>
      </c>
      <c r="C3415" s="41"/>
      <c r="D3415" s="26" t="str">
        <f>TRIM(INDEX(Orçamentária!C:C,MATCH(Composições!A3415,Orçamentária!A:A,0),1))</f>
        <v>m2</v>
      </c>
      <c r="E3415" s="27"/>
      <c r="F3415" s="49" t="s">
        <v>558</v>
      </c>
      <c r="G3415" s="28" t="str">
        <f>IF(ISNUMBER(F3415),E3415*F3415,"")</f>
        <v/>
      </c>
      <c r="H3415" s="29"/>
      <c r="I3415" s="30"/>
      <c r="J3415" s="155">
        <v>0</v>
      </c>
    </row>
    <row r="3416" spans="1:10" ht="15.75" hidden="1" thickBot="1" x14ac:dyDescent="0.3">
      <c r="A3416" s="200"/>
      <c r="B3416" s="202"/>
      <c r="C3416" s="32"/>
      <c r="D3416" s="32"/>
      <c r="E3416" s="33"/>
      <c r="F3416" s="54" t="s">
        <v>558</v>
      </c>
      <c r="G3416" s="54" t="str">
        <f>IF(ISNUMBER(F3416),E3416*F3416,"")</f>
        <v/>
      </c>
      <c r="H3416" s="73"/>
      <c r="I3416" s="74"/>
      <c r="J3416" s="155">
        <v>0</v>
      </c>
    </row>
    <row r="3417" spans="1:10" ht="15.75" hidden="1" thickBot="1" x14ac:dyDescent="0.3">
      <c r="A3417" s="200"/>
      <c r="B3417" s="202"/>
      <c r="C3417" s="36" t="s">
        <v>1077</v>
      </c>
      <c r="D3417" s="36" t="s">
        <v>95</v>
      </c>
      <c r="E3417" s="37">
        <v>1.05</v>
      </c>
      <c r="F3417" s="54" t="s">
        <v>558</v>
      </c>
      <c r="G3417" s="54" t="str">
        <f>IF(ISNUMBER(F3417),E3417*F3417,"")</f>
        <v/>
      </c>
      <c r="H3417" s="39">
        <f>SUM(G3417:G3421)</f>
        <v>42.22417500000001</v>
      </c>
      <c r="I3417" s="40"/>
      <c r="J3417" s="155">
        <v>0</v>
      </c>
    </row>
    <row r="3418" spans="1:10" ht="15.75" hidden="1" thickBot="1" x14ac:dyDescent="0.3">
      <c r="A3418" s="200"/>
      <c r="B3418" s="202"/>
      <c r="C3418" s="36" t="s">
        <v>54</v>
      </c>
      <c r="D3418" s="36" t="s">
        <v>12</v>
      </c>
      <c r="E3418" s="37">
        <v>1.35</v>
      </c>
      <c r="F3418" s="54">
        <v>18.9145</v>
      </c>
      <c r="G3418" s="54">
        <f>IF(ISNUMBER(F3418),E3418*F3418,"")</f>
        <v>25.534575000000004</v>
      </c>
      <c r="H3418" s="73"/>
      <c r="I3418" s="74"/>
      <c r="J3418" s="155">
        <v>0</v>
      </c>
    </row>
    <row r="3419" spans="1:10" ht="15.75" hidden="1" thickBot="1" x14ac:dyDescent="0.3">
      <c r="A3419" s="200"/>
      <c r="B3419" s="202"/>
      <c r="C3419" s="36" t="s">
        <v>23</v>
      </c>
      <c r="D3419" s="36" t="s">
        <v>12</v>
      </c>
      <c r="E3419" s="37">
        <v>0.6</v>
      </c>
      <c r="F3419" s="54">
        <v>16.729499999999998</v>
      </c>
      <c r="G3419" s="54">
        <f>IF(ISNUMBER(F3419),E3419*F3419,"")</f>
        <v>10.037699999999999</v>
      </c>
      <c r="H3419" s="73"/>
      <c r="I3419" s="74"/>
      <c r="J3419" s="155">
        <v>0</v>
      </c>
    </row>
    <row r="3420" spans="1:10" ht="15.75" hidden="1" thickBot="1" x14ac:dyDescent="0.3">
      <c r="A3420" s="200"/>
      <c r="B3420" s="202"/>
      <c r="C3420" s="36" t="s">
        <v>3619</v>
      </c>
      <c r="D3420" s="36" t="s">
        <v>42</v>
      </c>
      <c r="E3420" s="37">
        <v>4.5</v>
      </c>
      <c r="F3420" s="54">
        <v>1.3109999999999999</v>
      </c>
      <c r="G3420" s="54">
        <f>IF(ISNUMBER(F3420),E3420*F3420,"")</f>
        <v>5.8994999999999997</v>
      </c>
      <c r="H3420" s="73"/>
      <c r="I3420" s="74"/>
      <c r="J3420" s="155">
        <v>0</v>
      </c>
    </row>
    <row r="3421" spans="1:10" ht="15.75" hidden="1" thickBot="1" x14ac:dyDescent="0.3">
      <c r="A3421" s="200"/>
      <c r="B3421" s="202"/>
      <c r="C3421" s="36" t="s">
        <v>3618</v>
      </c>
      <c r="D3421" s="36" t="s">
        <v>42</v>
      </c>
      <c r="E3421" s="37">
        <v>0.3</v>
      </c>
      <c r="F3421" s="54">
        <v>2.508</v>
      </c>
      <c r="G3421" s="54">
        <f>IF(ISNUMBER(F3421),E3421*F3421,"")</f>
        <v>0.75239999999999996</v>
      </c>
      <c r="H3421" s="73"/>
      <c r="I3421" s="74"/>
      <c r="J3421" s="155">
        <v>0</v>
      </c>
    </row>
    <row r="3422" spans="1:10" ht="15.75" hidden="1" thickBot="1" x14ac:dyDescent="0.3">
      <c r="A3422" s="201"/>
      <c r="B3422" s="188"/>
      <c r="C3422" s="36"/>
      <c r="D3422" s="36"/>
      <c r="E3422" s="37"/>
      <c r="F3422" s="54" t="s">
        <v>558</v>
      </c>
      <c r="G3422" s="54" t="str">
        <f>IF(ISNUMBER(F3422),E3422*F3422,"")</f>
        <v/>
      </c>
      <c r="H3422" s="73"/>
      <c r="I3422" s="74"/>
      <c r="J3422" s="155">
        <v>0</v>
      </c>
    </row>
    <row r="3423" spans="1:10" ht="15.75" hidden="1" thickBot="1" x14ac:dyDescent="0.3">
      <c r="A3423" s="180" t="s">
        <v>1078</v>
      </c>
      <c r="B3423" s="186" t="str">
        <f>INDEX(Orçamentária!A:B,MATCH(Composições!A3423,Orçamentária!A:A,0),2)</f>
        <v>Mármore Branco Especial 20 mm com inserts e argamassa (Ed. Principal e Anexo 1)</v>
      </c>
      <c r="C3423" s="41"/>
      <c r="D3423" s="26" t="str">
        <f>TRIM(INDEX(Orçamentária!C:C,MATCH(Composições!A3423,Orçamentária!A:A,0),1))</f>
        <v>m2</v>
      </c>
      <c r="E3423" s="27"/>
      <c r="F3423" s="49" t="s">
        <v>558</v>
      </c>
      <c r="G3423" s="28" t="str">
        <f>IF(ISNUMBER(F3423),E3423*F3423,"")</f>
        <v/>
      </c>
      <c r="H3423" s="29"/>
      <c r="I3423" s="30"/>
      <c r="J3423" s="155">
        <v>0</v>
      </c>
    </row>
    <row r="3424" spans="1:10" ht="15.75" hidden="1" thickBot="1" x14ac:dyDescent="0.3">
      <c r="A3424" s="200"/>
      <c r="B3424" s="202"/>
      <c r="C3424" s="32"/>
      <c r="D3424" s="32"/>
      <c r="E3424" s="33"/>
      <c r="F3424" s="54" t="s">
        <v>558</v>
      </c>
      <c r="G3424" s="54" t="str">
        <f>IF(ISNUMBER(F3424),E3424*F3424,"")</f>
        <v/>
      </c>
      <c r="H3424" s="73"/>
      <c r="I3424" s="74"/>
      <c r="J3424" s="155">
        <v>0</v>
      </c>
    </row>
    <row r="3425" spans="1:10" ht="15.75" hidden="1" thickBot="1" x14ac:dyDescent="0.3">
      <c r="A3425" s="200"/>
      <c r="B3425" s="202"/>
      <c r="C3425" s="36" t="s">
        <v>1077</v>
      </c>
      <c r="D3425" s="36" t="s">
        <v>95</v>
      </c>
      <c r="E3425" s="37">
        <v>1.05</v>
      </c>
      <c r="F3425" s="54" t="s">
        <v>558</v>
      </c>
      <c r="G3425" s="54" t="str">
        <f>IF(ISNUMBER(F3425),E3425*F3425,"")</f>
        <v/>
      </c>
      <c r="H3425" s="39">
        <f>SUM(G3425:G3435)</f>
        <v>57.210823170075258</v>
      </c>
      <c r="I3425" s="40"/>
      <c r="J3425" s="155">
        <v>0</v>
      </c>
    </row>
    <row r="3426" spans="1:10" ht="15.75" hidden="1" thickBot="1" x14ac:dyDescent="0.3">
      <c r="A3426" s="200"/>
      <c r="B3426" s="202"/>
      <c r="C3426" s="36" t="s">
        <v>54</v>
      </c>
      <c r="D3426" s="36" t="s">
        <v>12</v>
      </c>
      <c r="E3426" s="37">
        <f>1.35</f>
        <v>1.35</v>
      </c>
      <c r="F3426" s="54">
        <v>18.9145</v>
      </c>
      <c r="G3426" s="54">
        <f>IF(ISNUMBER(F3426),E3426*F3426,"")</f>
        <v>25.534575000000004</v>
      </c>
      <c r="H3426" s="73"/>
      <c r="I3426" s="74"/>
      <c r="J3426" s="155">
        <v>0</v>
      </c>
    </row>
    <row r="3427" spans="1:10" ht="15.75" hidden="1" thickBot="1" x14ac:dyDescent="0.3">
      <c r="A3427" s="200"/>
      <c r="B3427" s="202"/>
      <c r="C3427" s="36" t="s">
        <v>22</v>
      </c>
      <c r="D3427" s="36" t="s">
        <v>12</v>
      </c>
      <c r="E3427" s="37">
        <v>0.1</v>
      </c>
      <c r="F3427" s="54">
        <v>22.704999999999998</v>
      </c>
      <c r="G3427" s="54">
        <f>IF(ISNUMBER(F3427),E3427*F3427,"")</f>
        <v>2.2704999999999997</v>
      </c>
      <c r="H3427" s="73"/>
      <c r="I3427" s="74"/>
      <c r="J3427" s="155">
        <v>0</v>
      </c>
    </row>
    <row r="3428" spans="1:10" ht="15.75" hidden="1" thickBot="1" x14ac:dyDescent="0.3">
      <c r="A3428" s="200"/>
      <c r="B3428" s="202"/>
      <c r="C3428" s="36" t="s">
        <v>23</v>
      </c>
      <c r="D3428" s="36" t="s">
        <v>12</v>
      </c>
      <c r="E3428" s="37">
        <f>0.6+0.1+0.1</f>
        <v>0.79999999999999993</v>
      </c>
      <c r="F3428" s="54">
        <v>16.729499999999998</v>
      </c>
      <c r="G3428" s="54">
        <f>IF(ISNUMBER(F3428),E3428*F3428,"")</f>
        <v>13.383599999999998</v>
      </c>
      <c r="H3428" s="73"/>
      <c r="I3428" s="74"/>
      <c r="J3428" s="155">
        <v>0</v>
      </c>
    </row>
    <row r="3429" spans="1:10" ht="15.75" hidden="1" thickBot="1" x14ac:dyDescent="0.3">
      <c r="A3429" s="200"/>
      <c r="B3429" s="202"/>
      <c r="C3429" s="36" t="s">
        <v>3619</v>
      </c>
      <c r="D3429" s="36" t="s">
        <v>42</v>
      </c>
      <c r="E3429" s="37">
        <v>4.5</v>
      </c>
      <c r="F3429" s="54">
        <v>1.3109999999999999</v>
      </c>
      <c r="G3429" s="54">
        <f>IF(ISNUMBER(F3429),E3429*F3429,"")</f>
        <v>5.8994999999999997</v>
      </c>
      <c r="H3429" s="73"/>
      <c r="I3429" s="74"/>
      <c r="J3429" s="155">
        <v>0</v>
      </c>
    </row>
    <row r="3430" spans="1:10" ht="15.75" hidden="1" thickBot="1" x14ac:dyDescent="0.3">
      <c r="A3430" s="200"/>
      <c r="B3430" s="202"/>
      <c r="C3430" s="36" t="s">
        <v>3618</v>
      </c>
      <c r="D3430" s="36" t="s">
        <v>42</v>
      </c>
      <c r="E3430" s="37">
        <v>0.3</v>
      </c>
      <c r="F3430" s="54">
        <v>2.508</v>
      </c>
      <c r="G3430" s="54">
        <f>IF(ISNUMBER(F3430),E3430*F3430,"")</f>
        <v>0.75239999999999996</v>
      </c>
      <c r="H3430" s="73"/>
      <c r="I3430" s="74"/>
      <c r="J3430" s="155">
        <v>0</v>
      </c>
    </row>
    <row r="3431" spans="1:10" ht="26.25" hidden="1" thickBot="1" x14ac:dyDescent="0.3">
      <c r="A3431" s="200"/>
      <c r="B3431" s="202"/>
      <c r="C3431" s="36" t="s">
        <v>1079</v>
      </c>
      <c r="D3431" s="36" t="s">
        <v>292</v>
      </c>
      <c r="E3431" s="37">
        <f>2/(0.4*0.8)</f>
        <v>6.2499999999999991</v>
      </c>
      <c r="F3431" s="54">
        <v>1.4915</v>
      </c>
      <c r="G3431" s="54">
        <f>IF(ISNUMBER(F3431),E3431*F3431,"")</f>
        <v>9.3218749999999986</v>
      </c>
      <c r="H3431" s="73"/>
      <c r="I3431" s="74"/>
      <c r="J3431" s="155">
        <v>0</v>
      </c>
    </row>
    <row r="3432" spans="1:10" ht="15.75" hidden="1" thickBot="1" x14ac:dyDescent="0.3">
      <c r="A3432" s="200"/>
      <c r="B3432" s="202"/>
      <c r="C3432" s="36" t="s">
        <v>1069</v>
      </c>
      <c r="D3432" s="36" t="s">
        <v>147</v>
      </c>
      <c r="E3432" s="37">
        <f>(2/(0.4*0.8))*(0.016)*1.5</f>
        <v>0.15</v>
      </c>
      <c r="F3432" s="54">
        <v>0</v>
      </c>
      <c r="G3432" s="54">
        <f>IF(ISNUMBER(F3432),E3432*F3432,"")</f>
        <v>0</v>
      </c>
      <c r="H3432" s="73"/>
      <c r="I3432" s="74"/>
      <c r="J3432" s="155">
        <v>0</v>
      </c>
    </row>
    <row r="3433" spans="1:10" ht="15.75" hidden="1" thickBot="1" x14ac:dyDescent="0.3">
      <c r="A3433" s="200"/>
      <c r="B3433" s="202"/>
      <c r="C3433" s="36" t="s">
        <v>1070</v>
      </c>
      <c r="D3433" s="36" t="s">
        <v>1071</v>
      </c>
      <c r="E3433" s="37">
        <f>(2/(0.4*0.8))*0.1*1.5</f>
        <v>0.9375</v>
      </c>
      <c r="F3433" s="54">
        <v>0</v>
      </c>
      <c r="G3433" s="54">
        <f>IF(ISNUMBER(F3433),E3433*F3433,"")</f>
        <v>0</v>
      </c>
      <c r="H3433" s="73"/>
      <c r="I3433" s="74"/>
      <c r="J3433" s="155">
        <v>0</v>
      </c>
    </row>
    <row r="3434" spans="1:10" ht="15.75" hidden="1" thickBot="1" x14ac:dyDescent="0.3">
      <c r="A3434" s="200"/>
      <c r="B3434" s="202"/>
      <c r="C3434" s="36" t="s">
        <v>1080</v>
      </c>
      <c r="D3434" s="36" t="s">
        <v>147</v>
      </c>
      <c r="E3434" s="37">
        <f>2/(0.4*0.8)</f>
        <v>6.2499999999999991</v>
      </c>
      <c r="F3434" s="54" t="s">
        <v>558</v>
      </c>
      <c r="G3434" s="54" t="str">
        <f>IF(ISNUMBER(F3434),E3434*F3434,"")</f>
        <v/>
      </c>
      <c r="H3434" s="73"/>
      <c r="I3434" s="74"/>
      <c r="J3434" s="155">
        <v>0</v>
      </c>
    </row>
    <row r="3435" spans="1:10" ht="39" hidden="1" thickBot="1" x14ac:dyDescent="0.3">
      <c r="A3435" s="200"/>
      <c r="B3435" s="202"/>
      <c r="C3435" s="36" t="s">
        <v>1072</v>
      </c>
      <c r="D3435" s="36" t="s">
        <v>110</v>
      </c>
      <c r="E3435" s="37">
        <v>1E-4</v>
      </c>
      <c r="F3435" s="54">
        <v>483.73170075249999</v>
      </c>
      <c r="G3435" s="54">
        <f>IF(ISNUMBER(F3435),E3435*F3435,"")</f>
        <v>4.8373170075250001E-2</v>
      </c>
      <c r="H3435" s="73"/>
      <c r="I3435" s="74"/>
      <c r="J3435" s="155">
        <v>0</v>
      </c>
    </row>
    <row r="3436" spans="1:10" ht="15.75" hidden="1" thickBot="1" x14ac:dyDescent="0.3">
      <c r="A3436" s="200"/>
      <c r="B3436" s="202"/>
      <c r="C3436" s="36"/>
      <c r="D3436" s="36"/>
      <c r="E3436" s="37"/>
      <c r="F3436" s="54" t="s">
        <v>558</v>
      </c>
      <c r="G3436" s="54" t="str">
        <f>IF(ISNUMBER(F3436),E3436*F3436,"")</f>
        <v/>
      </c>
      <c r="H3436" s="73"/>
      <c r="I3436" s="74"/>
      <c r="J3436" s="155">
        <v>0</v>
      </c>
    </row>
    <row r="3437" spans="1:10" ht="15.75" hidden="1" thickBot="1" x14ac:dyDescent="0.3">
      <c r="A3437" s="200"/>
      <c r="B3437" s="202"/>
      <c r="C3437" s="152" t="s">
        <v>1081</v>
      </c>
      <c r="D3437" s="36"/>
      <c r="E3437" s="37"/>
      <c r="F3437" s="54" t="s">
        <v>558</v>
      </c>
      <c r="G3437" s="54" t="str">
        <f>IF(ISNUMBER(F3437),E3437*F3437,"")</f>
        <v/>
      </c>
      <c r="H3437" s="73"/>
      <c r="I3437" s="74"/>
      <c r="J3437" s="155">
        <v>0</v>
      </c>
    </row>
    <row r="3438" spans="1:10" ht="26.25" hidden="1" thickBot="1" x14ac:dyDescent="0.3">
      <c r="A3438" s="200"/>
      <c r="B3438" s="202"/>
      <c r="C3438" s="152" t="s">
        <v>1082</v>
      </c>
      <c r="D3438" s="36"/>
      <c r="E3438" s="37"/>
      <c r="F3438" s="54" t="s">
        <v>558</v>
      </c>
      <c r="G3438" s="54" t="str">
        <f>IF(ISNUMBER(F3438),E3438*F3438,"")</f>
        <v/>
      </c>
      <c r="H3438" s="73"/>
      <c r="I3438" s="74"/>
      <c r="J3438" s="155">
        <v>0</v>
      </c>
    </row>
    <row r="3439" spans="1:10" ht="15.75" hidden="1" thickBot="1" x14ac:dyDescent="0.3">
      <c r="A3439" s="201"/>
      <c r="B3439" s="188"/>
      <c r="C3439" s="36"/>
      <c r="D3439" s="36"/>
      <c r="E3439" s="37"/>
      <c r="F3439" s="54" t="s">
        <v>558</v>
      </c>
      <c r="G3439" s="54" t="str">
        <f>IF(ISNUMBER(F3439),E3439*F3439,"")</f>
        <v/>
      </c>
      <c r="H3439" s="73"/>
      <c r="I3439" s="74"/>
      <c r="J3439" s="155">
        <v>0</v>
      </c>
    </row>
    <row r="3440" spans="1:10" ht="15.75" hidden="1" thickBot="1" x14ac:dyDescent="0.3">
      <c r="A3440" s="180" t="s">
        <v>1083</v>
      </c>
      <c r="B3440" s="186" t="str">
        <f>INDEX(Orçamentária!A:B,MATCH(Composições!A3440,Orçamentária!A:A,0),2)</f>
        <v>Mármore Branco Especial 30 mm argamassado (Ed. Principal e Anexo 1)</v>
      </c>
      <c r="C3440" s="41"/>
      <c r="D3440" s="26" t="str">
        <f>TRIM(INDEX(Orçamentária!C:C,MATCH(Composições!A3440,Orçamentária!A:A,0),1))</f>
        <v>m2</v>
      </c>
      <c r="E3440" s="27"/>
      <c r="F3440" s="49" t="s">
        <v>558</v>
      </c>
      <c r="G3440" s="28" t="str">
        <f>IF(ISNUMBER(F3440),E3440*F3440,"")</f>
        <v/>
      </c>
      <c r="H3440" s="29"/>
      <c r="I3440" s="30"/>
      <c r="J3440" s="155">
        <v>0</v>
      </c>
    </row>
    <row r="3441" spans="1:10" ht="15.75" hidden="1" thickBot="1" x14ac:dyDescent="0.3">
      <c r="A3441" s="200"/>
      <c r="B3441" s="202"/>
      <c r="C3441" s="32"/>
      <c r="D3441" s="32"/>
      <c r="E3441" s="33"/>
      <c r="F3441" s="54" t="s">
        <v>558</v>
      </c>
      <c r="G3441" s="54" t="str">
        <f>IF(ISNUMBER(F3441),E3441*F3441,"")</f>
        <v/>
      </c>
      <c r="H3441" s="73"/>
      <c r="I3441" s="74"/>
      <c r="J3441" s="155">
        <v>0</v>
      </c>
    </row>
    <row r="3442" spans="1:10" ht="15.75" hidden="1" thickBot="1" x14ac:dyDescent="0.3">
      <c r="A3442" s="200"/>
      <c r="B3442" s="202"/>
      <c r="C3442" s="36" t="s">
        <v>1084</v>
      </c>
      <c r="D3442" s="36" t="s">
        <v>95</v>
      </c>
      <c r="E3442" s="37">
        <v>1.05</v>
      </c>
      <c r="F3442" s="54" t="s">
        <v>558</v>
      </c>
      <c r="G3442" s="54" t="str">
        <f>IF(ISNUMBER(F3442),E3442*F3442,"")</f>
        <v/>
      </c>
      <c r="H3442" s="39">
        <f>SUM(G3442:G3446)</f>
        <v>42.22417500000001</v>
      </c>
      <c r="I3442" s="40"/>
      <c r="J3442" s="155">
        <v>0</v>
      </c>
    </row>
    <row r="3443" spans="1:10" ht="15.75" hidden="1" thickBot="1" x14ac:dyDescent="0.3">
      <c r="A3443" s="200"/>
      <c r="B3443" s="202"/>
      <c r="C3443" s="36" t="s">
        <v>54</v>
      </c>
      <c r="D3443" s="36" t="s">
        <v>12</v>
      </c>
      <c r="E3443" s="37">
        <v>1.35</v>
      </c>
      <c r="F3443" s="54">
        <v>18.9145</v>
      </c>
      <c r="G3443" s="54">
        <f>IF(ISNUMBER(F3443),E3443*F3443,"")</f>
        <v>25.534575000000004</v>
      </c>
      <c r="H3443" s="73"/>
      <c r="I3443" s="74"/>
      <c r="J3443" s="155">
        <v>0</v>
      </c>
    </row>
    <row r="3444" spans="1:10" ht="15.75" hidden="1" thickBot="1" x14ac:dyDescent="0.3">
      <c r="A3444" s="200"/>
      <c r="B3444" s="202"/>
      <c r="C3444" s="36" t="s">
        <v>23</v>
      </c>
      <c r="D3444" s="36" t="s">
        <v>12</v>
      </c>
      <c r="E3444" s="37">
        <v>0.6</v>
      </c>
      <c r="F3444" s="54">
        <v>16.729499999999998</v>
      </c>
      <c r="G3444" s="54">
        <f>IF(ISNUMBER(F3444),E3444*F3444,"")</f>
        <v>10.037699999999999</v>
      </c>
      <c r="H3444" s="73"/>
      <c r="I3444" s="74"/>
      <c r="J3444" s="155">
        <v>0</v>
      </c>
    </row>
    <row r="3445" spans="1:10" ht="15.75" hidden="1" thickBot="1" x14ac:dyDescent="0.3">
      <c r="A3445" s="200"/>
      <c r="B3445" s="202"/>
      <c r="C3445" s="36" t="s">
        <v>3619</v>
      </c>
      <c r="D3445" s="36" t="s">
        <v>42</v>
      </c>
      <c r="E3445" s="37">
        <v>4.5</v>
      </c>
      <c r="F3445" s="54">
        <v>1.3109999999999999</v>
      </c>
      <c r="G3445" s="54">
        <f>IF(ISNUMBER(F3445),E3445*F3445,"")</f>
        <v>5.8994999999999997</v>
      </c>
      <c r="H3445" s="73"/>
      <c r="I3445" s="74"/>
      <c r="J3445" s="155">
        <v>0</v>
      </c>
    </row>
    <row r="3446" spans="1:10" ht="15.75" hidden="1" thickBot="1" x14ac:dyDescent="0.3">
      <c r="A3446" s="200"/>
      <c r="B3446" s="202"/>
      <c r="C3446" s="36" t="s">
        <v>3618</v>
      </c>
      <c r="D3446" s="36" t="s">
        <v>42</v>
      </c>
      <c r="E3446" s="37">
        <v>0.3</v>
      </c>
      <c r="F3446" s="54">
        <v>2.508</v>
      </c>
      <c r="G3446" s="54">
        <f>IF(ISNUMBER(F3446),E3446*F3446,"")</f>
        <v>0.75239999999999996</v>
      </c>
      <c r="H3446" s="73"/>
      <c r="I3446" s="74"/>
      <c r="J3446" s="155">
        <v>0</v>
      </c>
    </row>
    <row r="3447" spans="1:10" ht="15.75" hidden="1" thickBot="1" x14ac:dyDescent="0.3">
      <c r="A3447" s="201"/>
      <c r="B3447" s="188"/>
      <c r="C3447" s="36"/>
      <c r="D3447" s="36"/>
      <c r="E3447" s="37"/>
      <c r="F3447" s="54" t="s">
        <v>558</v>
      </c>
      <c r="G3447" s="54" t="str">
        <f>IF(ISNUMBER(F3447),E3447*F3447,"")</f>
        <v/>
      </c>
      <c r="H3447" s="73"/>
      <c r="I3447" s="74"/>
      <c r="J3447" s="155">
        <v>0</v>
      </c>
    </row>
    <row r="3448" spans="1:10" ht="15.75" hidden="1" thickBot="1" x14ac:dyDescent="0.3">
      <c r="A3448" s="180" t="s">
        <v>1085</v>
      </c>
      <c r="B3448" s="186" t="str">
        <f>INDEX(Orçamentária!A:B,MATCH(Composições!A3448,Orçamentária!A:A,0),2)</f>
        <v>Mármore Branco Especial 30 mm com inserts e argamassa (Ed. Principal e Anexo 1)</v>
      </c>
      <c r="C3448" s="41"/>
      <c r="D3448" s="26" t="str">
        <f>TRIM(INDEX(Orçamentária!C:C,MATCH(Composições!A3448,Orçamentária!A:A,0),1))</f>
        <v>m2</v>
      </c>
      <c r="E3448" s="27"/>
      <c r="F3448" s="49" t="s">
        <v>558</v>
      </c>
      <c r="G3448" s="28" t="str">
        <f>IF(ISNUMBER(F3448),E3448*F3448,"")</f>
        <v/>
      </c>
      <c r="H3448" s="29"/>
      <c r="I3448" s="30"/>
      <c r="J3448" s="155">
        <v>0</v>
      </c>
    </row>
    <row r="3449" spans="1:10" ht="15.75" hidden="1" thickBot="1" x14ac:dyDescent="0.3">
      <c r="A3449" s="200"/>
      <c r="B3449" s="202"/>
      <c r="C3449" s="32"/>
      <c r="D3449" s="32"/>
      <c r="E3449" s="33"/>
      <c r="F3449" s="54" t="s">
        <v>558</v>
      </c>
      <c r="G3449" s="54" t="str">
        <f>IF(ISNUMBER(F3449),E3449*F3449,"")</f>
        <v/>
      </c>
      <c r="H3449" s="73"/>
      <c r="I3449" s="74"/>
      <c r="J3449" s="155">
        <v>0</v>
      </c>
    </row>
    <row r="3450" spans="1:10" ht="15.75" hidden="1" thickBot="1" x14ac:dyDescent="0.3">
      <c r="A3450" s="200"/>
      <c r="B3450" s="202"/>
      <c r="C3450" s="36" t="s">
        <v>1084</v>
      </c>
      <c r="D3450" s="36" t="s">
        <v>95</v>
      </c>
      <c r="E3450" s="37">
        <v>1.05</v>
      </c>
      <c r="F3450" s="54" t="s">
        <v>558</v>
      </c>
      <c r="G3450" s="54" t="str">
        <f>IF(ISNUMBER(F3450),E3450*F3450,"")</f>
        <v/>
      </c>
      <c r="H3450" s="39">
        <f>SUM(G3450:G3460)</f>
        <v>57.210823170075258</v>
      </c>
      <c r="I3450" s="40"/>
      <c r="J3450" s="155">
        <v>0</v>
      </c>
    </row>
    <row r="3451" spans="1:10" ht="15.75" hidden="1" thickBot="1" x14ac:dyDescent="0.3">
      <c r="A3451" s="200"/>
      <c r="B3451" s="202"/>
      <c r="C3451" s="36" t="s">
        <v>54</v>
      </c>
      <c r="D3451" s="36" t="s">
        <v>12</v>
      </c>
      <c r="E3451" s="37">
        <f>1.35</f>
        <v>1.35</v>
      </c>
      <c r="F3451" s="54">
        <v>18.9145</v>
      </c>
      <c r="G3451" s="54">
        <f>IF(ISNUMBER(F3451),E3451*F3451,"")</f>
        <v>25.534575000000004</v>
      </c>
      <c r="H3451" s="73"/>
      <c r="I3451" s="74"/>
      <c r="J3451" s="155">
        <v>0</v>
      </c>
    </row>
    <row r="3452" spans="1:10" ht="15.75" hidden="1" thickBot="1" x14ac:dyDescent="0.3">
      <c r="A3452" s="200"/>
      <c r="B3452" s="202"/>
      <c r="C3452" s="36" t="s">
        <v>22</v>
      </c>
      <c r="D3452" s="36" t="s">
        <v>12</v>
      </c>
      <c r="E3452" s="37">
        <v>0.1</v>
      </c>
      <c r="F3452" s="54">
        <v>22.704999999999998</v>
      </c>
      <c r="G3452" s="54">
        <f>IF(ISNUMBER(F3452),E3452*F3452,"")</f>
        <v>2.2704999999999997</v>
      </c>
      <c r="H3452" s="73"/>
      <c r="I3452" s="74"/>
      <c r="J3452" s="155">
        <v>0</v>
      </c>
    </row>
    <row r="3453" spans="1:10" ht="15.75" hidden="1" thickBot="1" x14ac:dyDescent="0.3">
      <c r="A3453" s="200"/>
      <c r="B3453" s="202"/>
      <c r="C3453" s="36" t="s">
        <v>23</v>
      </c>
      <c r="D3453" s="36" t="s">
        <v>12</v>
      </c>
      <c r="E3453" s="37">
        <f>0.6+0.1+0.1</f>
        <v>0.79999999999999993</v>
      </c>
      <c r="F3453" s="54">
        <v>16.729499999999998</v>
      </c>
      <c r="G3453" s="54">
        <f>IF(ISNUMBER(F3453),E3453*F3453,"")</f>
        <v>13.383599999999998</v>
      </c>
      <c r="H3453" s="73"/>
      <c r="I3453" s="74"/>
      <c r="J3453" s="155">
        <v>0</v>
      </c>
    </row>
    <row r="3454" spans="1:10" ht="15.75" hidden="1" thickBot="1" x14ac:dyDescent="0.3">
      <c r="A3454" s="200"/>
      <c r="B3454" s="202"/>
      <c r="C3454" s="36" t="s">
        <v>3619</v>
      </c>
      <c r="D3454" s="36" t="s">
        <v>42</v>
      </c>
      <c r="E3454" s="37">
        <v>4.5</v>
      </c>
      <c r="F3454" s="54">
        <v>1.3109999999999999</v>
      </c>
      <c r="G3454" s="54">
        <f>IF(ISNUMBER(F3454),E3454*F3454,"")</f>
        <v>5.8994999999999997</v>
      </c>
      <c r="H3454" s="73"/>
      <c r="I3454" s="74"/>
      <c r="J3454" s="155">
        <v>0</v>
      </c>
    </row>
    <row r="3455" spans="1:10" ht="15.75" hidden="1" thickBot="1" x14ac:dyDescent="0.3">
      <c r="A3455" s="200"/>
      <c r="B3455" s="202"/>
      <c r="C3455" s="36" t="s">
        <v>3618</v>
      </c>
      <c r="D3455" s="36" t="s">
        <v>42</v>
      </c>
      <c r="E3455" s="37">
        <v>0.3</v>
      </c>
      <c r="F3455" s="54">
        <v>2.508</v>
      </c>
      <c r="G3455" s="54">
        <f>IF(ISNUMBER(F3455),E3455*F3455,"")</f>
        <v>0.75239999999999996</v>
      </c>
      <c r="H3455" s="73"/>
      <c r="I3455" s="74"/>
      <c r="J3455" s="155">
        <v>0</v>
      </c>
    </row>
    <row r="3456" spans="1:10" ht="26.25" hidden="1" thickBot="1" x14ac:dyDescent="0.3">
      <c r="A3456" s="200"/>
      <c r="B3456" s="202"/>
      <c r="C3456" s="36" t="s">
        <v>1079</v>
      </c>
      <c r="D3456" s="36" t="s">
        <v>292</v>
      </c>
      <c r="E3456" s="37">
        <f>2/(0.4*0.8)</f>
        <v>6.2499999999999991</v>
      </c>
      <c r="F3456" s="54">
        <v>1.4915</v>
      </c>
      <c r="G3456" s="54">
        <f>IF(ISNUMBER(F3456),E3456*F3456,"")</f>
        <v>9.3218749999999986</v>
      </c>
      <c r="H3456" s="73"/>
      <c r="I3456" s="74"/>
      <c r="J3456" s="155">
        <v>0</v>
      </c>
    </row>
    <row r="3457" spans="1:10" ht="15.75" hidden="1" thickBot="1" x14ac:dyDescent="0.3">
      <c r="A3457" s="200"/>
      <c r="B3457" s="202"/>
      <c r="C3457" s="36" t="s">
        <v>1069</v>
      </c>
      <c r="D3457" s="36" t="s">
        <v>147</v>
      </c>
      <c r="E3457" s="37">
        <f>(2/(0.4*0.8))*(0.016)*1.5</f>
        <v>0.15</v>
      </c>
      <c r="F3457" s="54">
        <v>0</v>
      </c>
      <c r="G3457" s="54">
        <f>IF(ISNUMBER(F3457),E3457*F3457,"")</f>
        <v>0</v>
      </c>
      <c r="H3457" s="73"/>
      <c r="I3457" s="74"/>
      <c r="J3457" s="155">
        <v>0</v>
      </c>
    </row>
    <row r="3458" spans="1:10" ht="15.75" hidden="1" thickBot="1" x14ac:dyDescent="0.3">
      <c r="A3458" s="200"/>
      <c r="B3458" s="202"/>
      <c r="C3458" s="36" t="s">
        <v>1070</v>
      </c>
      <c r="D3458" s="36" t="s">
        <v>1071</v>
      </c>
      <c r="E3458" s="37">
        <f>(2/(0.4*0.8))*0.1*1.5</f>
        <v>0.9375</v>
      </c>
      <c r="F3458" s="54">
        <v>0</v>
      </c>
      <c r="G3458" s="54">
        <f>IF(ISNUMBER(F3458),E3458*F3458,"")</f>
        <v>0</v>
      </c>
      <c r="H3458" s="73"/>
      <c r="I3458" s="74"/>
      <c r="J3458" s="155">
        <v>0</v>
      </c>
    </row>
    <row r="3459" spans="1:10" ht="15.75" hidden="1" thickBot="1" x14ac:dyDescent="0.3">
      <c r="A3459" s="200"/>
      <c r="B3459" s="202"/>
      <c r="C3459" s="36" t="s">
        <v>1080</v>
      </c>
      <c r="D3459" s="36" t="s">
        <v>147</v>
      </c>
      <c r="E3459" s="37">
        <f>2/(0.4*0.8)</f>
        <v>6.2499999999999991</v>
      </c>
      <c r="F3459" s="54" t="s">
        <v>558</v>
      </c>
      <c r="G3459" s="54" t="str">
        <f>IF(ISNUMBER(F3459),E3459*F3459,"")</f>
        <v/>
      </c>
      <c r="H3459" s="73"/>
      <c r="I3459" s="74"/>
      <c r="J3459" s="155">
        <v>0</v>
      </c>
    </row>
    <row r="3460" spans="1:10" ht="39" hidden="1" thickBot="1" x14ac:dyDescent="0.3">
      <c r="A3460" s="200"/>
      <c r="B3460" s="202"/>
      <c r="C3460" s="36" t="s">
        <v>1072</v>
      </c>
      <c r="D3460" s="36" t="s">
        <v>110</v>
      </c>
      <c r="E3460" s="37">
        <v>1E-4</v>
      </c>
      <c r="F3460" s="54">
        <v>483.73170075249999</v>
      </c>
      <c r="G3460" s="54">
        <f>IF(ISNUMBER(F3460),E3460*F3460,"")</f>
        <v>4.8373170075250001E-2</v>
      </c>
      <c r="H3460" s="73"/>
      <c r="I3460" s="74"/>
      <c r="J3460" s="155">
        <v>0</v>
      </c>
    </row>
    <row r="3461" spans="1:10" ht="15.75" hidden="1" thickBot="1" x14ac:dyDescent="0.3">
      <c r="A3461" s="200"/>
      <c r="B3461" s="202"/>
      <c r="C3461" s="36"/>
      <c r="D3461" s="36"/>
      <c r="E3461" s="37"/>
      <c r="F3461" s="54" t="s">
        <v>558</v>
      </c>
      <c r="G3461" s="54" t="str">
        <f>IF(ISNUMBER(F3461),E3461*F3461,"")</f>
        <v/>
      </c>
      <c r="H3461" s="73"/>
      <c r="I3461" s="74"/>
      <c r="J3461" s="155">
        <v>0</v>
      </c>
    </row>
    <row r="3462" spans="1:10" ht="15.75" hidden="1" thickBot="1" x14ac:dyDescent="0.3">
      <c r="A3462" s="200"/>
      <c r="B3462" s="202"/>
      <c r="C3462" s="152" t="s">
        <v>1081</v>
      </c>
      <c r="D3462" s="36"/>
      <c r="E3462" s="37"/>
      <c r="F3462" s="54" t="s">
        <v>558</v>
      </c>
      <c r="G3462" s="54" t="str">
        <f>IF(ISNUMBER(F3462),E3462*F3462,"")</f>
        <v/>
      </c>
      <c r="H3462" s="73"/>
      <c r="I3462" s="74"/>
      <c r="J3462" s="155">
        <v>0</v>
      </c>
    </row>
    <row r="3463" spans="1:10" ht="26.25" hidden="1" thickBot="1" x14ac:dyDescent="0.3">
      <c r="A3463" s="200"/>
      <c r="B3463" s="202"/>
      <c r="C3463" s="152" t="s">
        <v>1082</v>
      </c>
      <c r="D3463" s="36"/>
      <c r="E3463" s="37"/>
      <c r="F3463" s="54" t="s">
        <v>558</v>
      </c>
      <c r="G3463" s="54" t="str">
        <f>IF(ISNUMBER(F3463),E3463*F3463,"")</f>
        <v/>
      </c>
      <c r="H3463" s="73"/>
      <c r="I3463" s="74"/>
      <c r="J3463" s="155">
        <v>0</v>
      </c>
    </row>
    <row r="3464" spans="1:10" ht="15.75" hidden="1" thickBot="1" x14ac:dyDescent="0.3">
      <c r="A3464" s="201"/>
      <c r="B3464" s="188"/>
      <c r="C3464" s="36"/>
      <c r="D3464" s="36"/>
      <c r="E3464" s="37"/>
      <c r="F3464" s="54" t="s">
        <v>558</v>
      </c>
      <c r="G3464" s="54" t="str">
        <f>IF(ISNUMBER(F3464),E3464*F3464,"")</f>
        <v/>
      </c>
      <c r="H3464" s="73"/>
      <c r="I3464" s="74"/>
      <c r="J3464" s="155">
        <v>0</v>
      </c>
    </row>
    <row r="3465" spans="1:10" ht="15.75" hidden="1" thickBot="1" x14ac:dyDescent="0.3">
      <c r="A3465" s="180" t="s">
        <v>1086</v>
      </c>
      <c r="B3465" s="186" t="str">
        <f>INDEX(Orçamentária!A:B,MATCH(Composições!A3465,Orçamentária!A:A,0),2)</f>
        <v>Mármore branco especial, e=30 mm, instalação em fixadores metálicos existentes (modelo Edifício Principal)</v>
      </c>
      <c r="C3465" s="41"/>
      <c r="D3465" s="26" t="str">
        <f>TRIM(INDEX(Orçamentária!C:C,MATCH(Composições!A3465,Orçamentária!A:A,0),1))</f>
        <v>m2</v>
      </c>
      <c r="E3465" s="27"/>
      <c r="F3465" s="49" t="s">
        <v>558</v>
      </c>
      <c r="G3465" s="28" t="str">
        <f>IF(ISNUMBER(F3465),E3465*F3465,"")</f>
        <v/>
      </c>
      <c r="H3465" s="29"/>
      <c r="I3465" s="30"/>
      <c r="J3465" s="155">
        <v>0</v>
      </c>
    </row>
    <row r="3466" spans="1:10" ht="15.75" hidden="1" thickBot="1" x14ac:dyDescent="0.3">
      <c r="A3466" s="200"/>
      <c r="B3466" s="202"/>
      <c r="C3466" s="32"/>
      <c r="D3466" s="32"/>
      <c r="E3466" s="33"/>
      <c r="F3466" s="54" t="s">
        <v>558</v>
      </c>
      <c r="G3466" s="54" t="str">
        <f>IF(ISNUMBER(F3466),E3466*F3466,"")</f>
        <v/>
      </c>
      <c r="H3466" s="73"/>
      <c r="I3466" s="74"/>
      <c r="J3466" s="155">
        <v>0</v>
      </c>
    </row>
    <row r="3467" spans="1:10" ht="15.75" hidden="1" thickBot="1" x14ac:dyDescent="0.3">
      <c r="A3467" s="200"/>
      <c r="B3467" s="202"/>
      <c r="C3467" s="36" t="s">
        <v>1084</v>
      </c>
      <c r="D3467" s="36" t="s">
        <v>95</v>
      </c>
      <c r="E3467" s="37">
        <v>1.05</v>
      </c>
      <c r="F3467" s="54" t="s">
        <v>558</v>
      </c>
      <c r="G3467" s="54" t="str">
        <f>IF(ISNUMBER(F3467),E3467*F3467,"")</f>
        <v/>
      </c>
      <c r="H3467" s="39">
        <f>SUM(G3467:G3472)</f>
        <v>6.4499481700752499</v>
      </c>
      <c r="I3467" s="40"/>
      <c r="J3467" s="155">
        <v>0</v>
      </c>
    </row>
    <row r="3468" spans="1:10" ht="15.75" hidden="1" thickBot="1" x14ac:dyDescent="0.3">
      <c r="A3468" s="200"/>
      <c r="B3468" s="202"/>
      <c r="C3468" s="36" t="s">
        <v>54</v>
      </c>
      <c r="D3468" s="36" t="s">
        <v>12</v>
      </c>
      <c r="E3468" s="37">
        <v>0.25</v>
      </c>
      <c r="F3468" s="54">
        <v>18.9145</v>
      </c>
      <c r="G3468" s="54">
        <f>IF(ISNUMBER(F3468),E3468*F3468,"")</f>
        <v>4.7286250000000001</v>
      </c>
      <c r="H3468" s="73"/>
      <c r="I3468" s="74"/>
      <c r="J3468" s="155">
        <v>0</v>
      </c>
    </row>
    <row r="3469" spans="1:10" ht="15.75" hidden="1" thickBot="1" x14ac:dyDescent="0.3">
      <c r="A3469" s="200"/>
      <c r="B3469" s="202"/>
      <c r="C3469" s="36" t="s">
        <v>23</v>
      </c>
      <c r="D3469" s="36" t="s">
        <v>12</v>
      </c>
      <c r="E3469" s="37">
        <v>0.1</v>
      </c>
      <c r="F3469" s="54">
        <v>16.729499999999998</v>
      </c>
      <c r="G3469" s="54">
        <f>IF(ISNUMBER(F3469),E3469*F3469,"")</f>
        <v>1.6729499999999999</v>
      </c>
      <c r="H3469" s="73"/>
      <c r="I3469" s="74"/>
      <c r="J3469" s="155">
        <v>0</v>
      </c>
    </row>
    <row r="3470" spans="1:10" ht="15.75" hidden="1" thickBot="1" x14ac:dyDescent="0.3">
      <c r="A3470" s="200"/>
      <c r="B3470" s="202"/>
      <c r="C3470" s="36" t="s">
        <v>1069</v>
      </c>
      <c r="D3470" s="36" t="s">
        <v>147</v>
      </c>
      <c r="E3470" s="37">
        <f>(2/(0.4*0.8))*0.016/2</f>
        <v>4.9999999999999996E-2</v>
      </c>
      <c r="F3470" s="54">
        <v>0</v>
      </c>
      <c r="G3470" s="54">
        <f>IF(ISNUMBER(F3470),E3470*F3470,"")</f>
        <v>0</v>
      </c>
      <c r="H3470" s="73"/>
      <c r="I3470" s="74"/>
      <c r="J3470" s="155">
        <v>0</v>
      </c>
    </row>
    <row r="3471" spans="1:10" ht="15.75" hidden="1" thickBot="1" x14ac:dyDescent="0.3">
      <c r="A3471" s="200"/>
      <c r="B3471" s="202"/>
      <c r="C3471" s="36" t="s">
        <v>1070</v>
      </c>
      <c r="D3471" s="36" t="s">
        <v>1071</v>
      </c>
      <c r="E3471" s="37">
        <f>(2/(0.4*0.8))*0.1/2</f>
        <v>0.3125</v>
      </c>
      <c r="F3471" s="54">
        <v>0</v>
      </c>
      <c r="G3471" s="54">
        <f>IF(ISNUMBER(F3471),E3471*F3471,"")</f>
        <v>0</v>
      </c>
      <c r="H3471" s="73"/>
      <c r="I3471" s="74"/>
      <c r="J3471" s="155">
        <v>0</v>
      </c>
    </row>
    <row r="3472" spans="1:10" ht="39" hidden="1" thickBot="1" x14ac:dyDescent="0.3">
      <c r="A3472" s="200"/>
      <c r="B3472" s="202"/>
      <c r="C3472" s="36" t="s">
        <v>1072</v>
      </c>
      <c r="D3472" s="36" t="s">
        <v>110</v>
      </c>
      <c r="E3472" s="37">
        <v>1E-4</v>
      </c>
      <c r="F3472" s="54">
        <v>483.73170075249999</v>
      </c>
      <c r="G3472" s="54">
        <f>IF(ISNUMBER(F3472),E3472*F3472,"")</f>
        <v>4.8373170075250001E-2</v>
      </c>
      <c r="H3472" s="73"/>
      <c r="I3472" s="74"/>
      <c r="J3472" s="155">
        <v>0</v>
      </c>
    </row>
    <row r="3473" spans="1:10" ht="15.75" hidden="1" thickBot="1" x14ac:dyDescent="0.3">
      <c r="A3473" s="200"/>
      <c r="B3473" s="202"/>
      <c r="C3473" s="36"/>
      <c r="D3473" s="36"/>
      <c r="E3473" s="37"/>
      <c r="F3473" s="54" t="s">
        <v>558</v>
      </c>
      <c r="G3473" s="54" t="str">
        <f>IF(ISNUMBER(F3473),E3473*F3473,"")</f>
        <v/>
      </c>
      <c r="H3473" s="73"/>
      <c r="I3473" s="74"/>
      <c r="J3473" s="155">
        <v>0</v>
      </c>
    </row>
    <row r="3474" spans="1:10" ht="15.75" hidden="1" thickBot="1" x14ac:dyDescent="0.3">
      <c r="A3474" s="200"/>
      <c r="B3474" s="202"/>
      <c r="C3474" s="152" t="s">
        <v>1087</v>
      </c>
      <c r="D3474" s="36"/>
      <c r="E3474" s="37"/>
      <c r="F3474" s="54" t="s">
        <v>558</v>
      </c>
      <c r="G3474" s="54" t="str">
        <f>IF(ISNUMBER(F3474),E3474*F3474,"")</f>
        <v/>
      </c>
      <c r="H3474" s="73"/>
      <c r="I3474" s="74"/>
      <c r="J3474" s="155">
        <v>0</v>
      </c>
    </row>
    <row r="3475" spans="1:10" ht="26.25" hidden="1" thickBot="1" x14ac:dyDescent="0.3">
      <c r="A3475" s="200"/>
      <c r="B3475" s="202"/>
      <c r="C3475" s="152" t="s">
        <v>1082</v>
      </c>
      <c r="D3475" s="36"/>
      <c r="E3475" s="37"/>
      <c r="F3475" s="54" t="s">
        <v>558</v>
      </c>
      <c r="G3475" s="54" t="str">
        <f>IF(ISNUMBER(F3475),E3475*F3475,"")</f>
        <v/>
      </c>
      <c r="H3475" s="73"/>
      <c r="I3475" s="74"/>
      <c r="J3475" s="155">
        <v>0</v>
      </c>
    </row>
    <row r="3476" spans="1:10" ht="15.75" hidden="1" thickBot="1" x14ac:dyDescent="0.3">
      <c r="A3476" s="201"/>
      <c r="B3476" s="188"/>
      <c r="C3476" s="36"/>
      <c r="D3476" s="36"/>
      <c r="E3476" s="37"/>
      <c r="F3476" s="54" t="s">
        <v>558</v>
      </c>
      <c r="G3476" s="54" t="str">
        <f>IF(ISNUMBER(F3476),E3476*F3476,"")</f>
        <v/>
      </c>
      <c r="H3476" s="73"/>
      <c r="I3476" s="74"/>
      <c r="J3476" s="155">
        <v>0</v>
      </c>
    </row>
    <row r="3477" spans="1:10" ht="15.75" hidden="1" thickBot="1" x14ac:dyDescent="0.3">
      <c r="A3477" s="180" t="s">
        <v>1088</v>
      </c>
      <c r="B3477" s="186" t="str">
        <f>INDEX(Orçamentária!A:B,MATCH(Composições!A3477,Orçamentária!A:A,0),2)</f>
        <v>Instalação de placas de rocha ornamental reaproveitadas, por meio de argamassa</v>
      </c>
      <c r="C3477" s="41"/>
      <c r="D3477" s="26" t="str">
        <f>TRIM(INDEX(Orçamentária!C:C,MATCH(Composições!A3477,Orçamentária!A:A,0),1))</f>
        <v>m2</v>
      </c>
      <c r="E3477" s="27"/>
      <c r="F3477" s="49" t="s">
        <v>558</v>
      </c>
      <c r="G3477" s="28" t="str">
        <f>IF(ISNUMBER(F3477),E3477*F3477,"")</f>
        <v/>
      </c>
      <c r="H3477" s="29"/>
      <c r="I3477" s="30"/>
      <c r="J3477" s="155">
        <v>0</v>
      </c>
    </row>
    <row r="3478" spans="1:10" ht="15.75" hidden="1" thickBot="1" x14ac:dyDescent="0.3">
      <c r="A3478" s="200"/>
      <c r="B3478" s="202"/>
      <c r="C3478" s="32"/>
      <c r="D3478" s="32"/>
      <c r="E3478" s="33"/>
      <c r="F3478" s="54" t="s">
        <v>558</v>
      </c>
      <c r="G3478" s="54" t="str">
        <f>IF(ISNUMBER(F3478),E3478*F3478,"")</f>
        <v/>
      </c>
      <c r="H3478" s="73"/>
      <c r="I3478" s="74"/>
      <c r="J3478" s="155">
        <v>0</v>
      </c>
    </row>
    <row r="3479" spans="1:10" ht="15.75" hidden="1" thickBot="1" x14ac:dyDescent="0.3">
      <c r="A3479" s="200"/>
      <c r="B3479" s="202"/>
      <c r="C3479" s="36" t="s">
        <v>54</v>
      </c>
      <c r="D3479" s="36" t="s">
        <v>12</v>
      </c>
      <c r="E3479" s="37">
        <v>1.35</v>
      </c>
      <c r="F3479" s="54">
        <v>18.9145</v>
      </c>
      <c r="G3479" s="54">
        <f>IF(ISNUMBER(F3479),E3479*F3479,"")</f>
        <v>25.534575000000004</v>
      </c>
      <c r="H3479" s="39">
        <f>SUM(G3479:G3482)</f>
        <v>42.22417500000001</v>
      </c>
      <c r="I3479" s="40"/>
      <c r="J3479" s="155">
        <v>0</v>
      </c>
    </row>
    <row r="3480" spans="1:10" ht="15.75" hidden="1" thickBot="1" x14ac:dyDescent="0.3">
      <c r="A3480" s="200"/>
      <c r="B3480" s="202"/>
      <c r="C3480" s="36" t="s">
        <v>23</v>
      </c>
      <c r="D3480" s="36" t="s">
        <v>12</v>
      </c>
      <c r="E3480" s="37">
        <v>0.6</v>
      </c>
      <c r="F3480" s="54">
        <v>16.729499999999998</v>
      </c>
      <c r="G3480" s="54">
        <f>IF(ISNUMBER(F3480),E3480*F3480,"")</f>
        <v>10.037699999999999</v>
      </c>
      <c r="H3480" s="73"/>
      <c r="I3480" s="74"/>
      <c r="J3480" s="155">
        <v>0</v>
      </c>
    </row>
    <row r="3481" spans="1:10" ht="15.75" hidden="1" thickBot="1" x14ac:dyDescent="0.3">
      <c r="A3481" s="200"/>
      <c r="B3481" s="202"/>
      <c r="C3481" s="36" t="s">
        <v>3619</v>
      </c>
      <c r="D3481" s="36" t="s">
        <v>42</v>
      </c>
      <c r="E3481" s="37">
        <v>4.5</v>
      </c>
      <c r="F3481" s="54">
        <v>1.3109999999999999</v>
      </c>
      <c r="G3481" s="54">
        <f>IF(ISNUMBER(F3481),E3481*F3481,"")</f>
        <v>5.8994999999999997</v>
      </c>
      <c r="H3481" s="73"/>
      <c r="I3481" s="74"/>
      <c r="J3481" s="155">
        <v>0</v>
      </c>
    </row>
    <row r="3482" spans="1:10" ht="15.75" hidden="1" thickBot="1" x14ac:dyDescent="0.3">
      <c r="A3482" s="200"/>
      <c r="B3482" s="202"/>
      <c r="C3482" s="36" t="s">
        <v>3618</v>
      </c>
      <c r="D3482" s="36" t="s">
        <v>42</v>
      </c>
      <c r="E3482" s="37">
        <v>0.3</v>
      </c>
      <c r="F3482" s="54">
        <v>2.508</v>
      </c>
      <c r="G3482" s="54">
        <f>IF(ISNUMBER(F3482),E3482*F3482,"")</f>
        <v>0.75239999999999996</v>
      </c>
      <c r="H3482" s="73"/>
      <c r="I3482" s="74"/>
      <c r="J3482" s="155">
        <v>0</v>
      </c>
    </row>
    <row r="3483" spans="1:10" ht="15.75" hidden="1" thickBot="1" x14ac:dyDescent="0.3">
      <c r="A3483" s="201"/>
      <c r="B3483" s="188"/>
      <c r="C3483" s="36"/>
      <c r="D3483" s="36"/>
      <c r="E3483" s="37"/>
      <c r="F3483" s="54" t="s">
        <v>558</v>
      </c>
      <c r="G3483" s="54" t="str">
        <f>IF(ISNUMBER(F3483),E3483*F3483,"")</f>
        <v/>
      </c>
      <c r="H3483" s="73"/>
      <c r="I3483" s="74"/>
      <c r="J3483" s="155">
        <v>0</v>
      </c>
    </row>
    <row r="3484" spans="1:10" ht="15.75" hidden="1" thickBot="1" x14ac:dyDescent="0.3">
      <c r="A3484" s="180" t="s">
        <v>1089</v>
      </c>
      <c r="B3484" s="186" t="str">
        <f>INDEX(Orçamentária!A:B,MATCH(Composições!A3484,Orçamentária!A:A,0),2)</f>
        <v>Instalação de placas de rocha ornamental reaproveitadas, por meio de argamassa e fixadores metálicos</v>
      </c>
      <c r="C3484" s="41"/>
      <c r="D3484" s="26" t="str">
        <f>TRIM(INDEX(Orçamentária!C:C,MATCH(Composições!A3484,Orçamentária!A:A,0),1))</f>
        <v>m2</v>
      </c>
      <c r="E3484" s="27"/>
      <c r="F3484" s="49" t="s">
        <v>558</v>
      </c>
      <c r="G3484" s="28" t="str">
        <f>IF(ISNUMBER(F3484),E3484*F3484,"")</f>
        <v/>
      </c>
      <c r="H3484" s="29"/>
      <c r="I3484" s="30"/>
      <c r="J3484" s="155">
        <v>0</v>
      </c>
    </row>
    <row r="3485" spans="1:10" ht="15.75" hidden="1" thickBot="1" x14ac:dyDescent="0.3">
      <c r="A3485" s="200"/>
      <c r="B3485" s="202"/>
      <c r="C3485" s="32"/>
      <c r="D3485" s="32"/>
      <c r="E3485" s="33"/>
      <c r="F3485" s="54" t="s">
        <v>558</v>
      </c>
      <c r="G3485" s="54" t="str">
        <f>IF(ISNUMBER(F3485),E3485*F3485,"")</f>
        <v/>
      </c>
      <c r="H3485" s="73"/>
      <c r="I3485" s="74"/>
      <c r="J3485" s="155">
        <v>0</v>
      </c>
    </row>
    <row r="3486" spans="1:10" ht="15.75" hidden="1" thickBot="1" x14ac:dyDescent="0.3">
      <c r="A3486" s="200"/>
      <c r="B3486" s="202"/>
      <c r="C3486" s="36" t="s">
        <v>54</v>
      </c>
      <c r="D3486" s="36" t="s">
        <v>12</v>
      </c>
      <c r="E3486" s="37">
        <f>1.35</f>
        <v>1.35</v>
      </c>
      <c r="F3486" s="54">
        <v>18.9145</v>
      </c>
      <c r="G3486" s="54">
        <f>IF(ISNUMBER(F3486),E3486*F3486,"")</f>
        <v>25.534575000000004</v>
      </c>
      <c r="H3486" s="39">
        <f>SUM(G3486:G3495)</f>
        <v>57.210823170075258</v>
      </c>
      <c r="I3486" s="40"/>
      <c r="J3486" s="155">
        <v>0</v>
      </c>
    </row>
    <row r="3487" spans="1:10" ht="15.75" hidden="1" thickBot="1" x14ac:dyDescent="0.3">
      <c r="A3487" s="200"/>
      <c r="B3487" s="202"/>
      <c r="C3487" s="36" t="s">
        <v>22</v>
      </c>
      <c r="D3487" s="36" t="s">
        <v>12</v>
      </c>
      <c r="E3487" s="37">
        <v>0.1</v>
      </c>
      <c r="F3487" s="54">
        <v>22.704999999999998</v>
      </c>
      <c r="G3487" s="54">
        <f>IF(ISNUMBER(F3487),E3487*F3487,"")</f>
        <v>2.2704999999999997</v>
      </c>
      <c r="H3487" s="73"/>
      <c r="I3487" s="74"/>
      <c r="J3487" s="155">
        <v>0</v>
      </c>
    </row>
    <row r="3488" spans="1:10" ht="15.75" hidden="1" thickBot="1" x14ac:dyDescent="0.3">
      <c r="A3488" s="200"/>
      <c r="B3488" s="202"/>
      <c r="C3488" s="36" t="s">
        <v>23</v>
      </c>
      <c r="D3488" s="36" t="s">
        <v>12</v>
      </c>
      <c r="E3488" s="37">
        <f>0.6+0.1+0.1</f>
        <v>0.79999999999999993</v>
      </c>
      <c r="F3488" s="54">
        <v>16.729499999999998</v>
      </c>
      <c r="G3488" s="54">
        <f>IF(ISNUMBER(F3488),E3488*F3488,"")</f>
        <v>13.383599999999998</v>
      </c>
      <c r="H3488" s="73"/>
      <c r="I3488" s="74"/>
      <c r="J3488" s="155">
        <v>0</v>
      </c>
    </row>
    <row r="3489" spans="1:10" ht="15.75" hidden="1" thickBot="1" x14ac:dyDescent="0.3">
      <c r="A3489" s="200"/>
      <c r="B3489" s="202"/>
      <c r="C3489" s="36" t="s">
        <v>3619</v>
      </c>
      <c r="D3489" s="36" t="s">
        <v>42</v>
      </c>
      <c r="E3489" s="37">
        <v>4.5</v>
      </c>
      <c r="F3489" s="54">
        <v>1.3109999999999999</v>
      </c>
      <c r="G3489" s="54">
        <f>IF(ISNUMBER(F3489),E3489*F3489,"")</f>
        <v>5.8994999999999997</v>
      </c>
      <c r="H3489" s="73"/>
      <c r="I3489" s="74"/>
      <c r="J3489" s="155">
        <v>0</v>
      </c>
    </row>
    <row r="3490" spans="1:10" ht="15.75" hidden="1" thickBot="1" x14ac:dyDescent="0.3">
      <c r="A3490" s="200"/>
      <c r="B3490" s="202"/>
      <c r="C3490" s="36" t="s">
        <v>3618</v>
      </c>
      <c r="D3490" s="36" t="s">
        <v>42</v>
      </c>
      <c r="E3490" s="37">
        <v>0.3</v>
      </c>
      <c r="F3490" s="54">
        <v>2.508</v>
      </c>
      <c r="G3490" s="54">
        <f>IF(ISNUMBER(F3490),E3490*F3490,"")</f>
        <v>0.75239999999999996</v>
      </c>
      <c r="H3490" s="73"/>
      <c r="I3490" s="74"/>
      <c r="J3490" s="155">
        <v>0</v>
      </c>
    </row>
    <row r="3491" spans="1:10" ht="26.25" hidden="1" thickBot="1" x14ac:dyDescent="0.3">
      <c r="A3491" s="200"/>
      <c r="B3491" s="202"/>
      <c r="C3491" s="36" t="s">
        <v>1079</v>
      </c>
      <c r="D3491" s="36" t="s">
        <v>292</v>
      </c>
      <c r="E3491" s="37">
        <f>2/(0.4*0.8)</f>
        <v>6.2499999999999991</v>
      </c>
      <c r="F3491" s="54">
        <v>1.4915</v>
      </c>
      <c r="G3491" s="54">
        <f>IF(ISNUMBER(F3491),E3491*F3491,"")</f>
        <v>9.3218749999999986</v>
      </c>
      <c r="H3491" s="73"/>
      <c r="I3491" s="74"/>
      <c r="J3491" s="155">
        <v>0</v>
      </c>
    </row>
    <row r="3492" spans="1:10" ht="15.75" hidden="1" thickBot="1" x14ac:dyDescent="0.3">
      <c r="A3492" s="200"/>
      <c r="B3492" s="202"/>
      <c r="C3492" s="36" t="s">
        <v>1069</v>
      </c>
      <c r="D3492" s="36" t="s">
        <v>147</v>
      </c>
      <c r="E3492" s="37">
        <f>(2/(0.4*0.8))*(0.016)*1.5</f>
        <v>0.15</v>
      </c>
      <c r="F3492" s="54">
        <v>0</v>
      </c>
      <c r="G3492" s="54">
        <f>IF(ISNUMBER(F3492),E3492*F3492,"")</f>
        <v>0</v>
      </c>
      <c r="H3492" s="73"/>
      <c r="I3492" s="74"/>
      <c r="J3492" s="155">
        <v>0</v>
      </c>
    </row>
    <row r="3493" spans="1:10" ht="15.75" hidden="1" thickBot="1" x14ac:dyDescent="0.3">
      <c r="A3493" s="200"/>
      <c r="B3493" s="202"/>
      <c r="C3493" s="36" t="s">
        <v>1070</v>
      </c>
      <c r="D3493" s="36" t="s">
        <v>1071</v>
      </c>
      <c r="E3493" s="37">
        <f>(2/(0.4*0.8))*0.1*1.5</f>
        <v>0.9375</v>
      </c>
      <c r="F3493" s="54">
        <v>0</v>
      </c>
      <c r="G3493" s="54">
        <f>IF(ISNUMBER(F3493),E3493*F3493,"")</f>
        <v>0</v>
      </c>
      <c r="H3493" s="73"/>
      <c r="I3493" s="74"/>
      <c r="J3493" s="155">
        <v>0</v>
      </c>
    </row>
    <row r="3494" spans="1:10" ht="15.75" hidden="1" thickBot="1" x14ac:dyDescent="0.3">
      <c r="A3494" s="200"/>
      <c r="B3494" s="202"/>
      <c r="C3494" s="36" t="s">
        <v>1080</v>
      </c>
      <c r="D3494" s="36" t="s">
        <v>147</v>
      </c>
      <c r="E3494" s="37">
        <f>2/(0.4*0.8)</f>
        <v>6.2499999999999991</v>
      </c>
      <c r="F3494" s="54" t="s">
        <v>558</v>
      </c>
      <c r="G3494" s="54" t="str">
        <f>IF(ISNUMBER(F3494),E3494*F3494,"")</f>
        <v/>
      </c>
      <c r="H3494" s="73"/>
      <c r="I3494" s="74"/>
      <c r="J3494" s="155">
        <v>0</v>
      </c>
    </row>
    <row r="3495" spans="1:10" ht="39" hidden="1" thickBot="1" x14ac:dyDescent="0.3">
      <c r="A3495" s="200"/>
      <c r="B3495" s="202"/>
      <c r="C3495" s="36" t="s">
        <v>1072</v>
      </c>
      <c r="D3495" s="36" t="s">
        <v>110</v>
      </c>
      <c r="E3495" s="37">
        <v>1E-4</v>
      </c>
      <c r="F3495" s="54">
        <v>483.73170075249999</v>
      </c>
      <c r="G3495" s="54">
        <f>IF(ISNUMBER(F3495),E3495*F3495,"")</f>
        <v>4.8373170075250001E-2</v>
      </c>
      <c r="H3495" s="73"/>
      <c r="I3495" s="74"/>
      <c r="J3495" s="155">
        <v>0</v>
      </c>
    </row>
    <row r="3496" spans="1:10" ht="15.75" hidden="1" thickBot="1" x14ac:dyDescent="0.3">
      <c r="A3496" s="200"/>
      <c r="B3496" s="202"/>
      <c r="C3496" s="36"/>
      <c r="D3496" s="36"/>
      <c r="E3496" s="37"/>
      <c r="F3496" s="54" t="s">
        <v>558</v>
      </c>
      <c r="G3496" s="54" t="str">
        <f>IF(ISNUMBER(F3496),E3496*F3496,"")</f>
        <v/>
      </c>
      <c r="H3496" s="73"/>
      <c r="I3496" s="74"/>
      <c r="J3496" s="155">
        <v>0</v>
      </c>
    </row>
    <row r="3497" spans="1:10" ht="15.75" hidden="1" thickBot="1" x14ac:dyDescent="0.3">
      <c r="A3497" s="200"/>
      <c r="B3497" s="202"/>
      <c r="C3497" s="152" t="s">
        <v>1081</v>
      </c>
      <c r="D3497" s="36"/>
      <c r="E3497" s="37"/>
      <c r="F3497" s="54" t="s">
        <v>558</v>
      </c>
      <c r="G3497" s="54" t="str">
        <f>IF(ISNUMBER(F3497),E3497*F3497,"")</f>
        <v/>
      </c>
      <c r="H3497" s="73"/>
      <c r="I3497" s="74"/>
      <c r="J3497" s="155">
        <v>0</v>
      </c>
    </row>
    <row r="3498" spans="1:10" ht="26.25" hidden="1" thickBot="1" x14ac:dyDescent="0.3">
      <c r="A3498" s="200"/>
      <c r="B3498" s="202"/>
      <c r="C3498" s="152" t="s">
        <v>1082</v>
      </c>
      <c r="D3498" s="36"/>
      <c r="E3498" s="37"/>
      <c r="F3498" s="54" t="s">
        <v>558</v>
      </c>
      <c r="G3498" s="54" t="str">
        <f>IF(ISNUMBER(F3498),E3498*F3498,"")</f>
        <v/>
      </c>
      <c r="H3498" s="73"/>
      <c r="I3498" s="74"/>
      <c r="J3498" s="155">
        <v>0</v>
      </c>
    </row>
    <row r="3499" spans="1:10" ht="15.75" hidden="1" thickBot="1" x14ac:dyDescent="0.3">
      <c r="A3499" s="201"/>
      <c r="B3499" s="188"/>
      <c r="C3499" s="36"/>
      <c r="D3499" s="36"/>
      <c r="E3499" s="37"/>
      <c r="F3499" s="54" t="s">
        <v>558</v>
      </c>
      <c r="G3499" s="54" t="str">
        <f>IF(ISNUMBER(F3499),E3499*F3499,"")</f>
        <v/>
      </c>
      <c r="H3499" s="73"/>
      <c r="I3499" s="74"/>
      <c r="J3499" s="155">
        <v>0</v>
      </c>
    </row>
    <row r="3500" spans="1:10" ht="15.75" hidden="1" thickBot="1" x14ac:dyDescent="0.3">
      <c r="A3500" s="180" t="s">
        <v>1090</v>
      </c>
      <c r="B3500" s="186" t="str">
        <f>INDEX(Orçamentária!A:B,MATCH(Composições!A3500,Orçamentária!A:A,0),2)</f>
        <v>Aplicação de hidrofugante à base de silano e silicone</v>
      </c>
      <c r="C3500" s="41"/>
      <c r="D3500" s="26" t="str">
        <f>TRIM(INDEX(Orçamentária!C:C,MATCH(Composições!A3500,Orçamentária!A:A,0),1))</f>
        <v>m2</v>
      </c>
      <c r="E3500" s="27"/>
      <c r="F3500" s="49" t="s">
        <v>558</v>
      </c>
      <c r="G3500" s="28" t="str">
        <f>IF(ISNUMBER(F3500),E3500*F3500,"")</f>
        <v/>
      </c>
      <c r="H3500" s="29"/>
      <c r="I3500" s="30"/>
      <c r="J3500" s="155">
        <v>0</v>
      </c>
    </row>
    <row r="3501" spans="1:10" ht="15.75" hidden="1" thickBot="1" x14ac:dyDescent="0.3">
      <c r="A3501" s="181"/>
      <c r="B3501" s="202"/>
      <c r="C3501" s="32"/>
      <c r="D3501" s="32"/>
      <c r="E3501" s="33"/>
      <c r="F3501" s="54" t="s">
        <v>558</v>
      </c>
      <c r="G3501" s="54" t="str">
        <f>IF(ISNUMBER(F3501),E3501*F3501,"")</f>
        <v/>
      </c>
      <c r="H3501" s="73"/>
      <c r="I3501" s="74"/>
      <c r="J3501" s="155">
        <v>0</v>
      </c>
    </row>
    <row r="3502" spans="1:10" ht="15.75" hidden="1" thickBot="1" x14ac:dyDescent="0.3">
      <c r="A3502" s="181"/>
      <c r="B3502" s="202"/>
      <c r="C3502" s="36" t="s">
        <v>101</v>
      </c>
      <c r="D3502" s="36" t="s">
        <v>12</v>
      </c>
      <c r="E3502" s="37">
        <v>0.4</v>
      </c>
      <c r="F3502" s="54">
        <v>23.645499999999998</v>
      </c>
      <c r="G3502" s="54">
        <f>IF(ISNUMBER(F3502),E3502*F3502,"")</f>
        <v>9.4581999999999997</v>
      </c>
      <c r="H3502" s="39">
        <f>SUM(G3502:G3504)</f>
        <v>11.352499999999999</v>
      </c>
      <c r="I3502" s="40"/>
      <c r="J3502" s="155">
        <v>0</v>
      </c>
    </row>
    <row r="3503" spans="1:10" ht="15.75" hidden="1" thickBot="1" x14ac:dyDescent="0.3">
      <c r="A3503" s="181"/>
      <c r="B3503" s="202"/>
      <c r="C3503" s="36" t="s">
        <v>1091</v>
      </c>
      <c r="D3503" s="36" t="s">
        <v>12</v>
      </c>
      <c r="E3503" s="37">
        <v>0.1</v>
      </c>
      <c r="F3503" s="54">
        <v>18.943000000000001</v>
      </c>
      <c r="G3503" s="54">
        <f>IF(ISNUMBER(F3503),E3503*F3503,"")</f>
        <v>1.8943000000000003</v>
      </c>
      <c r="H3503" s="73"/>
      <c r="I3503" s="74"/>
      <c r="J3503" s="155">
        <v>0</v>
      </c>
    </row>
    <row r="3504" spans="1:10" ht="15.75" hidden="1" thickBot="1" x14ac:dyDescent="0.3">
      <c r="A3504" s="181"/>
      <c r="B3504" s="202"/>
      <c r="C3504" s="36" t="s">
        <v>1092</v>
      </c>
      <c r="D3504" s="50" t="s">
        <v>103</v>
      </c>
      <c r="E3504" s="37">
        <v>0.33</v>
      </c>
      <c r="F3504" s="54">
        <v>0</v>
      </c>
      <c r="G3504" s="54">
        <f>IF(ISNUMBER(F3504),E3504*F3504,"")</f>
        <v>0</v>
      </c>
      <c r="H3504" s="73"/>
      <c r="I3504" s="74"/>
      <c r="J3504" s="155">
        <v>0</v>
      </c>
    </row>
    <row r="3505" spans="1:10" ht="15.75" hidden="1" thickBot="1" x14ac:dyDescent="0.3">
      <c r="A3505" s="182"/>
      <c r="B3505" s="188"/>
      <c r="C3505" s="36"/>
      <c r="D3505" s="36"/>
      <c r="E3505" s="37"/>
      <c r="F3505" s="54" t="s">
        <v>558</v>
      </c>
      <c r="G3505" s="54" t="str">
        <f>IF(ISNUMBER(F3505),E3505*F3505,"")</f>
        <v/>
      </c>
      <c r="H3505" s="73"/>
      <c r="I3505" s="74"/>
      <c r="J3505" s="155">
        <v>0</v>
      </c>
    </row>
    <row r="3506" spans="1:10" ht="15.75" hidden="1" thickBot="1" x14ac:dyDescent="0.3">
      <c r="A3506" s="180" t="s">
        <v>1093</v>
      </c>
      <c r="B3506" s="186" t="str">
        <f>INDEX(Orçamentária!A:B,MATCH(Composições!A3506,Orçamentária!A:A,0),2)</f>
        <v>Cantoneira em alumínio abas iguais 1" x 1/8" – Pingadeira “L”</v>
      </c>
      <c r="C3506" s="41"/>
      <c r="D3506" s="26" t="str">
        <f>TRIM(INDEX(Orçamentária!C:C,MATCH(Composições!A3506,Orçamentária!A:A,0),1))</f>
        <v>m</v>
      </c>
      <c r="E3506" s="27"/>
      <c r="F3506" s="49" t="s">
        <v>558</v>
      </c>
      <c r="G3506" s="28" t="str">
        <f>IF(ISNUMBER(F3506),E3506*F3506,"")</f>
        <v/>
      </c>
      <c r="H3506" s="29"/>
      <c r="I3506" s="30"/>
      <c r="J3506" s="155">
        <v>0</v>
      </c>
    </row>
    <row r="3507" spans="1:10" ht="15.75" hidden="1" thickBot="1" x14ac:dyDescent="0.3">
      <c r="A3507" s="181"/>
      <c r="B3507" s="202"/>
      <c r="C3507" s="32"/>
      <c r="D3507" s="32"/>
      <c r="E3507" s="33"/>
      <c r="F3507" s="54" t="s">
        <v>558</v>
      </c>
      <c r="G3507" s="54" t="str">
        <f>IF(ISNUMBER(F3507),E3507*F3507,"")</f>
        <v/>
      </c>
      <c r="H3507" s="73"/>
      <c r="I3507" s="74"/>
      <c r="J3507" s="155">
        <v>0</v>
      </c>
    </row>
    <row r="3508" spans="1:10" ht="15.75" hidden="1" thickBot="1" x14ac:dyDescent="0.3">
      <c r="A3508" s="181"/>
      <c r="B3508" s="202"/>
      <c r="C3508" s="36" t="s">
        <v>54</v>
      </c>
      <c r="D3508" s="36" t="s">
        <v>12</v>
      </c>
      <c r="E3508" s="37">
        <v>0.6</v>
      </c>
      <c r="F3508" s="54">
        <v>18.9145</v>
      </c>
      <c r="G3508" s="54">
        <f>IF(ISNUMBER(F3508),E3508*F3508,"")</f>
        <v>11.348699999999999</v>
      </c>
      <c r="H3508" s="39">
        <f>SUM(G3508:G3510)</f>
        <v>18.040499999999998</v>
      </c>
      <c r="I3508" s="40"/>
      <c r="J3508" s="155">
        <v>0</v>
      </c>
    </row>
    <row r="3509" spans="1:10" ht="15.75" hidden="1" thickBot="1" x14ac:dyDescent="0.3">
      <c r="A3509" s="181"/>
      <c r="B3509" s="202"/>
      <c r="C3509" s="36" t="s">
        <v>23</v>
      </c>
      <c r="D3509" s="36" t="s">
        <v>12</v>
      </c>
      <c r="E3509" s="37">
        <v>0.4</v>
      </c>
      <c r="F3509" s="54">
        <v>16.729499999999998</v>
      </c>
      <c r="G3509" s="54">
        <f>IF(ISNUMBER(F3509),E3509*F3509,"")</f>
        <v>6.6917999999999997</v>
      </c>
      <c r="H3509" s="73"/>
      <c r="I3509" s="74"/>
      <c r="J3509" s="155">
        <v>0</v>
      </c>
    </row>
    <row r="3510" spans="1:10" ht="26.25" hidden="1" thickBot="1" x14ac:dyDescent="0.3">
      <c r="A3510" s="181"/>
      <c r="B3510" s="202"/>
      <c r="C3510" s="36" t="s">
        <v>1094</v>
      </c>
      <c r="D3510" s="47" t="s">
        <v>93</v>
      </c>
      <c r="E3510" s="37">
        <v>1</v>
      </c>
      <c r="F3510" s="54" t="s">
        <v>558</v>
      </c>
      <c r="G3510" s="54" t="str">
        <f>IF(ISNUMBER(F3510),E3510*F3510,"")</f>
        <v/>
      </c>
      <c r="H3510" s="73"/>
      <c r="I3510" s="74"/>
      <c r="J3510" s="155">
        <v>0</v>
      </c>
    </row>
    <row r="3511" spans="1:10" ht="15.75" hidden="1" thickBot="1" x14ac:dyDescent="0.3">
      <c r="A3511" s="182"/>
      <c r="B3511" s="188"/>
      <c r="C3511" s="36"/>
      <c r="D3511" s="36"/>
      <c r="E3511" s="37"/>
      <c r="F3511" s="54" t="s">
        <v>558</v>
      </c>
      <c r="G3511" s="54" t="str">
        <f>IF(ISNUMBER(F3511),E3511*F3511,"")</f>
        <v/>
      </c>
      <c r="H3511" s="73"/>
      <c r="I3511" s="74"/>
      <c r="J3511" s="155">
        <v>0</v>
      </c>
    </row>
    <row r="3512" spans="1:10" ht="15.75" hidden="1" thickBot="1" x14ac:dyDescent="0.3">
      <c r="A3512" s="180" t="s">
        <v>1095</v>
      </c>
      <c r="B3512" s="186" t="str">
        <f>INDEX(Orçamentária!A:B,MATCH(Composições!A3512,Orçamentária!A:A,0),2)</f>
        <v>Granito Amarelo Maracujá para rodapé</v>
      </c>
      <c r="C3512" s="41"/>
      <c r="D3512" s="26" t="str">
        <f>TRIM(INDEX(Orçamentária!C:C,MATCH(Composições!A3512,Orçamentária!A:A,0),1))</f>
        <v>m2</v>
      </c>
      <c r="E3512" s="27"/>
      <c r="F3512" s="49" t="s">
        <v>558</v>
      </c>
      <c r="G3512" s="28" t="str">
        <f>IF(ISNUMBER(F3512),E3512*F3512,"")</f>
        <v/>
      </c>
      <c r="H3512" s="29"/>
      <c r="I3512" s="30"/>
      <c r="J3512" s="155">
        <v>0</v>
      </c>
    </row>
    <row r="3513" spans="1:10" ht="15.75" hidden="1" thickBot="1" x14ac:dyDescent="0.3">
      <c r="A3513" s="181"/>
      <c r="B3513" s="202"/>
      <c r="C3513" s="32"/>
      <c r="D3513" s="32"/>
      <c r="E3513" s="33"/>
      <c r="F3513" s="54" t="s">
        <v>558</v>
      </c>
      <c r="G3513" s="54" t="str">
        <f>IF(ISNUMBER(F3513),E3513*F3513,"")</f>
        <v/>
      </c>
      <c r="H3513" s="73"/>
      <c r="I3513" s="74"/>
      <c r="J3513" s="155">
        <v>0</v>
      </c>
    </row>
    <row r="3514" spans="1:10" ht="15.75" hidden="1" thickBot="1" x14ac:dyDescent="0.3">
      <c r="A3514" s="181"/>
      <c r="B3514" s="202"/>
      <c r="C3514" s="36" t="s">
        <v>1096</v>
      </c>
      <c r="D3514" s="36" t="s">
        <v>95</v>
      </c>
      <c r="E3514" s="37">
        <v>1.05</v>
      </c>
      <c r="F3514" s="54" t="s">
        <v>558</v>
      </c>
      <c r="G3514" s="54" t="str">
        <f>IF(ISNUMBER(F3514),E3514*F3514,"")</f>
        <v/>
      </c>
      <c r="H3514" s="39">
        <f>SUM(G3514:G3518)</f>
        <v>95.95115899999999</v>
      </c>
      <c r="I3514" s="40"/>
      <c r="J3514" s="155">
        <v>0</v>
      </c>
    </row>
    <row r="3515" spans="1:10" ht="15.75" hidden="1" thickBot="1" x14ac:dyDescent="0.3">
      <c r="A3515" s="181"/>
      <c r="B3515" s="202"/>
      <c r="C3515" s="36" t="s">
        <v>3619</v>
      </c>
      <c r="D3515" s="36" t="s">
        <v>42</v>
      </c>
      <c r="E3515" s="37">
        <f>0.8614/0.1</f>
        <v>8.6140000000000008</v>
      </c>
      <c r="F3515" s="54">
        <v>1.3109999999999999</v>
      </c>
      <c r="G3515" s="54">
        <f>IF(ISNUMBER(F3515),E3515*F3515,"")</f>
        <v>11.292954</v>
      </c>
      <c r="H3515" s="73"/>
      <c r="I3515" s="74"/>
      <c r="J3515" s="155">
        <v>0</v>
      </c>
    </row>
    <row r="3516" spans="1:10" ht="15.75" hidden="1" thickBot="1" x14ac:dyDescent="0.3">
      <c r="A3516" s="181"/>
      <c r="B3516" s="202"/>
      <c r="C3516" s="36" t="s">
        <v>54</v>
      </c>
      <c r="D3516" s="36" t="s">
        <v>12</v>
      </c>
      <c r="E3516" s="37">
        <f>0.299/0.1</f>
        <v>2.9899999999999998</v>
      </c>
      <c r="F3516" s="54">
        <v>18.9145</v>
      </c>
      <c r="G3516" s="54">
        <f>IF(ISNUMBER(F3516),E3516*F3516,"")</f>
        <v>56.554354999999994</v>
      </c>
      <c r="H3516" s="73"/>
      <c r="I3516" s="74"/>
      <c r="J3516" s="155">
        <v>0</v>
      </c>
    </row>
    <row r="3517" spans="1:10" ht="15.75" hidden="1" thickBot="1" x14ac:dyDescent="0.3">
      <c r="A3517" s="181"/>
      <c r="B3517" s="202"/>
      <c r="C3517" s="36" t="s">
        <v>23</v>
      </c>
      <c r="D3517" s="36" t="s">
        <v>12</v>
      </c>
      <c r="E3517" s="37">
        <f>0.15/0.1</f>
        <v>1.4999999999999998</v>
      </c>
      <c r="F3517" s="54">
        <v>16.729499999999998</v>
      </c>
      <c r="G3517" s="54">
        <f>IF(ISNUMBER(F3517),E3517*F3517,"")</f>
        <v>25.094249999999992</v>
      </c>
      <c r="H3517" s="73"/>
      <c r="I3517" s="74"/>
      <c r="J3517" s="155">
        <v>0</v>
      </c>
    </row>
    <row r="3518" spans="1:10" ht="15.75" hidden="1" thickBot="1" x14ac:dyDescent="0.3">
      <c r="A3518" s="181"/>
      <c r="B3518" s="202"/>
      <c r="C3518" s="36" t="s">
        <v>3618</v>
      </c>
      <c r="D3518" s="36" t="s">
        <v>42</v>
      </c>
      <c r="E3518" s="37">
        <f>0.12/0.1</f>
        <v>1.2</v>
      </c>
      <c r="F3518" s="54">
        <v>2.508</v>
      </c>
      <c r="G3518" s="54">
        <f>IF(ISNUMBER(F3518),E3518*F3518,"")</f>
        <v>3.0095999999999998</v>
      </c>
      <c r="H3518" s="73"/>
      <c r="I3518" s="74"/>
      <c r="J3518" s="155">
        <v>0</v>
      </c>
    </row>
    <row r="3519" spans="1:10" ht="15.75" hidden="1" thickBot="1" x14ac:dyDescent="0.3">
      <c r="A3519" s="181"/>
      <c r="B3519" s="202"/>
      <c r="C3519" s="36"/>
      <c r="D3519" s="36"/>
      <c r="E3519" s="37"/>
      <c r="F3519" s="54" t="s">
        <v>558</v>
      </c>
      <c r="G3519" s="54" t="str">
        <f>IF(ISNUMBER(F3519),E3519*F3519,"")</f>
        <v/>
      </c>
      <c r="H3519" s="73"/>
      <c r="I3519" s="74"/>
      <c r="J3519" s="155">
        <v>0</v>
      </c>
    </row>
    <row r="3520" spans="1:10" ht="15.75" hidden="1" thickBot="1" x14ac:dyDescent="0.3">
      <c r="A3520" s="180" t="s">
        <v>1097</v>
      </c>
      <c r="B3520" s="186" t="str">
        <f>INDEX(Orçamentária!A:B,MATCH(Composições!A3520,Orçamentária!A:A,0),2)</f>
        <v>Acabamento das extremidades aparentes dos parafusos de fixação (lixamento e revestimento)</v>
      </c>
      <c r="C3520" s="41"/>
      <c r="D3520" s="26" t="str">
        <f>TRIM(INDEX(Orçamentária!C:C,MATCH(Composições!A3520,Orçamentária!A:A,0),1))</f>
        <v>un</v>
      </c>
      <c r="E3520" s="27"/>
      <c r="F3520" s="49" t="s">
        <v>558</v>
      </c>
      <c r="G3520" s="28" t="str">
        <f>IF(ISNUMBER(F3520),E3520*F3520,"")</f>
        <v/>
      </c>
      <c r="H3520" s="29"/>
      <c r="I3520" s="30"/>
      <c r="J3520" s="155">
        <v>0</v>
      </c>
    </row>
    <row r="3521" spans="1:10" ht="15.75" hidden="1" thickBot="1" x14ac:dyDescent="0.3">
      <c r="A3521" s="181"/>
      <c r="B3521" s="202"/>
      <c r="C3521" s="32"/>
      <c r="D3521" s="32"/>
      <c r="E3521" s="33"/>
      <c r="F3521" s="54" t="s">
        <v>558</v>
      </c>
      <c r="G3521" s="54" t="str">
        <f>IF(ISNUMBER(F3521),E3521*F3521,"")</f>
        <v/>
      </c>
      <c r="H3521" s="73"/>
      <c r="I3521" s="74"/>
      <c r="J3521" s="155">
        <v>0</v>
      </c>
    </row>
    <row r="3522" spans="1:10" ht="15.75" hidden="1" thickBot="1" x14ac:dyDescent="0.3">
      <c r="A3522" s="181"/>
      <c r="B3522" s="202"/>
      <c r="C3522" s="36" t="s">
        <v>23</v>
      </c>
      <c r="D3522" s="36" t="s">
        <v>12</v>
      </c>
      <c r="E3522" s="37">
        <v>0.05</v>
      </c>
      <c r="F3522" s="54">
        <v>16.729499999999998</v>
      </c>
      <c r="G3522" s="54">
        <f>IF(ISNUMBER(F3522),E3522*F3522,"")</f>
        <v>0.83647499999999997</v>
      </c>
      <c r="H3522" s="39">
        <f>SUM(G3522:G3525)</f>
        <v>0.96187500000000004</v>
      </c>
      <c r="I3522" s="40"/>
      <c r="J3522" s="155">
        <v>0</v>
      </c>
    </row>
    <row r="3523" spans="1:10" ht="15.75" hidden="1" thickBot="1" x14ac:dyDescent="0.3">
      <c r="A3523" s="181"/>
      <c r="B3523" s="202"/>
      <c r="C3523" s="36" t="s">
        <v>1098</v>
      </c>
      <c r="D3523" s="36" t="s">
        <v>1099</v>
      </c>
      <c r="E3523" s="37">
        <f>0.25/10</f>
        <v>2.5000000000000001E-2</v>
      </c>
      <c r="F3523" s="54">
        <v>0</v>
      </c>
      <c r="G3523" s="54">
        <f>IF(ISNUMBER(F3523),E3523*F3523,"")</f>
        <v>0</v>
      </c>
      <c r="H3523" s="73"/>
      <c r="I3523" s="74"/>
      <c r="J3523" s="155">
        <v>0</v>
      </c>
    </row>
    <row r="3524" spans="1:10" ht="15.75" hidden="1" thickBot="1" x14ac:dyDescent="0.3">
      <c r="A3524" s="181"/>
      <c r="B3524" s="202"/>
      <c r="C3524" s="36" t="s">
        <v>1100</v>
      </c>
      <c r="D3524" s="36" t="s">
        <v>20</v>
      </c>
      <c r="E3524" s="37">
        <v>0.25</v>
      </c>
      <c r="F3524" s="54" t="s">
        <v>558</v>
      </c>
      <c r="G3524" s="54" t="str">
        <f>IF(ISNUMBER(F3524),E3524*F3524,"")</f>
        <v/>
      </c>
      <c r="H3524" s="73"/>
      <c r="I3524" s="74"/>
      <c r="J3524" s="155">
        <v>0</v>
      </c>
    </row>
    <row r="3525" spans="1:10" ht="15.75" hidden="1" thickBot="1" x14ac:dyDescent="0.3">
      <c r="A3525" s="181"/>
      <c r="B3525" s="202"/>
      <c r="C3525" s="36" t="s">
        <v>3618</v>
      </c>
      <c r="D3525" s="47" t="s">
        <v>42</v>
      </c>
      <c r="E3525" s="37">
        <v>0.05</v>
      </c>
      <c r="F3525" s="54">
        <v>2.508</v>
      </c>
      <c r="G3525" s="54">
        <f>IF(ISNUMBER(F3525),E3525*F3525,"")</f>
        <v>0.12540000000000001</v>
      </c>
      <c r="H3525" s="73"/>
      <c r="I3525" s="74"/>
      <c r="J3525" s="155">
        <v>0</v>
      </c>
    </row>
    <row r="3526" spans="1:10" ht="15.75" hidden="1" thickBot="1" x14ac:dyDescent="0.3">
      <c r="A3526" s="182"/>
      <c r="B3526" s="188"/>
      <c r="C3526" s="36"/>
      <c r="D3526" s="36"/>
      <c r="E3526" s="37"/>
      <c r="F3526" s="54" t="s">
        <v>558</v>
      </c>
      <c r="G3526" s="54" t="str">
        <f>IF(ISNUMBER(F3526),E3526*F3526,"")</f>
        <v/>
      </c>
      <c r="H3526" s="73"/>
      <c r="I3526" s="74"/>
      <c r="J3526" s="155">
        <v>0</v>
      </c>
    </row>
    <row r="3527" spans="1:10" ht="15.75" hidden="1" thickBot="1" x14ac:dyDescent="0.3">
      <c r="A3527" s="180" t="s">
        <v>1101</v>
      </c>
      <c r="B3527" s="186" t="str">
        <f>INDEX(Orçamentária!A:B,MATCH(Composições!A3527,Orçamentária!A:A,0),2)</f>
        <v>Rejuntamento de placas de rocha ornamental em fachada</v>
      </c>
      <c r="C3527" s="41"/>
      <c r="D3527" s="26" t="str">
        <f>TRIM(INDEX(Orçamentária!C:C,MATCH(Composições!A3527,Orçamentária!A:A,0),1))</f>
        <v>m2</v>
      </c>
      <c r="E3527" s="27"/>
      <c r="F3527" s="49" t="s">
        <v>558</v>
      </c>
      <c r="G3527" s="28" t="str">
        <f>IF(ISNUMBER(F3527),E3527*F3527,"")</f>
        <v/>
      </c>
      <c r="H3527" s="29"/>
      <c r="I3527" s="30"/>
      <c r="J3527" s="155">
        <v>0</v>
      </c>
    </row>
    <row r="3528" spans="1:10" ht="15.75" hidden="1" thickBot="1" x14ac:dyDescent="0.3">
      <c r="A3528" s="181"/>
      <c r="B3528" s="202"/>
      <c r="C3528" s="32"/>
      <c r="D3528" s="32"/>
      <c r="E3528" s="33"/>
      <c r="F3528" s="54" t="s">
        <v>558</v>
      </c>
      <c r="G3528" s="54" t="str">
        <f>IF(ISNUMBER(F3528),E3528*F3528,"")</f>
        <v/>
      </c>
      <c r="H3528" s="73"/>
      <c r="I3528" s="74"/>
      <c r="J3528" s="155">
        <v>0</v>
      </c>
    </row>
    <row r="3529" spans="1:10" ht="15.75" hidden="1" thickBot="1" x14ac:dyDescent="0.3">
      <c r="A3529" s="181"/>
      <c r="B3529" s="202"/>
      <c r="C3529" s="36" t="s">
        <v>23</v>
      </c>
      <c r="D3529" s="36" t="s">
        <v>12</v>
      </c>
      <c r="E3529" s="37">
        <v>0.25</v>
      </c>
      <c r="F3529" s="54">
        <v>16.729499999999998</v>
      </c>
      <c r="G3529" s="54">
        <f>IF(ISNUMBER(F3529),E3529*F3529,"")</f>
        <v>4.1823749999999995</v>
      </c>
      <c r="H3529" s="39">
        <f>SUM(G3529:G3530)</f>
        <v>5.5091069999999993</v>
      </c>
      <c r="I3529" s="40"/>
      <c r="J3529" s="155">
        <v>0</v>
      </c>
    </row>
    <row r="3530" spans="1:10" ht="15.75" hidden="1" thickBot="1" x14ac:dyDescent="0.3">
      <c r="A3530" s="181"/>
      <c r="B3530" s="202"/>
      <c r="C3530" s="36" t="s">
        <v>3618</v>
      </c>
      <c r="D3530" s="47" t="s">
        <v>42</v>
      </c>
      <c r="E3530" s="37">
        <v>0.52900000000000003</v>
      </c>
      <c r="F3530" s="54">
        <v>2.508</v>
      </c>
      <c r="G3530" s="54">
        <f>IF(ISNUMBER(F3530),E3530*F3530,"")</f>
        <v>1.326732</v>
      </c>
      <c r="H3530" s="73"/>
      <c r="I3530" s="74"/>
      <c r="J3530" s="155">
        <v>0</v>
      </c>
    </row>
    <row r="3531" spans="1:10" ht="15.75" hidden="1" thickBot="1" x14ac:dyDescent="0.3">
      <c r="A3531" s="182"/>
      <c r="B3531" s="188"/>
      <c r="C3531" s="36"/>
      <c r="D3531" s="36"/>
      <c r="E3531" s="37"/>
      <c r="F3531" s="54" t="s">
        <v>558</v>
      </c>
      <c r="G3531" s="54" t="str">
        <f>IF(ISNUMBER(F3531),E3531*F3531,"")</f>
        <v/>
      </c>
      <c r="H3531" s="73"/>
      <c r="I3531" s="74"/>
      <c r="J3531" s="155">
        <v>0</v>
      </c>
    </row>
    <row r="3532" spans="1:10" ht="15.75" hidden="1" thickBot="1" x14ac:dyDescent="0.3">
      <c r="A3532" s="180" t="s">
        <v>1102</v>
      </c>
      <c r="B3532" s="186" t="str">
        <f>INDEX(Orçamentária!A:B,MATCH(Composições!A3532,Orçamentária!A:A,0),2)</f>
        <v>Junta de movimentação em fachada</v>
      </c>
      <c r="C3532" s="41"/>
      <c r="D3532" s="26" t="str">
        <f>TRIM(INDEX(Orçamentária!C:C,MATCH(Composições!A3532,Orçamentária!A:A,0),1))</f>
        <v>m</v>
      </c>
      <c r="E3532" s="27"/>
      <c r="F3532" s="49" t="s">
        <v>558</v>
      </c>
      <c r="G3532" s="28" t="str">
        <f>IF(ISNUMBER(F3532),E3532*F3532,"")</f>
        <v/>
      </c>
      <c r="H3532" s="29"/>
      <c r="I3532" s="30"/>
      <c r="J3532" s="155">
        <v>0</v>
      </c>
    </row>
    <row r="3533" spans="1:10" ht="15.75" hidden="1" thickBot="1" x14ac:dyDescent="0.3">
      <c r="A3533" s="181"/>
      <c r="B3533" s="202"/>
      <c r="C3533" s="32"/>
      <c r="D3533" s="32"/>
      <c r="E3533" s="33"/>
      <c r="F3533" s="54" t="s">
        <v>558</v>
      </c>
      <c r="G3533" s="54" t="str">
        <f>IF(ISNUMBER(F3533),E3533*F3533,"")</f>
        <v/>
      </c>
      <c r="H3533" s="73"/>
      <c r="I3533" s="74"/>
      <c r="J3533" s="155">
        <v>0</v>
      </c>
    </row>
    <row r="3534" spans="1:10" ht="15.75" hidden="1" thickBot="1" x14ac:dyDescent="0.3">
      <c r="A3534" s="181"/>
      <c r="B3534" s="202"/>
      <c r="C3534" s="36" t="s">
        <v>22</v>
      </c>
      <c r="D3534" s="36" t="s">
        <v>12</v>
      </c>
      <c r="E3534" s="37">
        <v>0.33</v>
      </c>
      <c r="F3534" s="54">
        <v>22.704999999999998</v>
      </c>
      <c r="G3534" s="54">
        <f>IF(ISNUMBER(F3534),E3534*F3534,"")</f>
        <v>7.4926499999999994</v>
      </c>
      <c r="H3534" s="39">
        <f>SUM(G3534:G3538)</f>
        <v>23.958906899999999</v>
      </c>
      <c r="I3534" s="40"/>
      <c r="J3534" s="155">
        <v>0</v>
      </c>
    </row>
    <row r="3535" spans="1:10" ht="15.75" hidden="1" thickBot="1" x14ac:dyDescent="0.3">
      <c r="A3535" s="181"/>
      <c r="B3535" s="202"/>
      <c r="C3535" s="36" t="s">
        <v>23</v>
      </c>
      <c r="D3535" s="36" t="s">
        <v>12</v>
      </c>
      <c r="E3535" s="37">
        <v>0.1</v>
      </c>
      <c r="F3535" s="54">
        <v>16.729499999999998</v>
      </c>
      <c r="G3535" s="54">
        <f>IF(ISNUMBER(F3535),E3535*F3535,"")</f>
        <v>1.6729499999999999</v>
      </c>
      <c r="H3535" s="73"/>
      <c r="I3535" s="74"/>
      <c r="J3535" s="155">
        <v>0</v>
      </c>
    </row>
    <row r="3536" spans="1:10" ht="15.75" hidden="1" thickBot="1" x14ac:dyDescent="0.3">
      <c r="A3536" s="181"/>
      <c r="B3536" s="202"/>
      <c r="C3536" s="36" t="s">
        <v>1103</v>
      </c>
      <c r="D3536" s="50" t="s">
        <v>103</v>
      </c>
      <c r="E3536" s="37">
        <v>0.15</v>
      </c>
      <c r="F3536" s="54">
        <v>0</v>
      </c>
      <c r="G3536" s="54">
        <f>IF(ISNUMBER(F3536),E3536*F3536,"")</f>
        <v>0</v>
      </c>
      <c r="H3536" s="73"/>
      <c r="I3536" s="74"/>
      <c r="J3536" s="155">
        <v>0</v>
      </c>
    </row>
    <row r="3537" spans="1:10" ht="15.75" hidden="1" thickBot="1" x14ac:dyDescent="0.3">
      <c r="A3537" s="181"/>
      <c r="B3537" s="202"/>
      <c r="C3537" s="36" t="s">
        <v>1104</v>
      </c>
      <c r="D3537" s="47" t="s">
        <v>93</v>
      </c>
      <c r="E3537" s="37">
        <v>1</v>
      </c>
      <c r="F3537" s="54">
        <v>0</v>
      </c>
      <c r="G3537" s="54">
        <f>IF(ISNUMBER(F3537),E3537*F3537,"")</f>
        <v>0</v>
      </c>
      <c r="H3537" s="73"/>
      <c r="I3537" s="74"/>
      <c r="J3537" s="155">
        <v>0</v>
      </c>
    </row>
    <row r="3538" spans="1:10" ht="26.25" hidden="1" thickBot="1" x14ac:dyDescent="0.3">
      <c r="A3538" s="181"/>
      <c r="B3538" s="202"/>
      <c r="C3538" s="36" t="s">
        <v>1105</v>
      </c>
      <c r="D3538" s="47" t="s">
        <v>1106</v>
      </c>
      <c r="E3538" s="37">
        <f>ROUND(0.15/0.31,4)</f>
        <v>0.4839</v>
      </c>
      <c r="F3538" s="54">
        <v>30.570999999999998</v>
      </c>
      <c r="G3538" s="54">
        <f>IF(ISNUMBER(F3538),E3538*F3538,"")</f>
        <v>14.793306899999999</v>
      </c>
      <c r="H3538" s="73"/>
      <c r="I3538" s="74"/>
      <c r="J3538" s="155">
        <v>0</v>
      </c>
    </row>
    <row r="3539" spans="1:10" ht="15.75" hidden="1" thickBot="1" x14ac:dyDescent="0.3">
      <c r="A3539" s="182"/>
      <c r="B3539" s="188"/>
      <c r="C3539" s="36"/>
      <c r="D3539" s="36"/>
      <c r="E3539" s="37"/>
      <c r="F3539" s="54" t="s">
        <v>558</v>
      </c>
      <c r="G3539" s="54" t="str">
        <f>IF(ISNUMBER(F3539),E3539*F3539,"")</f>
        <v/>
      </c>
      <c r="H3539" s="73"/>
      <c r="I3539" s="74"/>
      <c r="J3539" s="155">
        <v>0</v>
      </c>
    </row>
    <row r="3540" spans="1:10" ht="15.75" hidden="1" thickBot="1" x14ac:dyDescent="0.3">
      <c r="A3540" s="180" t="s">
        <v>1107</v>
      </c>
      <c r="B3540" s="186" t="str">
        <f>INDEX(Orçamentária!A:B,MATCH(Composições!A3540,Orçamentária!A:A,0),2)</f>
        <v>Adesivo Selante Poliuretano – fornecimento e aplicação</v>
      </c>
      <c r="C3540" s="41"/>
      <c r="D3540" s="26" t="str">
        <f>TRIM(INDEX(Orçamentária!C:C,MATCH(Composições!A3540,Orçamentária!A:A,0),1))</f>
        <v>m</v>
      </c>
      <c r="E3540" s="27"/>
      <c r="F3540" s="49" t="s">
        <v>558</v>
      </c>
      <c r="G3540" s="28" t="str">
        <f>IF(ISNUMBER(F3540),E3540*F3540,"")</f>
        <v/>
      </c>
      <c r="H3540" s="29"/>
      <c r="I3540" s="30"/>
      <c r="J3540" s="155">
        <v>0</v>
      </c>
    </row>
    <row r="3541" spans="1:10" ht="15.75" hidden="1" thickBot="1" x14ac:dyDescent="0.3">
      <c r="A3541" s="181"/>
      <c r="B3541" s="202"/>
      <c r="C3541" s="32"/>
      <c r="D3541" s="32"/>
      <c r="E3541" s="33"/>
      <c r="F3541" s="54" t="s">
        <v>558</v>
      </c>
      <c r="G3541" s="54" t="str">
        <f>IF(ISNUMBER(F3541),E3541*F3541,"")</f>
        <v/>
      </c>
      <c r="H3541" s="73"/>
      <c r="I3541" s="74"/>
      <c r="J3541" s="155">
        <v>0</v>
      </c>
    </row>
    <row r="3542" spans="1:10" ht="15.75" hidden="1" thickBot="1" x14ac:dyDescent="0.3">
      <c r="A3542" s="181"/>
      <c r="B3542" s="202"/>
      <c r="C3542" s="36" t="s">
        <v>22</v>
      </c>
      <c r="D3542" s="36" t="s">
        <v>12</v>
      </c>
      <c r="E3542" s="37">
        <v>0.16500000000000001</v>
      </c>
      <c r="F3542" s="54">
        <v>22.704999999999998</v>
      </c>
      <c r="G3542" s="54">
        <f>IF(ISNUMBER(F3542),E3542*F3542,"")</f>
        <v>3.7463249999999997</v>
      </c>
      <c r="H3542" s="39">
        <f>SUM(G3542:G3544)</f>
        <v>15.605532199999999</v>
      </c>
      <c r="I3542" s="40"/>
      <c r="J3542" s="155">
        <v>0</v>
      </c>
    </row>
    <row r="3543" spans="1:10" ht="15.75" hidden="1" thickBot="1" x14ac:dyDescent="0.3">
      <c r="A3543" s="181"/>
      <c r="B3543" s="202"/>
      <c r="C3543" s="36" t="s">
        <v>23</v>
      </c>
      <c r="D3543" s="36" t="s">
        <v>12</v>
      </c>
      <c r="E3543" s="37">
        <v>0.1</v>
      </c>
      <c r="F3543" s="54">
        <v>16.729499999999998</v>
      </c>
      <c r="G3543" s="54">
        <f>IF(ISNUMBER(F3543),E3543*F3543,"")</f>
        <v>1.6729499999999999</v>
      </c>
      <c r="H3543" s="73"/>
      <c r="I3543" s="74"/>
      <c r="J3543" s="155">
        <v>0</v>
      </c>
    </row>
    <row r="3544" spans="1:10" ht="26.25" hidden="1" thickBot="1" x14ac:dyDescent="0.3">
      <c r="A3544" s="181"/>
      <c r="B3544" s="202"/>
      <c r="C3544" s="36" t="s">
        <v>1105</v>
      </c>
      <c r="D3544" s="47" t="s">
        <v>1106</v>
      </c>
      <c r="E3544" s="37">
        <f>ROUND(0.1033/0.31,4)</f>
        <v>0.3332</v>
      </c>
      <c r="F3544" s="54">
        <v>30.570999999999998</v>
      </c>
      <c r="G3544" s="54">
        <f>IF(ISNUMBER(F3544),E3544*F3544,"")</f>
        <v>10.1862572</v>
      </c>
      <c r="H3544" s="73"/>
      <c r="I3544" s="74"/>
      <c r="J3544" s="155">
        <v>0</v>
      </c>
    </row>
    <row r="3545" spans="1:10" ht="15.75" hidden="1" thickBot="1" x14ac:dyDescent="0.3">
      <c r="A3545" s="182"/>
      <c r="B3545" s="188"/>
      <c r="C3545" s="36"/>
      <c r="D3545" s="36"/>
      <c r="E3545" s="37"/>
      <c r="F3545" s="54" t="s">
        <v>558</v>
      </c>
      <c r="G3545" s="54" t="str">
        <f>IF(ISNUMBER(F3545),E3545*F3545,"")</f>
        <v/>
      </c>
      <c r="H3545" s="73"/>
      <c r="I3545" s="74"/>
      <c r="J3545" s="155">
        <v>0</v>
      </c>
    </row>
    <row r="3546" spans="1:10" ht="15.75" hidden="1" thickBot="1" x14ac:dyDescent="0.3">
      <c r="A3546" s="180" t="s">
        <v>1108</v>
      </c>
      <c r="B3546" s="186" t="str">
        <f>INDEX(Orçamentária!A:B,MATCH(Composições!A3546,Orçamentária!A:A,0),2)</f>
        <v>Chuveiro elétrico</v>
      </c>
      <c r="C3546" s="41"/>
      <c r="D3546" s="26" t="str">
        <f>TRIM(INDEX(Orçamentária!C:C,MATCH(Composições!A3546,Orçamentária!A:A,0),1))</f>
        <v>un</v>
      </c>
      <c r="E3546" s="27"/>
      <c r="F3546" s="49" t="s">
        <v>558</v>
      </c>
      <c r="G3546" s="28" t="str">
        <f>IF(ISNUMBER(F3546),E3546*F3546,"")</f>
        <v/>
      </c>
      <c r="H3546" s="29"/>
      <c r="I3546" s="30"/>
      <c r="J3546" s="155">
        <v>0</v>
      </c>
    </row>
    <row r="3547" spans="1:10" ht="15.75" hidden="1" thickBot="1" x14ac:dyDescent="0.3">
      <c r="A3547" s="181"/>
      <c r="B3547" s="202"/>
      <c r="C3547" s="32"/>
      <c r="D3547" s="32"/>
      <c r="E3547" s="33"/>
      <c r="F3547" s="54" t="s">
        <v>558</v>
      </c>
      <c r="G3547" s="54" t="str">
        <f>IF(ISNUMBER(F3547),E3547*F3547,"")</f>
        <v/>
      </c>
      <c r="H3547" s="73"/>
      <c r="I3547" s="74"/>
      <c r="J3547" s="155">
        <v>0</v>
      </c>
    </row>
    <row r="3548" spans="1:10" ht="26.25" hidden="1" thickBot="1" x14ac:dyDescent="0.3">
      <c r="A3548" s="181"/>
      <c r="B3548" s="202"/>
      <c r="C3548" s="36" t="s">
        <v>1109</v>
      </c>
      <c r="D3548" s="36" t="s">
        <v>292</v>
      </c>
      <c r="E3548" s="37">
        <v>1</v>
      </c>
      <c r="F3548" s="54">
        <v>61.892500000000005</v>
      </c>
      <c r="G3548" s="54">
        <f>IF(ISNUMBER(F3548),E3548*F3548,"")</f>
        <v>61.892500000000005</v>
      </c>
      <c r="H3548" s="39">
        <f>SUM(G3548:G3551)</f>
        <v>74.253742299999999</v>
      </c>
      <c r="I3548" s="40"/>
      <c r="J3548" s="155">
        <v>0</v>
      </c>
    </row>
    <row r="3549" spans="1:10" ht="15.75" hidden="1" thickBot="1" x14ac:dyDescent="0.3">
      <c r="A3549" s="181"/>
      <c r="B3549" s="202"/>
      <c r="C3549" s="36" t="s">
        <v>1110</v>
      </c>
      <c r="D3549" s="36" t="s">
        <v>292</v>
      </c>
      <c r="E3549" s="37">
        <v>2.1000000000000001E-2</v>
      </c>
      <c r="F3549" s="54">
        <v>3.4769999999999999</v>
      </c>
      <c r="G3549" s="54">
        <f>IF(ISNUMBER(F3549),E3549*F3549,"")</f>
        <v>7.3016999999999999E-2</v>
      </c>
      <c r="H3549" s="73"/>
      <c r="I3549" s="74"/>
      <c r="J3549" s="155">
        <v>0</v>
      </c>
    </row>
    <row r="3550" spans="1:10" ht="26.25" hidden="1" thickBot="1" x14ac:dyDescent="0.3">
      <c r="A3550" s="181"/>
      <c r="B3550" s="202"/>
      <c r="C3550" s="36" t="s">
        <v>994</v>
      </c>
      <c r="D3550" s="36" t="s">
        <v>742</v>
      </c>
      <c r="E3550" s="37">
        <v>0.44669999999999999</v>
      </c>
      <c r="F3550" s="54">
        <v>22.2395</v>
      </c>
      <c r="G3550" s="54">
        <f>IF(ISNUMBER(F3550),E3550*F3550,"")</f>
        <v>9.9343846500000001</v>
      </c>
      <c r="H3550" s="73"/>
      <c r="I3550" s="74"/>
      <c r="J3550" s="155">
        <v>0</v>
      </c>
    </row>
    <row r="3551" spans="1:10" ht="15.75" hidden="1" thickBot="1" x14ac:dyDescent="0.3">
      <c r="A3551" s="181"/>
      <c r="B3551" s="202"/>
      <c r="C3551" s="36" t="s">
        <v>743</v>
      </c>
      <c r="D3551" s="36" t="s">
        <v>742</v>
      </c>
      <c r="E3551" s="37">
        <v>0.14069999999999999</v>
      </c>
      <c r="F3551" s="54">
        <v>16.729499999999998</v>
      </c>
      <c r="G3551" s="54">
        <f>IF(ISNUMBER(F3551),E3551*F3551,"")</f>
        <v>2.3538406499999995</v>
      </c>
      <c r="H3551" s="73"/>
      <c r="I3551" s="74"/>
      <c r="J3551" s="155">
        <v>0</v>
      </c>
    </row>
    <row r="3552" spans="1:10" ht="15.75" hidden="1" thickBot="1" x14ac:dyDescent="0.3">
      <c r="A3552" s="182"/>
      <c r="B3552" s="188"/>
      <c r="C3552" s="36"/>
      <c r="D3552" s="36"/>
      <c r="E3552" s="37"/>
      <c r="F3552" s="54" t="s">
        <v>558</v>
      </c>
      <c r="G3552" s="54" t="str">
        <f>IF(ISNUMBER(F3552),E3552*F3552,"")</f>
        <v/>
      </c>
      <c r="H3552" s="73"/>
      <c r="I3552" s="74"/>
      <c r="J3552" s="155">
        <v>0</v>
      </c>
    </row>
    <row r="3553" spans="1:10" ht="15.75" hidden="1" thickBot="1" x14ac:dyDescent="0.3">
      <c r="A3553" s="180" t="s">
        <v>1111</v>
      </c>
      <c r="B3553" s="186" t="str">
        <f>INDEX(Orçamentária!A:B,MATCH(Composições!A3553,Orçamentária!A:A,0),2)</f>
        <v>Lastro em concreto magro</v>
      </c>
      <c r="C3553" s="41"/>
      <c r="D3553" s="26" t="str">
        <f>TRIM(INDEX(Orçamentária!C:C,MATCH(Composições!A3553,Orçamentária!A:A,0),1))</f>
        <v>m3</v>
      </c>
      <c r="E3553" s="27"/>
      <c r="F3553" s="49" t="s">
        <v>558</v>
      </c>
      <c r="G3553" s="28" t="str">
        <f>IF(ISNUMBER(F3553),E3553*F3553,"")</f>
        <v/>
      </c>
      <c r="H3553" s="29"/>
      <c r="I3553" s="30"/>
      <c r="J3553" s="155">
        <v>0</v>
      </c>
    </row>
    <row r="3554" spans="1:10" ht="15.75" hidden="1" thickBot="1" x14ac:dyDescent="0.3">
      <c r="A3554" s="181"/>
      <c r="B3554" s="202"/>
      <c r="C3554" s="32"/>
      <c r="D3554" s="32"/>
      <c r="E3554" s="33"/>
      <c r="F3554" s="54" t="s">
        <v>558</v>
      </c>
      <c r="G3554" s="54" t="str">
        <f>IF(ISNUMBER(F3554),E3554*F3554,"")</f>
        <v/>
      </c>
      <c r="H3554" s="73"/>
      <c r="I3554" s="74"/>
      <c r="J3554" s="155">
        <v>0</v>
      </c>
    </row>
    <row r="3555" spans="1:10" ht="15.75" hidden="1" thickBot="1" x14ac:dyDescent="0.3">
      <c r="A3555" s="181"/>
      <c r="B3555" s="202"/>
      <c r="C3555" s="36" t="s">
        <v>22</v>
      </c>
      <c r="D3555" s="36" t="s">
        <v>742</v>
      </c>
      <c r="E3555" s="37">
        <v>2</v>
      </c>
      <c r="F3555" s="54">
        <v>22.704999999999998</v>
      </c>
      <c r="G3555" s="54">
        <f>IF(ISNUMBER(F3555),E3555*F3555,"")</f>
        <v>45.41</v>
      </c>
      <c r="H3555" s="39">
        <f>SUM(G3555:G3557)</f>
        <v>527.71099014669994</v>
      </c>
      <c r="I3555" s="40"/>
      <c r="J3555" s="155">
        <v>0</v>
      </c>
    </row>
    <row r="3556" spans="1:10" ht="15.75" hidden="1" thickBot="1" x14ac:dyDescent="0.3">
      <c r="A3556" s="181"/>
      <c r="B3556" s="202"/>
      <c r="C3556" s="36" t="s">
        <v>23</v>
      </c>
      <c r="D3556" s="36" t="s">
        <v>742</v>
      </c>
      <c r="E3556" s="37">
        <v>6</v>
      </c>
      <c r="F3556" s="54">
        <v>16.729499999999998</v>
      </c>
      <c r="G3556" s="54">
        <f>IF(ISNUMBER(F3556),E3556*F3556,"")</f>
        <v>100.37699999999998</v>
      </c>
      <c r="H3556" s="73"/>
      <c r="I3556" s="74"/>
      <c r="J3556" s="155">
        <v>0</v>
      </c>
    </row>
    <row r="3557" spans="1:10" ht="39" hidden="1" thickBot="1" x14ac:dyDescent="0.3">
      <c r="A3557" s="181"/>
      <c r="B3557" s="202"/>
      <c r="C3557" s="36" t="s">
        <v>1112</v>
      </c>
      <c r="D3557" s="47" t="s">
        <v>122</v>
      </c>
      <c r="E3557" s="37">
        <v>1</v>
      </c>
      <c r="F3557" s="54">
        <v>381.92399014669996</v>
      </c>
      <c r="G3557" s="54">
        <f>IF(ISNUMBER(F3557),E3557*F3557,"")</f>
        <v>381.92399014669996</v>
      </c>
      <c r="H3557" s="73"/>
      <c r="I3557" s="74"/>
      <c r="J3557" s="155">
        <v>0</v>
      </c>
    </row>
    <row r="3558" spans="1:10" ht="15.75" hidden="1" thickBot="1" x14ac:dyDescent="0.3">
      <c r="A3558" s="182"/>
      <c r="B3558" s="188"/>
      <c r="C3558" s="36"/>
      <c r="D3558" s="36"/>
      <c r="E3558" s="37"/>
      <c r="F3558" s="54" t="s">
        <v>558</v>
      </c>
      <c r="G3558" s="54" t="str">
        <f>IF(ISNUMBER(F3558),E3558*F3558,"")</f>
        <v/>
      </c>
      <c r="H3558" s="73"/>
      <c r="I3558" s="74"/>
      <c r="J3558" s="155">
        <v>0</v>
      </c>
    </row>
    <row r="3559" spans="1:10" ht="15.75" hidden="1" thickBot="1" x14ac:dyDescent="0.3">
      <c r="A3559" s="180" t="s">
        <v>1113</v>
      </c>
      <c r="B3559" s="186" t="str">
        <f>INDEX(Orçamentária!A:B,MATCH(Composições!A3559,Orçamentária!A:A,0),2)</f>
        <v>Pavimentação em concreto armado simples</v>
      </c>
      <c r="C3559" s="41"/>
      <c r="D3559" s="26" t="str">
        <f>TRIM(INDEX(Orçamentária!C:C,MATCH(Composições!A3559,Orçamentária!A:A,0),1))</f>
        <v>m2</v>
      </c>
      <c r="E3559" s="27"/>
      <c r="F3559" s="49" t="s">
        <v>558</v>
      </c>
      <c r="G3559" s="28" t="str">
        <f>IF(ISNUMBER(F3559),E3559*F3559,"")</f>
        <v/>
      </c>
      <c r="H3559" s="29"/>
      <c r="I3559" s="30"/>
      <c r="J3559" s="155">
        <v>0</v>
      </c>
    </row>
    <row r="3560" spans="1:10" ht="15.75" hidden="1" thickBot="1" x14ac:dyDescent="0.3">
      <c r="A3560" s="200"/>
      <c r="B3560" s="202"/>
      <c r="C3560" s="32"/>
      <c r="D3560" s="32"/>
      <c r="E3560" s="33"/>
      <c r="F3560" s="54" t="s">
        <v>558</v>
      </c>
      <c r="G3560" s="54" t="str">
        <f>IF(ISNUMBER(F3560),E3560*F3560,"")</f>
        <v/>
      </c>
      <c r="H3560" s="73"/>
      <c r="I3560" s="74"/>
      <c r="J3560" s="155">
        <v>0</v>
      </c>
    </row>
    <row r="3561" spans="1:10" ht="39" hidden="1" thickBot="1" x14ac:dyDescent="0.3">
      <c r="A3561" s="200"/>
      <c r="B3561" s="202"/>
      <c r="C3561" s="36" t="s">
        <v>3344</v>
      </c>
      <c r="D3561" s="36" t="s">
        <v>122</v>
      </c>
      <c r="E3561" s="37">
        <v>8.14E-2</v>
      </c>
      <c r="F3561" s="54">
        <v>289.27499999999998</v>
      </c>
      <c r="G3561" s="54">
        <f>IF(ISNUMBER(F3561),E3561*F3561,"")</f>
        <v>23.546984999999999</v>
      </c>
      <c r="H3561" s="39">
        <f>SUM(G3561:G3567)</f>
        <v>115.92915549999999</v>
      </c>
      <c r="I3561" s="40"/>
      <c r="J3561" s="155">
        <v>0</v>
      </c>
    </row>
    <row r="3562" spans="1:10" ht="26.25" hidden="1" thickBot="1" x14ac:dyDescent="0.3">
      <c r="A3562" s="200"/>
      <c r="B3562" s="202"/>
      <c r="C3562" s="36" t="s">
        <v>3401</v>
      </c>
      <c r="D3562" s="36" t="s">
        <v>938</v>
      </c>
      <c r="E3562" s="37">
        <v>4</v>
      </c>
      <c r="F3562" s="54">
        <v>7.8469999999999995</v>
      </c>
      <c r="G3562" s="54">
        <f>IF(ISNUMBER(F3562),E3562*F3562,"")</f>
        <v>31.387999999999998</v>
      </c>
      <c r="H3562" s="73"/>
      <c r="I3562" s="74"/>
      <c r="J3562" s="155">
        <v>0</v>
      </c>
    </row>
    <row r="3563" spans="1:10" ht="15.75" hidden="1" thickBot="1" x14ac:dyDescent="0.3">
      <c r="A3563" s="200"/>
      <c r="B3563" s="202"/>
      <c r="C3563" s="36" t="s">
        <v>750</v>
      </c>
      <c r="D3563" s="36" t="s">
        <v>742</v>
      </c>
      <c r="E3563" s="37">
        <v>0.1119</v>
      </c>
      <c r="F3563" s="54">
        <v>22.704999999999998</v>
      </c>
      <c r="G3563" s="54">
        <f>IF(ISNUMBER(F3563),E3563*F3563,"")</f>
        <v>2.5406894999999996</v>
      </c>
      <c r="H3563" s="73"/>
      <c r="I3563" s="74"/>
      <c r="J3563" s="155">
        <v>0</v>
      </c>
    </row>
    <row r="3564" spans="1:10" ht="15.75" hidden="1" thickBot="1" x14ac:dyDescent="0.3">
      <c r="A3564" s="200"/>
      <c r="B3564" s="202"/>
      <c r="C3564" s="36" t="s">
        <v>743</v>
      </c>
      <c r="D3564" s="47" t="s">
        <v>742</v>
      </c>
      <c r="E3564" s="37">
        <v>4.6600000000000003E-2</v>
      </c>
      <c r="F3564" s="54">
        <v>16.729499999999998</v>
      </c>
      <c r="G3564" s="54">
        <f>IF(ISNUMBER(F3564),E3564*F3564,"")</f>
        <v>0.77959469999999997</v>
      </c>
      <c r="H3564" s="73"/>
      <c r="I3564" s="74"/>
      <c r="J3564" s="155">
        <v>0</v>
      </c>
    </row>
    <row r="3565" spans="1:10" ht="26.25" hidden="1" thickBot="1" x14ac:dyDescent="0.3">
      <c r="A3565" s="200"/>
      <c r="B3565" s="202"/>
      <c r="C3565" s="36" t="s">
        <v>3273</v>
      </c>
      <c r="D3565" s="47" t="s">
        <v>982</v>
      </c>
      <c r="E3565" s="37">
        <v>7.0000000000000001E-3</v>
      </c>
      <c r="F3565" s="54">
        <v>9.4145000000000003</v>
      </c>
      <c r="G3565" s="54">
        <f>IF(ISNUMBER(F3565),E3565*F3565,"")</f>
        <v>6.5901500000000002E-2</v>
      </c>
      <c r="H3565" s="73"/>
      <c r="I3565" s="74"/>
      <c r="J3565" s="155">
        <v>0</v>
      </c>
    </row>
    <row r="3566" spans="1:10" ht="39" hidden="1" thickBot="1" x14ac:dyDescent="0.3">
      <c r="A3566" s="200"/>
      <c r="B3566" s="202"/>
      <c r="C3566" s="36" t="s">
        <v>1114</v>
      </c>
      <c r="D3566" s="47" t="s">
        <v>1034</v>
      </c>
      <c r="E3566" s="37">
        <v>1.1224000000000001</v>
      </c>
      <c r="F3566" s="54">
        <v>48.601999999999997</v>
      </c>
      <c r="G3566" s="54">
        <f>IF(ISNUMBER(F3566),E3566*F3566,"")</f>
        <v>54.550884799999999</v>
      </c>
      <c r="H3566" s="73"/>
      <c r="I3566" s="74"/>
      <c r="J3566" s="155">
        <v>0</v>
      </c>
    </row>
    <row r="3567" spans="1:10" ht="26.25" hidden="1" thickBot="1" x14ac:dyDescent="0.3">
      <c r="A3567" s="200"/>
      <c r="B3567" s="202"/>
      <c r="C3567" s="36" t="s">
        <v>1105</v>
      </c>
      <c r="D3567" s="47" t="s">
        <v>1116</v>
      </c>
      <c r="E3567" s="37">
        <v>0.1</v>
      </c>
      <c r="F3567" s="54">
        <v>30.570999999999998</v>
      </c>
      <c r="G3567" s="54">
        <f>IF(ISNUMBER(F3567),E3567*F3567,"")</f>
        <v>3.0571000000000002</v>
      </c>
      <c r="H3567" s="73"/>
      <c r="I3567" s="74"/>
      <c r="J3567" s="155">
        <v>0</v>
      </c>
    </row>
    <row r="3568" spans="1:10" ht="15.75" hidden="1" thickBot="1" x14ac:dyDescent="0.3">
      <c r="A3568" s="201"/>
      <c r="B3568" s="188"/>
      <c r="C3568" s="36"/>
      <c r="D3568" s="36"/>
      <c r="E3568" s="37"/>
      <c r="F3568" s="54" t="s">
        <v>558</v>
      </c>
      <c r="G3568" s="54" t="str">
        <f>IF(ISNUMBER(F3568),E3568*F3568,"")</f>
        <v/>
      </c>
      <c r="H3568" s="73"/>
      <c r="I3568" s="74"/>
      <c r="J3568" s="155">
        <v>0</v>
      </c>
    </row>
    <row r="3569" spans="1:10" ht="15.75" hidden="1" thickBot="1" x14ac:dyDescent="0.3">
      <c r="A3569" s="180" t="s">
        <v>1117</v>
      </c>
      <c r="B3569" s="186" t="str">
        <f>INDEX(Orçamentária!A:B,MATCH(Composições!A3569,Orçamentária!A:A,0),2)</f>
        <v>Remoção de reservatório d’água</v>
      </c>
      <c r="C3569" s="41"/>
      <c r="D3569" s="26" t="str">
        <f>TRIM(INDEX(Orçamentária!C:C,MATCH(Composições!A3569,Orçamentária!A:A,0),1))</f>
        <v>un</v>
      </c>
      <c r="E3569" s="27"/>
      <c r="F3569" s="49" t="s">
        <v>558</v>
      </c>
      <c r="G3569" s="28" t="str">
        <f>IF(ISNUMBER(F3569),E3569*F3569,"")</f>
        <v/>
      </c>
      <c r="H3569" s="29"/>
      <c r="I3569" s="30"/>
      <c r="J3569" s="155">
        <v>0</v>
      </c>
    </row>
    <row r="3570" spans="1:10" ht="15.75" hidden="1" thickBot="1" x14ac:dyDescent="0.3">
      <c r="A3570" s="181"/>
      <c r="B3570" s="202"/>
      <c r="C3570" s="32"/>
      <c r="D3570" s="32"/>
      <c r="E3570" s="33"/>
      <c r="F3570" s="54" t="s">
        <v>558</v>
      </c>
      <c r="G3570" s="54" t="str">
        <f>IF(ISNUMBER(F3570),E3570*F3570,"")</f>
        <v/>
      </c>
      <c r="H3570" s="73"/>
      <c r="I3570" s="74"/>
      <c r="J3570" s="155">
        <v>0</v>
      </c>
    </row>
    <row r="3571" spans="1:10" ht="15.75" hidden="1" thickBot="1" x14ac:dyDescent="0.3">
      <c r="A3571" s="181"/>
      <c r="B3571" s="202"/>
      <c r="C3571" s="36" t="s">
        <v>39</v>
      </c>
      <c r="D3571" s="50" t="s">
        <v>12</v>
      </c>
      <c r="E3571" s="37">
        <v>4</v>
      </c>
      <c r="F3571" s="54">
        <v>22.2395</v>
      </c>
      <c r="G3571" s="54">
        <f>IF(ISNUMBER(F3571),E3571*F3571,"")</f>
        <v>88.957999999999998</v>
      </c>
      <c r="H3571" s="39">
        <f>SUM(G3571:G3572)</f>
        <v>155.87599999999998</v>
      </c>
      <c r="I3571" s="40"/>
      <c r="J3571" s="155">
        <v>0</v>
      </c>
    </row>
    <row r="3572" spans="1:10" ht="15.75" hidden="1" thickBot="1" x14ac:dyDescent="0.3">
      <c r="A3572" s="181"/>
      <c r="B3572" s="202"/>
      <c r="C3572" s="36" t="s">
        <v>23</v>
      </c>
      <c r="D3572" s="36" t="s">
        <v>12</v>
      </c>
      <c r="E3572" s="37">
        <v>4</v>
      </c>
      <c r="F3572" s="54">
        <v>16.729499999999998</v>
      </c>
      <c r="G3572" s="54">
        <f>IF(ISNUMBER(F3572),E3572*F3572,"")</f>
        <v>66.917999999999992</v>
      </c>
      <c r="H3572" s="73"/>
      <c r="I3572" s="74"/>
      <c r="J3572" s="155">
        <v>0</v>
      </c>
    </row>
    <row r="3573" spans="1:10" ht="15.75" hidden="1" thickBot="1" x14ac:dyDescent="0.3">
      <c r="A3573" s="182"/>
      <c r="B3573" s="188"/>
      <c r="C3573" s="36"/>
      <c r="D3573" s="36"/>
      <c r="E3573" s="37"/>
      <c r="F3573" s="54" t="s">
        <v>558</v>
      </c>
      <c r="G3573" s="54" t="str">
        <f>IF(ISNUMBER(F3573),E3573*F3573,"")</f>
        <v/>
      </c>
      <c r="H3573" s="73"/>
      <c r="I3573" s="74"/>
      <c r="J3573" s="155">
        <v>0</v>
      </c>
    </row>
    <row r="3574" spans="1:10" ht="15.75" thickBot="1" x14ac:dyDescent="0.3">
      <c r="A3574" s="180" t="s">
        <v>1118</v>
      </c>
      <c r="B3574" s="186" t="str">
        <f>INDEX(Orçamentária!A:B,MATCH(Composições!A3574,Orçamentária!A:A,0),2)</f>
        <v>Transporte e destinação final de entulho para distâncias até 30 km</v>
      </c>
      <c r="C3574" s="41"/>
      <c r="D3574" s="26" t="str">
        <f>TRIM(INDEX(Orçamentária!C:C,MATCH(Composições!A3574,Orçamentária!A:A,0),1))</f>
        <v>m3 x km</v>
      </c>
      <c r="E3574" s="27"/>
      <c r="F3574" s="49" t="s">
        <v>558</v>
      </c>
      <c r="G3574" s="28" t="str">
        <f>IF(ISNUMBER(F3574),E3574*F3574,"")</f>
        <v/>
      </c>
      <c r="H3574" s="29"/>
      <c r="I3574" s="30"/>
      <c r="J3574" s="155">
        <v>600</v>
      </c>
    </row>
    <row r="3575" spans="1:10" x14ac:dyDescent="0.25">
      <c r="A3575" s="181"/>
      <c r="B3575" s="202"/>
      <c r="C3575" s="32"/>
      <c r="D3575" s="32"/>
      <c r="E3575" s="33"/>
      <c r="F3575" s="54" t="s">
        <v>558</v>
      </c>
      <c r="G3575" s="54" t="str">
        <f>IF(ISNUMBER(F3575),E3575*F3575,"")</f>
        <v/>
      </c>
      <c r="H3575" s="73"/>
      <c r="I3575" s="74"/>
      <c r="J3575" s="155">
        <v>600</v>
      </c>
    </row>
    <row r="3576" spans="1:10" ht="51" x14ac:dyDescent="0.25">
      <c r="A3576" s="181"/>
      <c r="B3576" s="202"/>
      <c r="C3576" s="36" t="s">
        <v>1119</v>
      </c>
      <c r="D3576" s="36" t="s">
        <v>982</v>
      </c>
      <c r="E3576" s="37">
        <v>1.3899999999999999E-2</v>
      </c>
      <c r="F3576" s="54">
        <v>127.72749999999998</v>
      </c>
      <c r="G3576" s="54">
        <f>IF(ISNUMBER(F3576),E3576*F3576,"")</f>
        <v>1.7754122499999996</v>
      </c>
      <c r="H3576" s="39">
        <f>SUM(G3576:G3577)</f>
        <v>1.9998782499999996</v>
      </c>
      <c r="I3576" s="40"/>
      <c r="J3576" s="155">
        <v>600</v>
      </c>
    </row>
    <row r="3577" spans="1:10" ht="51" x14ac:dyDescent="0.25">
      <c r="A3577" s="181"/>
      <c r="B3577" s="202"/>
      <c r="C3577" s="36" t="s">
        <v>1120</v>
      </c>
      <c r="D3577" s="36" t="s">
        <v>984</v>
      </c>
      <c r="E3577" s="37">
        <v>6.0000000000000001E-3</v>
      </c>
      <c r="F3577" s="54">
        <v>37.411000000000001</v>
      </c>
      <c r="G3577" s="54">
        <f>IF(ISNUMBER(F3577),E3577*F3577,"")</f>
        <v>0.22446600000000003</v>
      </c>
      <c r="H3577" s="73"/>
      <c r="I3577" s="74"/>
      <c r="J3577" s="155">
        <v>600</v>
      </c>
    </row>
    <row r="3578" spans="1:10" ht="15.75" thickBot="1" x14ac:dyDescent="0.3">
      <c r="A3578" s="182"/>
      <c r="B3578" s="188"/>
      <c r="C3578" s="36"/>
      <c r="D3578" s="36"/>
      <c r="E3578" s="37"/>
      <c r="F3578" s="54" t="s">
        <v>558</v>
      </c>
      <c r="G3578" s="54" t="str">
        <f>IF(ISNUMBER(F3578),E3578*F3578,"")</f>
        <v/>
      </c>
      <c r="H3578" s="73"/>
      <c r="I3578" s="74"/>
      <c r="J3578" s="155">
        <v>600</v>
      </c>
    </row>
    <row r="3579" spans="1:10" ht="15.75" hidden="1" thickBot="1" x14ac:dyDescent="0.3">
      <c r="A3579" s="180" t="s">
        <v>1121</v>
      </c>
      <c r="B3579" s="186" t="str">
        <f>INDEX(Orçamentária!A:B,MATCH(Composições!A3579,Orçamentária!A:A,0),2)</f>
        <v>Demolição de estrutura metálica</v>
      </c>
      <c r="C3579" s="41"/>
      <c r="D3579" s="26" t="str">
        <f>TRIM(INDEX(Orçamentária!C:C,MATCH(Composições!A3579,Orçamentária!A:A,0),1))</f>
        <v>kg</v>
      </c>
      <c r="E3579" s="27"/>
      <c r="F3579" s="49" t="s">
        <v>558</v>
      </c>
      <c r="G3579" s="28" t="str">
        <f>IF(ISNUMBER(F3579),E3579*F3579,"")</f>
        <v/>
      </c>
      <c r="H3579" s="29"/>
      <c r="I3579" s="30"/>
      <c r="J3579" s="155">
        <v>0</v>
      </c>
    </row>
    <row r="3580" spans="1:10" ht="15.75" hidden="1" thickBot="1" x14ac:dyDescent="0.3">
      <c r="A3580" s="181"/>
      <c r="B3580" s="202"/>
      <c r="C3580" s="32"/>
      <c r="D3580" s="32"/>
      <c r="E3580" s="33"/>
      <c r="F3580" s="54" t="s">
        <v>558</v>
      </c>
      <c r="G3580" s="54" t="str">
        <f>IF(ISNUMBER(F3580),E3580*F3580,"")</f>
        <v/>
      </c>
      <c r="H3580" s="73"/>
      <c r="I3580" s="74"/>
      <c r="J3580" s="155">
        <v>0</v>
      </c>
    </row>
    <row r="3581" spans="1:10" ht="26.25" hidden="1" thickBot="1" x14ac:dyDescent="0.3">
      <c r="A3581" s="181"/>
      <c r="B3581" s="202"/>
      <c r="C3581" s="36" t="s">
        <v>136</v>
      </c>
      <c r="D3581" s="36" t="s">
        <v>110</v>
      </c>
      <c r="E3581" s="37">
        <v>2.1999999999999999E-2</v>
      </c>
      <c r="F3581" s="54">
        <v>9.7089999999999996</v>
      </c>
      <c r="G3581" s="54">
        <f>IF(ISNUMBER(F3581),E3581*F3581,"")</f>
        <v>0.21359799999999998</v>
      </c>
      <c r="H3581" s="39">
        <f>SUM(G3581:G3585)</f>
        <v>2.9875885000000002</v>
      </c>
      <c r="I3581" s="40"/>
      <c r="J3581" s="155">
        <v>0</v>
      </c>
    </row>
    <row r="3582" spans="1:10" ht="26.25" hidden="1" thickBot="1" x14ac:dyDescent="0.3">
      <c r="A3582" s="181"/>
      <c r="B3582" s="202"/>
      <c r="C3582" s="36" t="s">
        <v>132</v>
      </c>
      <c r="D3582" s="36" t="s">
        <v>42</v>
      </c>
      <c r="E3582" s="37">
        <v>5.0000000000000001E-3</v>
      </c>
      <c r="F3582" s="54">
        <v>44.336500000000001</v>
      </c>
      <c r="G3582" s="54">
        <f>IF(ISNUMBER(F3582),E3582*F3582,"")</f>
        <v>0.2216825</v>
      </c>
      <c r="H3582" s="73"/>
      <c r="I3582" s="74"/>
      <c r="J3582" s="155">
        <v>0</v>
      </c>
    </row>
    <row r="3583" spans="1:10" ht="26.25" hidden="1" thickBot="1" x14ac:dyDescent="0.3">
      <c r="A3583" s="181"/>
      <c r="B3583" s="202"/>
      <c r="C3583" s="36" t="s">
        <v>1122</v>
      </c>
      <c r="D3583" s="36" t="s">
        <v>982</v>
      </c>
      <c r="E3583" s="37">
        <f>E3584</f>
        <v>4.3999999999999997E-2</v>
      </c>
      <c r="F3583" s="54">
        <v>18.0595</v>
      </c>
      <c r="G3583" s="54">
        <f>IF(ISNUMBER(F3583),E3583*F3583,"")</f>
        <v>0.79461799999999994</v>
      </c>
      <c r="H3583" s="73"/>
      <c r="I3583" s="74"/>
      <c r="J3583" s="155">
        <v>0</v>
      </c>
    </row>
    <row r="3584" spans="1:10" ht="15.75" hidden="1" thickBot="1" x14ac:dyDescent="0.3">
      <c r="A3584" s="181"/>
      <c r="B3584" s="202"/>
      <c r="C3584" s="36" t="s">
        <v>1123</v>
      </c>
      <c r="D3584" s="36" t="s">
        <v>12</v>
      </c>
      <c r="E3584" s="37">
        <v>4.3999999999999997E-2</v>
      </c>
      <c r="F3584" s="54">
        <v>23.218</v>
      </c>
      <c r="G3584" s="54">
        <f>IF(ISNUMBER(F3584),E3584*F3584,"")</f>
        <v>1.0215919999999998</v>
      </c>
      <c r="H3584" s="73"/>
      <c r="I3584" s="74"/>
      <c r="J3584" s="155">
        <v>0</v>
      </c>
    </row>
    <row r="3585" spans="1:10" ht="15.75" hidden="1" thickBot="1" x14ac:dyDescent="0.3">
      <c r="A3585" s="181"/>
      <c r="B3585" s="202"/>
      <c r="C3585" s="36" t="s">
        <v>23</v>
      </c>
      <c r="D3585" s="36" t="s">
        <v>12</v>
      </c>
      <c r="E3585" s="37">
        <v>4.3999999999999997E-2</v>
      </c>
      <c r="F3585" s="54">
        <v>16.729499999999998</v>
      </c>
      <c r="G3585" s="54">
        <f>IF(ISNUMBER(F3585),E3585*F3585,"")</f>
        <v>0.73609799999999992</v>
      </c>
      <c r="H3585" s="73"/>
      <c r="I3585" s="74"/>
      <c r="J3585" s="155">
        <v>0</v>
      </c>
    </row>
    <row r="3586" spans="1:10" ht="15.75" hidden="1" thickBot="1" x14ac:dyDescent="0.3">
      <c r="A3586" s="182"/>
      <c r="B3586" s="188"/>
      <c r="C3586" s="36"/>
      <c r="D3586" s="36"/>
      <c r="E3586" s="37"/>
      <c r="F3586" s="54" t="s">
        <v>558</v>
      </c>
      <c r="G3586" s="54" t="str">
        <f>IF(ISNUMBER(F3586),E3586*F3586,"")</f>
        <v/>
      </c>
      <c r="H3586" s="73"/>
      <c r="I3586" s="74"/>
      <c r="J3586" s="155">
        <v>0</v>
      </c>
    </row>
    <row r="3587" spans="1:10" ht="15.75" hidden="1" thickBot="1" x14ac:dyDescent="0.3">
      <c r="A3587" s="180" t="s">
        <v>1124</v>
      </c>
      <c r="B3587" s="186" t="str">
        <f>INDEX(Orçamentária!A:B,MATCH(Composições!A3587,Orçamentária!A:A,0),2)</f>
        <v>Escavação manual com profundidade maior do que 1,30 m</v>
      </c>
      <c r="C3587" s="41"/>
      <c r="D3587" s="26" t="str">
        <f>TRIM(INDEX(Orçamentária!C:C,MATCH(Composições!A3587,Orçamentária!A:A,0),1))</f>
        <v>m3</v>
      </c>
      <c r="E3587" s="27"/>
      <c r="F3587" s="49" t="s">
        <v>558</v>
      </c>
      <c r="G3587" s="28" t="str">
        <f>IF(ISNUMBER(F3587),E3587*F3587,"")</f>
        <v/>
      </c>
      <c r="H3587" s="29"/>
      <c r="I3587" s="30"/>
      <c r="J3587" s="155">
        <v>0</v>
      </c>
    </row>
    <row r="3588" spans="1:10" ht="15.75" hidden="1" thickBot="1" x14ac:dyDescent="0.3">
      <c r="A3588" s="181"/>
      <c r="B3588" s="202"/>
      <c r="C3588" s="32"/>
      <c r="D3588" s="32"/>
      <c r="E3588" s="33"/>
      <c r="F3588" s="54" t="s">
        <v>558</v>
      </c>
      <c r="G3588" s="54" t="str">
        <f>IF(ISNUMBER(F3588),E3588*F3588,"")</f>
        <v/>
      </c>
      <c r="H3588" s="73"/>
      <c r="I3588" s="74"/>
      <c r="J3588" s="155">
        <v>0</v>
      </c>
    </row>
    <row r="3589" spans="1:10" ht="15.75" hidden="1" thickBot="1" x14ac:dyDescent="0.3">
      <c r="A3589" s="181"/>
      <c r="B3589" s="202"/>
      <c r="C3589" s="36" t="s">
        <v>23</v>
      </c>
      <c r="D3589" s="36" t="s">
        <v>12</v>
      </c>
      <c r="E3589" s="37">
        <v>4.3</v>
      </c>
      <c r="F3589" s="54">
        <v>16.729499999999998</v>
      </c>
      <c r="G3589" s="54">
        <f>IF(ISNUMBER(F3589),E3589*F3589,"")</f>
        <v>71.936849999999993</v>
      </c>
      <c r="H3589" s="39">
        <f>SUM(G3589:G3589)</f>
        <v>71.936849999999993</v>
      </c>
      <c r="I3589" s="40"/>
      <c r="J3589" s="155">
        <v>0</v>
      </c>
    </row>
    <row r="3590" spans="1:10" ht="15.75" hidden="1" thickBot="1" x14ac:dyDescent="0.3">
      <c r="A3590" s="182"/>
      <c r="B3590" s="188"/>
      <c r="C3590" s="36"/>
      <c r="D3590" s="36"/>
      <c r="E3590" s="37"/>
      <c r="F3590" s="54" t="s">
        <v>558</v>
      </c>
      <c r="G3590" s="54" t="str">
        <f>IF(ISNUMBER(F3590),E3590*F3590,"")</f>
        <v/>
      </c>
      <c r="H3590" s="73"/>
      <c r="I3590" s="74"/>
      <c r="J3590" s="155">
        <v>0</v>
      </c>
    </row>
    <row r="3591" spans="1:10" ht="15.75" hidden="1" thickBot="1" x14ac:dyDescent="0.3">
      <c r="A3591" s="180" t="s">
        <v>1125</v>
      </c>
      <c r="B3591" s="186" t="str">
        <f>INDEX(Orçamentária!A:B,MATCH(Composições!A3591,Orçamentária!A:A,0),2)</f>
        <v>Escavação mecânica com profundidade maior do que 1,30 m</v>
      </c>
      <c r="C3591" s="41"/>
      <c r="D3591" s="26" t="str">
        <f>TRIM(INDEX(Orçamentária!C:C,MATCH(Composições!A3591,Orçamentária!A:A,0),1))</f>
        <v>m3</v>
      </c>
      <c r="E3591" s="27"/>
      <c r="F3591" s="49" t="s">
        <v>558</v>
      </c>
      <c r="G3591" s="28" t="str">
        <f>IF(ISNUMBER(F3591),E3591*F3591,"")</f>
        <v/>
      </c>
      <c r="H3591" s="29"/>
      <c r="I3591" s="30"/>
      <c r="J3591" s="155">
        <v>0</v>
      </c>
    </row>
    <row r="3592" spans="1:10" ht="15.75" hidden="1" thickBot="1" x14ac:dyDescent="0.3">
      <c r="A3592" s="181"/>
      <c r="B3592" s="202"/>
      <c r="C3592" s="32"/>
      <c r="D3592" s="32"/>
      <c r="E3592" s="33"/>
      <c r="F3592" s="54" t="s">
        <v>558</v>
      </c>
      <c r="G3592" s="54" t="str">
        <f>IF(ISNUMBER(F3592),E3592*F3592,"")</f>
        <v/>
      </c>
      <c r="H3592" s="73"/>
      <c r="I3592" s="74"/>
      <c r="J3592" s="155">
        <v>0</v>
      </c>
    </row>
    <row r="3593" spans="1:10" ht="64.5" hidden="1" thickBot="1" x14ac:dyDescent="0.3">
      <c r="A3593" s="181"/>
      <c r="B3593" s="202"/>
      <c r="C3593" s="36" t="s">
        <v>3268</v>
      </c>
      <c r="D3593" s="36" t="s">
        <v>982</v>
      </c>
      <c r="E3593" s="37">
        <v>2.7099999999999999E-2</v>
      </c>
      <c r="F3593" s="54">
        <v>101.0515</v>
      </c>
      <c r="G3593" s="54">
        <f>IF(ISNUMBER(F3593),E3593*F3593,"")</f>
        <v>2.7384956499999999</v>
      </c>
      <c r="H3593" s="39">
        <f>SUM(G3593:G3595)</f>
        <v>5.0661390999999991</v>
      </c>
      <c r="I3593" s="40"/>
      <c r="J3593" s="155">
        <v>0</v>
      </c>
    </row>
    <row r="3594" spans="1:10" ht="64.5" hidden="1" thickBot="1" x14ac:dyDescent="0.3">
      <c r="A3594" s="181"/>
      <c r="B3594" s="202"/>
      <c r="C3594" s="36" t="s">
        <v>3276</v>
      </c>
      <c r="D3594" s="36" t="s">
        <v>984</v>
      </c>
      <c r="E3594" s="37">
        <v>3.2800000000000003E-2</v>
      </c>
      <c r="F3594" s="54">
        <v>40.412999999999997</v>
      </c>
      <c r="G3594" s="54">
        <f>IF(ISNUMBER(F3594),E3594*F3594,"")</f>
        <v>1.3255463999999999</v>
      </c>
      <c r="H3594" s="73"/>
      <c r="I3594" s="74"/>
      <c r="J3594" s="155">
        <v>0</v>
      </c>
    </row>
    <row r="3595" spans="1:10" ht="15.75" hidden="1" thickBot="1" x14ac:dyDescent="0.3">
      <c r="A3595" s="181"/>
      <c r="B3595" s="202"/>
      <c r="C3595" s="36" t="s">
        <v>743</v>
      </c>
      <c r="D3595" s="36" t="s">
        <v>742</v>
      </c>
      <c r="E3595" s="37">
        <v>5.9900000000000002E-2</v>
      </c>
      <c r="F3595" s="54">
        <v>16.729499999999998</v>
      </c>
      <c r="G3595" s="54">
        <f>IF(ISNUMBER(F3595),E3595*F3595,"")</f>
        <v>1.0020970499999999</v>
      </c>
      <c r="H3595" s="73"/>
      <c r="I3595" s="74"/>
      <c r="J3595" s="155">
        <v>0</v>
      </c>
    </row>
    <row r="3596" spans="1:10" ht="15.75" hidden="1" thickBot="1" x14ac:dyDescent="0.3">
      <c r="A3596" s="182"/>
      <c r="B3596" s="188"/>
      <c r="C3596" s="75"/>
      <c r="D3596" s="36"/>
      <c r="E3596" s="37"/>
      <c r="F3596" s="54" t="s">
        <v>558</v>
      </c>
      <c r="G3596" s="54" t="str">
        <f>IF(ISNUMBER(F3596),E3596*F3596,"")</f>
        <v/>
      </c>
      <c r="H3596" s="73"/>
      <c r="I3596" s="74"/>
      <c r="J3596" s="155">
        <v>0</v>
      </c>
    </row>
    <row r="3597" spans="1:10" ht="15.75" hidden="1" thickBot="1" x14ac:dyDescent="0.3">
      <c r="A3597" s="180" t="s">
        <v>1126</v>
      </c>
      <c r="B3597" s="186" t="str">
        <f>INDEX(Orçamentária!A:B,MATCH(Composições!A3597,Orçamentária!A:A,0),2)</f>
        <v>Grama Batatais em placas de 40 x 40 cm</v>
      </c>
      <c r="C3597" s="41"/>
      <c r="D3597" s="26" t="str">
        <f>TRIM(INDEX(Orçamentária!C:C,MATCH(Composições!A3597,Orçamentária!A:A,0),1))</f>
        <v>m2</v>
      </c>
      <c r="E3597" s="27"/>
      <c r="F3597" s="49" t="s">
        <v>558</v>
      </c>
      <c r="G3597" s="28" t="str">
        <f>IF(ISNUMBER(F3597),E3597*F3597,"")</f>
        <v/>
      </c>
      <c r="H3597" s="29"/>
      <c r="I3597" s="30"/>
      <c r="J3597" s="155">
        <v>0</v>
      </c>
    </row>
    <row r="3598" spans="1:10" ht="15.75" hidden="1" thickBot="1" x14ac:dyDescent="0.3">
      <c r="A3598" s="200"/>
      <c r="B3598" s="202"/>
      <c r="C3598" s="32"/>
      <c r="D3598" s="32"/>
      <c r="E3598" s="33"/>
      <c r="F3598" s="54" t="s">
        <v>558</v>
      </c>
      <c r="G3598" s="54" t="str">
        <f>IF(ISNUMBER(F3598),E3598*F3598,"")</f>
        <v/>
      </c>
      <c r="H3598" s="73"/>
      <c r="I3598" s="74"/>
      <c r="J3598" s="155">
        <v>0</v>
      </c>
    </row>
    <row r="3599" spans="1:10" ht="15.75" hidden="1" thickBot="1" x14ac:dyDescent="0.3">
      <c r="A3599" s="200"/>
      <c r="B3599" s="202"/>
      <c r="C3599" s="36" t="s">
        <v>1127</v>
      </c>
      <c r="D3599" s="50" t="s">
        <v>95</v>
      </c>
      <c r="E3599" s="37">
        <v>1</v>
      </c>
      <c r="F3599" s="54">
        <v>7.5904999999999996</v>
      </c>
      <c r="G3599" s="54">
        <f>IF(ISNUMBER(F3599),E3599*F3599,"")</f>
        <v>7.5904999999999996</v>
      </c>
      <c r="H3599" s="39">
        <f>SUM(G3599:G3609)</f>
        <v>52.270195841817007</v>
      </c>
      <c r="I3599" s="40"/>
      <c r="J3599" s="155">
        <v>0</v>
      </c>
    </row>
    <row r="3600" spans="1:10" ht="15.75" hidden="1" thickBot="1" x14ac:dyDescent="0.3">
      <c r="A3600" s="200"/>
      <c r="B3600" s="202"/>
      <c r="C3600" s="36" t="s">
        <v>23</v>
      </c>
      <c r="D3600" s="36" t="s">
        <v>12</v>
      </c>
      <c r="E3600" s="37">
        <v>0.15640000000000001</v>
      </c>
      <c r="F3600" s="54">
        <v>16.729499999999998</v>
      </c>
      <c r="G3600" s="54">
        <f>IF(ISNUMBER(F3600),E3600*F3600,"")</f>
        <v>2.6164937999999998</v>
      </c>
      <c r="H3600" s="73"/>
      <c r="I3600" s="74"/>
      <c r="J3600" s="155">
        <v>0</v>
      </c>
    </row>
    <row r="3601" spans="1:10" ht="15.75" hidden="1" thickBot="1" x14ac:dyDescent="0.3">
      <c r="A3601" s="200"/>
      <c r="B3601" s="202"/>
      <c r="C3601" s="36" t="s">
        <v>1128</v>
      </c>
      <c r="D3601" s="36" t="s">
        <v>12</v>
      </c>
      <c r="E3601" s="37">
        <v>3.9100000000000003E-2</v>
      </c>
      <c r="F3601" s="54">
        <v>21.963999999999999</v>
      </c>
      <c r="G3601" s="54">
        <f>IF(ISNUMBER(F3601),E3601*F3601,"")</f>
        <v>0.85879240000000001</v>
      </c>
      <c r="H3601" s="73"/>
      <c r="I3601" s="74"/>
      <c r="J3601" s="155">
        <v>0</v>
      </c>
    </row>
    <row r="3602" spans="1:10" ht="15.75" hidden="1" thickBot="1" x14ac:dyDescent="0.3">
      <c r="A3602" s="200"/>
      <c r="B3602" s="202"/>
      <c r="C3602" s="36" t="s">
        <v>23</v>
      </c>
      <c r="D3602" s="36" t="s">
        <v>12</v>
      </c>
      <c r="E3602" s="37">
        <f>1.6*0.25</f>
        <v>0.4</v>
      </c>
      <c r="F3602" s="54">
        <v>16.729499999999998</v>
      </c>
      <c r="G3602" s="54">
        <f>IF(ISNUMBER(F3602),E3602*F3602,"")</f>
        <v>6.6917999999999997</v>
      </c>
      <c r="H3602" s="73"/>
      <c r="I3602" s="74"/>
      <c r="J3602" s="155">
        <v>0</v>
      </c>
    </row>
    <row r="3603" spans="1:10" ht="26.25" hidden="1" thickBot="1" x14ac:dyDescent="0.3">
      <c r="A3603" s="200"/>
      <c r="B3603" s="202"/>
      <c r="C3603" s="36" t="s">
        <v>1129</v>
      </c>
      <c r="D3603" s="36" t="s">
        <v>42</v>
      </c>
      <c r="E3603" s="37">
        <f>1*0.25</f>
        <v>0.25</v>
      </c>
      <c r="F3603" s="54">
        <v>0.19</v>
      </c>
      <c r="G3603" s="54">
        <f>IF(ISNUMBER(F3603),E3603*F3603,"")</f>
        <v>4.7500000000000001E-2</v>
      </c>
      <c r="H3603" s="73"/>
      <c r="I3603" s="74"/>
      <c r="J3603" s="155">
        <v>0</v>
      </c>
    </row>
    <row r="3604" spans="1:10" ht="15.75" hidden="1" thickBot="1" x14ac:dyDescent="0.3">
      <c r="A3604" s="200"/>
      <c r="B3604" s="202"/>
      <c r="C3604" s="36" t="s">
        <v>1130</v>
      </c>
      <c r="D3604" s="36" t="s">
        <v>110</v>
      </c>
      <c r="E3604" s="37">
        <f>0.9*0.25</f>
        <v>0.22500000000000001</v>
      </c>
      <c r="F3604" s="54">
        <v>148.59899999999999</v>
      </c>
      <c r="G3604" s="54">
        <f>IF(ISNUMBER(F3604),E3604*F3604,"")</f>
        <v>33.434775000000002</v>
      </c>
      <c r="H3604" s="73"/>
      <c r="I3604" s="74"/>
      <c r="J3604" s="155">
        <v>0</v>
      </c>
    </row>
    <row r="3605" spans="1:10" ht="15.75" hidden="1" thickBot="1" x14ac:dyDescent="0.3">
      <c r="A3605" s="200"/>
      <c r="B3605" s="202"/>
      <c r="C3605" s="36" t="s">
        <v>1131</v>
      </c>
      <c r="D3605" s="47" t="s">
        <v>42</v>
      </c>
      <c r="E3605" s="37">
        <f>1*0.25</f>
        <v>0.25</v>
      </c>
      <c r="F3605" s="54">
        <v>3.9709999999999996</v>
      </c>
      <c r="G3605" s="54">
        <f>IF(ISNUMBER(F3605),E3605*F3605,"")</f>
        <v>0.99274999999999991</v>
      </c>
      <c r="H3605" s="73"/>
      <c r="I3605" s="74"/>
      <c r="J3605" s="155">
        <v>0</v>
      </c>
    </row>
    <row r="3606" spans="1:10" ht="15.75" hidden="1" thickBot="1" x14ac:dyDescent="0.3">
      <c r="A3606" s="200"/>
      <c r="B3606" s="202"/>
      <c r="C3606" s="36" t="s">
        <v>1132</v>
      </c>
      <c r="D3606" s="47" t="s">
        <v>42</v>
      </c>
      <c r="E3606" s="37">
        <f>0.1*0.25</f>
        <v>2.5000000000000001E-2</v>
      </c>
      <c r="F3606" s="54">
        <v>1.1875</v>
      </c>
      <c r="G3606" s="54">
        <f>IF(ISNUMBER(F3606),E3606*F3606,"")</f>
        <v>2.9687500000000002E-2</v>
      </c>
      <c r="H3606" s="73"/>
      <c r="I3606" s="74"/>
      <c r="J3606" s="155">
        <v>0</v>
      </c>
    </row>
    <row r="3607" spans="1:10" ht="39" hidden="1" thickBot="1" x14ac:dyDescent="0.3">
      <c r="A3607" s="200"/>
      <c r="B3607" s="202"/>
      <c r="C3607" s="36" t="s">
        <v>121</v>
      </c>
      <c r="D3607" s="36" t="s">
        <v>1133</v>
      </c>
      <c r="E3607" s="37">
        <f>ROUND(1*E3603/1000,4)</f>
        <v>2.9999999999999997E-4</v>
      </c>
      <c r="F3607" s="34">
        <v>4.0319768899999993</v>
      </c>
      <c r="G3607" s="34">
        <f>IF(ISNUMBER(F3607),E3607*F3607,"")</f>
        <v>1.2095930669999996E-3</v>
      </c>
      <c r="H3607" s="35"/>
      <c r="I3607" s="31"/>
      <c r="J3607" s="155">
        <v>0</v>
      </c>
    </row>
    <row r="3608" spans="1:10" ht="39" hidden="1" thickBot="1" x14ac:dyDescent="0.3">
      <c r="A3608" s="200"/>
      <c r="B3608" s="202"/>
      <c r="C3608" s="36" t="s">
        <v>792</v>
      </c>
      <c r="D3608" s="36" t="s">
        <v>793</v>
      </c>
      <c r="E3608" s="37">
        <f>20*E3603*1/1000</f>
        <v>5.0000000000000001E-3</v>
      </c>
      <c r="F3608" s="54">
        <v>1.3375097499999999</v>
      </c>
      <c r="G3608" s="54">
        <f>IF(ISNUMBER(F3608),E3608*F3608,"")</f>
        <v>6.6875487500000002E-3</v>
      </c>
      <c r="H3608" s="73"/>
      <c r="I3608" s="74"/>
      <c r="J3608" s="155">
        <v>0</v>
      </c>
    </row>
    <row r="3609" spans="1:10" ht="15.75" hidden="1" thickBot="1" x14ac:dyDescent="0.3">
      <c r="A3609" s="200"/>
      <c r="B3609" s="202"/>
      <c r="C3609" s="36"/>
      <c r="D3609" s="36"/>
      <c r="E3609" s="37"/>
      <c r="F3609" s="54" t="s">
        <v>558</v>
      </c>
      <c r="G3609" s="54" t="str">
        <f>IF(ISNUMBER(F3609),E3609*F3609,"")</f>
        <v/>
      </c>
      <c r="H3609" s="73"/>
      <c r="I3609" s="74"/>
      <c r="J3609" s="155">
        <v>0</v>
      </c>
    </row>
    <row r="3610" spans="1:10" ht="26.25" hidden="1" thickBot="1" x14ac:dyDescent="0.3">
      <c r="A3610" s="200"/>
      <c r="B3610" s="202"/>
      <c r="C3610" s="48" t="s">
        <v>1134</v>
      </c>
      <c r="D3610" s="36"/>
      <c r="E3610" s="37"/>
      <c r="F3610" s="54" t="s">
        <v>558</v>
      </c>
      <c r="G3610" s="54" t="str">
        <f>IF(ISNUMBER(F3610),E3610*F3610,"")</f>
        <v/>
      </c>
      <c r="H3610" s="73"/>
      <c r="I3610" s="74"/>
      <c r="J3610" s="155">
        <v>0</v>
      </c>
    </row>
    <row r="3611" spans="1:10" ht="15.75" hidden="1" thickBot="1" x14ac:dyDescent="0.3">
      <c r="A3611" s="201"/>
      <c r="B3611" s="188"/>
      <c r="C3611" s="36"/>
      <c r="D3611" s="36"/>
      <c r="E3611" s="37"/>
      <c r="F3611" s="54" t="s">
        <v>558</v>
      </c>
      <c r="G3611" s="54" t="str">
        <f>IF(ISNUMBER(F3611),E3611*F3611,"")</f>
        <v/>
      </c>
      <c r="H3611" s="73"/>
      <c r="I3611" s="74"/>
      <c r="J3611" s="155">
        <v>0</v>
      </c>
    </row>
    <row r="3612" spans="1:10" ht="15.75" hidden="1" thickBot="1" x14ac:dyDescent="0.3">
      <c r="A3612" s="180" t="s">
        <v>1135</v>
      </c>
      <c r="B3612" s="186" t="str">
        <f>INDEX(Orçamentária!A:B,MATCH(Composições!A3612,Orçamentária!A:A,0),2)</f>
        <v>Pintura de meios-fios com tinta acrílica</v>
      </c>
      <c r="C3612" s="41"/>
      <c r="D3612" s="26" t="str">
        <f>TRIM(INDEX(Orçamentária!C:C,MATCH(Composições!A3612,Orçamentária!A:A,0),1))</f>
        <v>m</v>
      </c>
      <c r="E3612" s="27"/>
      <c r="F3612" s="49" t="s">
        <v>558</v>
      </c>
      <c r="G3612" s="28" t="str">
        <f>IF(ISNUMBER(F3612),E3612*F3612,"")</f>
        <v/>
      </c>
      <c r="H3612" s="29"/>
      <c r="I3612" s="30"/>
      <c r="J3612" s="155">
        <v>0</v>
      </c>
    </row>
    <row r="3613" spans="1:10" ht="15.75" hidden="1" thickBot="1" x14ac:dyDescent="0.3">
      <c r="A3613" s="181"/>
      <c r="B3613" s="202"/>
      <c r="C3613" s="32"/>
      <c r="D3613" s="32"/>
      <c r="E3613" s="33"/>
      <c r="F3613" s="54" t="s">
        <v>558</v>
      </c>
      <c r="G3613" s="54" t="str">
        <f>IF(ISNUMBER(F3613),E3613*F3613,"")</f>
        <v/>
      </c>
      <c r="H3613" s="73"/>
      <c r="I3613" s="74"/>
      <c r="J3613" s="155">
        <v>0</v>
      </c>
    </row>
    <row r="3614" spans="1:10" ht="15.75" hidden="1" thickBot="1" x14ac:dyDescent="0.3">
      <c r="A3614" s="181"/>
      <c r="B3614" s="202"/>
      <c r="C3614" s="36" t="s">
        <v>1136</v>
      </c>
      <c r="D3614" s="50" t="s">
        <v>103</v>
      </c>
      <c r="E3614" s="37">
        <f>ROUND(0.17/2*(0.25+0.13+0.25),4)</f>
        <v>5.3600000000000002E-2</v>
      </c>
      <c r="F3614" s="54">
        <v>14.658499999999998</v>
      </c>
      <c r="G3614" s="54">
        <f>IF(ISNUMBER(F3614),E3614*F3614,"")</f>
        <v>0.78569559999999994</v>
      </c>
      <c r="H3614" s="39">
        <f>SUM(G3614:G3616)</f>
        <v>4.7100600999999997</v>
      </c>
      <c r="I3614" s="40"/>
      <c r="J3614" s="155">
        <v>0</v>
      </c>
    </row>
    <row r="3615" spans="1:10" ht="15.75" hidden="1" thickBot="1" x14ac:dyDescent="0.3">
      <c r="A3615" s="181"/>
      <c r="B3615" s="202"/>
      <c r="C3615" s="36" t="s">
        <v>1137</v>
      </c>
      <c r="D3615" s="36" t="s">
        <v>742</v>
      </c>
      <c r="E3615" s="37">
        <f>0.35*(0.25+0.13+0.25)/2</f>
        <v>0.11024999999999999</v>
      </c>
      <c r="F3615" s="54">
        <v>23.645499999999998</v>
      </c>
      <c r="G3615" s="54">
        <f>IF(ISNUMBER(F3615),E3615*F3615,"")</f>
        <v>2.6069163749999995</v>
      </c>
      <c r="H3615" s="73"/>
      <c r="I3615" s="74"/>
      <c r="J3615" s="155">
        <v>0</v>
      </c>
    </row>
    <row r="3616" spans="1:10" ht="15.75" hidden="1" thickBot="1" x14ac:dyDescent="0.3">
      <c r="A3616" s="181"/>
      <c r="B3616" s="202"/>
      <c r="C3616" s="36" t="s">
        <v>23</v>
      </c>
      <c r="D3616" s="36" t="s">
        <v>742</v>
      </c>
      <c r="E3616" s="37">
        <f>0.25*(0.25+0.13+0.25)/2</f>
        <v>7.8750000000000001E-2</v>
      </c>
      <c r="F3616" s="54">
        <v>16.729499999999998</v>
      </c>
      <c r="G3616" s="54">
        <f>IF(ISNUMBER(F3616),E3616*F3616,"")</f>
        <v>1.3174481249999999</v>
      </c>
      <c r="H3616" s="73"/>
      <c r="I3616" s="74"/>
      <c r="J3616" s="155">
        <v>0</v>
      </c>
    </row>
    <row r="3617" spans="1:10" ht="15.75" hidden="1" thickBot="1" x14ac:dyDescent="0.3">
      <c r="A3617" s="181"/>
      <c r="B3617" s="202"/>
      <c r="C3617" s="36"/>
      <c r="D3617" s="36"/>
      <c r="E3617" s="37"/>
      <c r="F3617" s="54" t="s">
        <v>558</v>
      </c>
      <c r="G3617" s="54" t="str">
        <f>IF(ISNUMBER(F3617),E3617*F3617,"")</f>
        <v/>
      </c>
      <c r="H3617" s="73"/>
      <c r="I3617" s="74"/>
      <c r="J3617" s="155">
        <v>0</v>
      </c>
    </row>
    <row r="3618" spans="1:10" ht="26.25" hidden="1" thickBot="1" x14ac:dyDescent="0.3">
      <c r="A3618" s="181"/>
      <c r="B3618" s="202"/>
      <c r="C3618" s="48" t="s">
        <v>1138</v>
      </c>
      <c r="D3618" s="36"/>
      <c r="E3618" s="37"/>
      <c r="F3618" s="54" t="s">
        <v>558</v>
      </c>
      <c r="G3618" s="54" t="str">
        <f>IF(ISNUMBER(F3618),E3618*F3618,"")</f>
        <v/>
      </c>
      <c r="H3618" s="73"/>
      <c r="I3618" s="74"/>
      <c r="J3618" s="155">
        <v>0</v>
      </c>
    </row>
    <row r="3619" spans="1:10" ht="15.75" hidden="1" thickBot="1" x14ac:dyDescent="0.3">
      <c r="A3619" s="182"/>
      <c r="B3619" s="188"/>
      <c r="C3619" s="36"/>
      <c r="D3619" s="36"/>
      <c r="E3619" s="37"/>
      <c r="F3619" s="54" t="s">
        <v>558</v>
      </c>
      <c r="G3619" s="54" t="str">
        <f>IF(ISNUMBER(F3619),E3619*F3619,"")</f>
        <v/>
      </c>
      <c r="H3619" s="73"/>
      <c r="I3619" s="74"/>
      <c r="J3619" s="155">
        <v>0</v>
      </c>
    </row>
    <row r="3620" spans="1:10" ht="15.75" hidden="1" thickBot="1" x14ac:dyDescent="0.3">
      <c r="A3620" s="180" t="s">
        <v>1139</v>
      </c>
      <c r="B3620" s="186" t="str">
        <f>INDEX(Orçamentária!A:B,MATCH(Composições!A3620,Orçamentária!A:A,0),2)</f>
        <v>Meios-fios em concreto pré-moldado</v>
      </c>
      <c r="C3620" s="41"/>
      <c r="D3620" s="26" t="str">
        <f>TRIM(INDEX(Orçamentária!C:C,MATCH(Composições!A3620,Orçamentária!A:A,0),1))</f>
        <v>m</v>
      </c>
      <c r="E3620" s="27"/>
      <c r="F3620" s="49" t="s">
        <v>558</v>
      </c>
      <c r="G3620" s="28" t="str">
        <f>IF(ISNUMBER(F3620),E3620*F3620,"")</f>
        <v/>
      </c>
      <c r="H3620" s="29"/>
      <c r="I3620" s="30"/>
      <c r="J3620" s="155">
        <v>0</v>
      </c>
    </row>
    <row r="3621" spans="1:10" ht="15.75" hidden="1" thickBot="1" x14ac:dyDescent="0.3">
      <c r="A3621" s="200"/>
      <c r="B3621" s="202"/>
      <c r="C3621" s="32"/>
      <c r="D3621" s="32"/>
      <c r="E3621" s="33"/>
      <c r="F3621" s="54" t="s">
        <v>558</v>
      </c>
      <c r="G3621" s="54" t="str">
        <f>IF(ISNUMBER(F3621),E3621*F3621,"")</f>
        <v/>
      </c>
      <c r="H3621" s="73"/>
      <c r="I3621" s="74"/>
      <c r="J3621" s="155">
        <v>0</v>
      </c>
    </row>
    <row r="3622" spans="1:10" ht="26.25" hidden="1" thickBot="1" x14ac:dyDescent="0.3">
      <c r="A3622" s="200"/>
      <c r="B3622" s="202"/>
      <c r="C3622" s="36" t="s">
        <v>791</v>
      </c>
      <c r="D3622" s="36" t="s">
        <v>110</v>
      </c>
      <c r="E3622" s="37">
        <v>7.0000000000000001E-3</v>
      </c>
      <c r="F3622" s="54">
        <v>85.5</v>
      </c>
      <c r="G3622" s="54">
        <f>IF(ISNUMBER(F3622),E3622*F3622,"")</f>
        <v>0.59850000000000003</v>
      </c>
      <c r="H3622" s="39">
        <f>SUM(G3622:G3630)</f>
        <v>48.646310182966999</v>
      </c>
      <c r="I3622" s="40"/>
      <c r="J3622" s="155">
        <v>0</v>
      </c>
    </row>
    <row r="3623" spans="1:10" ht="26.25" hidden="1" thickBot="1" x14ac:dyDescent="0.3">
      <c r="A3623" s="200"/>
      <c r="B3623" s="202"/>
      <c r="C3623" s="36" t="s">
        <v>3789</v>
      </c>
      <c r="D3623" s="36" t="s">
        <v>93</v>
      </c>
      <c r="E3623" s="37">
        <v>1.0049999999999999</v>
      </c>
      <c r="F3623" s="54">
        <v>30.960500000000003</v>
      </c>
      <c r="G3623" s="54">
        <f>IF(ISNUMBER(F3623),E3623*F3623,"")</f>
        <v>31.115302499999999</v>
      </c>
      <c r="H3623" s="73"/>
      <c r="I3623" s="74"/>
      <c r="J3623" s="155">
        <v>0</v>
      </c>
    </row>
    <row r="3624" spans="1:10" ht="15.75" hidden="1" thickBot="1" x14ac:dyDescent="0.3">
      <c r="A3624" s="200"/>
      <c r="B3624" s="202"/>
      <c r="C3624" s="36" t="s">
        <v>22</v>
      </c>
      <c r="D3624" s="36" t="s">
        <v>12</v>
      </c>
      <c r="E3624" s="37">
        <v>0.39400000000000002</v>
      </c>
      <c r="F3624" s="54">
        <v>22.704999999999998</v>
      </c>
      <c r="G3624" s="54">
        <f>IF(ISNUMBER(F3624),E3624*F3624,"")</f>
        <v>8.9457699999999996</v>
      </c>
      <c r="H3624" s="73"/>
      <c r="I3624" s="74"/>
      <c r="J3624" s="155">
        <v>0</v>
      </c>
    </row>
    <row r="3625" spans="1:10" ht="15.75" hidden="1" thickBot="1" x14ac:dyDescent="0.3">
      <c r="A3625" s="200"/>
      <c r="B3625" s="202"/>
      <c r="C3625" s="36" t="s">
        <v>23</v>
      </c>
      <c r="D3625" s="36" t="s">
        <v>12</v>
      </c>
      <c r="E3625" s="37">
        <v>0.39400000000000002</v>
      </c>
      <c r="F3625" s="54">
        <v>16.729499999999998</v>
      </c>
      <c r="G3625" s="54">
        <f>IF(ISNUMBER(F3625),E3625*F3625,"")</f>
        <v>6.5914229999999998</v>
      </c>
      <c r="H3625" s="73"/>
      <c r="I3625" s="74"/>
      <c r="J3625" s="155">
        <v>0</v>
      </c>
    </row>
    <row r="3626" spans="1:10" ht="26.25" hidden="1" thickBot="1" x14ac:dyDescent="0.3">
      <c r="A3626" s="200"/>
      <c r="B3626" s="202"/>
      <c r="C3626" s="36" t="s">
        <v>109</v>
      </c>
      <c r="D3626" s="36" t="s">
        <v>110</v>
      </c>
      <c r="E3626" s="37">
        <v>2E-3</v>
      </c>
      <c r="F3626" s="54">
        <v>536.51921643349988</v>
      </c>
      <c r="G3626" s="54">
        <f>IF(ISNUMBER(F3626),E3626*F3626,"")</f>
        <v>1.0730384328669997</v>
      </c>
      <c r="H3626" s="73"/>
      <c r="I3626" s="74"/>
      <c r="J3626" s="155">
        <v>0</v>
      </c>
    </row>
    <row r="3627" spans="1:10" ht="51.75" hidden="1" thickBot="1" x14ac:dyDescent="0.3">
      <c r="A3627" s="200"/>
      <c r="B3627" s="202"/>
      <c r="C3627" s="36" t="s">
        <v>3617</v>
      </c>
      <c r="D3627" s="36" t="s">
        <v>110</v>
      </c>
      <c r="E3627" s="37">
        <f>1*E3622</f>
        <v>7.0000000000000001E-3</v>
      </c>
      <c r="F3627" s="34">
        <v>6.0418992999999999</v>
      </c>
      <c r="G3627" s="34">
        <f>IF(ISNUMBER(F3627),E3627*F3627,"")</f>
        <v>4.2293295100000003E-2</v>
      </c>
      <c r="H3627" s="35"/>
      <c r="I3627" s="31"/>
      <c r="J3627" s="155">
        <v>0</v>
      </c>
    </row>
    <row r="3628" spans="1:10" ht="39" hidden="1" thickBot="1" x14ac:dyDescent="0.3">
      <c r="A3628" s="200"/>
      <c r="B3628" s="202"/>
      <c r="C3628" s="36" t="s">
        <v>123</v>
      </c>
      <c r="D3628" s="36" t="s">
        <v>124</v>
      </c>
      <c r="E3628" s="37">
        <f>0.007*20</f>
        <v>0.14000000000000001</v>
      </c>
      <c r="F3628" s="54">
        <v>1.9998782499999996</v>
      </c>
      <c r="G3628" s="54">
        <f>IF(ISNUMBER(F3628),E3628*F3628,"")</f>
        <v>0.27998295499999998</v>
      </c>
      <c r="H3628" s="73"/>
      <c r="I3628" s="74"/>
      <c r="J3628" s="155">
        <v>0</v>
      </c>
    </row>
    <row r="3629" spans="1:10" ht="15.75" hidden="1" thickBot="1" x14ac:dyDescent="0.3">
      <c r="A3629" s="200"/>
      <c r="B3629" s="202"/>
      <c r="C3629" s="36"/>
      <c r="D3629" s="36"/>
      <c r="E3629" s="37"/>
      <c r="F3629" s="54" t="s">
        <v>558</v>
      </c>
      <c r="G3629" s="54" t="str">
        <f>IF(ISNUMBER(F3629),E3629*F3629,"")</f>
        <v/>
      </c>
      <c r="H3629" s="73"/>
      <c r="I3629" s="74"/>
      <c r="J3629" s="155">
        <v>0</v>
      </c>
    </row>
    <row r="3630" spans="1:10" ht="15.75" hidden="1" thickBot="1" x14ac:dyDescent="0.3">
      <c r="A3630" s="200"/>
      <c r="B3630" s="202"/>
      <c r="C3630" s="48" t="s">
        <v>1140</v>
      </c>
      <c r="D3630" s="36"/>
      <c r="E3630" s="37"/>
      <c r="F3630" s="54" t="s">
        <v>558</v>
      </c>
      <c r="G3630" s="54" t="str">
        <f>IF(ISNUMBER(F3630),E3630*F3630,"")</f>
        <v/>
      </c>
      <c r="H3630" s="73"/>
      <c r="I3630" s="74"/>
      <c r="J3630" s="155">
        <v>0</v>
      </c>
    </row>
    <row r="3631" spans="1:10" ht="15.75" hidden="1" thickBot="1" x14ac:dyDescent="0.3">
      <c r="A3631" s="201"/>
      <c r="B3631" s="188"/>
      <c r="C3631" s="36"/>
      <c r="D3631" s="36"/>
      <c r="E3631" s="37"/>
      <c r="F3631" s="54" t="s">
        <v>558</v>
      </c>
      <c r="G3631" s="54" t="str">
        <f>IF(ISNUMBER(F3631),E3631*F3631,"")</f>
        <v/>
      </c>
      <c r="H3631" s="73"/>
      <c r="I3631" s="74"/>
      <c r="J3631" s="155">
        <v>0</v>
      </c>
    </row>
    <row r="3632" spans="1:10" ht="15.75" hidden="1" thickBot="1" x14ac:dyDescent="0.3">
      <c r="A3632" s="180" t="s">
        <v>1141</v>
      </c>
      <c r="B3632" s="186" t="str">
        <f>INDEX(Orçamentária!A:B,MATCH(Composições!A3632,Orçamentária!A:A,0),2)</f>
        <v>Tubo PEAD corrugado para drenagem – Diâmetro 100 mm</v>
      </c>
      <c r="C3632" s="41"/>
      <c r="D3632" s="26" t="str">
        <f>TRIM(INDEX(Orçamentária!C:C,MATCH(Composições!A3632,Orçamentária!A:A,0),1))</f>
        <v>m</v>
      </c>
      <c r="E3632" s="27"/>
      <c r="F3632" s="49" t="s">
        <v>558</v>
      </c>
      <c r="G3632" s="28" t="str">
        <f>IF(ISNUMBER(F3632),E3632*F3632,"")</f>
        <v/>
      </c>
      <c r="H3632" s="29"/>
      <c r="I3632" s="30"/>
      <c r="J3632" s="155">
        <v>0</v>
      </c>
    </row>
    <row r="3633" spans="1:10" ht="15.75" hidden="1" thickBot="1" x14ac:dyDescent="0.3">
      <c r="A3633" s="200"/>
      <c r="B3633" s="202"/>
      <c r="C3633" s="32"/>
      <c r="D3633" s="32"/>
      <c r="E3633" s="33"/>
      <c r="F3633" s="54" t="s">
        <v>558</v>
      </c>
      <c r="G3633" s="54" t="str">
        <f>IF(ISNUMBER(F3633),E3633*F3633,"")</f>
        <v/>
      </c>
      <c r="H3633" s="73"/>
      <c r="I3633" s="74"/>
      <c r="J3633" s="155">
        <v>0</v>
      </c>
    </row>
    <row r="3634" spans="1:10" ht="26.25" hidden="1" thickBot="1" x14ac:dyDescent="0.3">
      <c r="A3634" s="200"/>
      <c r="B3634" s="202"/>
      <c r="C3634" s="36" t="s">
        <v>1142</v>
      </c>
      <c r="D3634" s="36" t="s">
        <v>122</v>
      </c>
      <c r="E3634" s="37">
        <v>0.23</v>
      </c>
      <c r="F3634" s="54">
        <v>125.64699999999999</v>
      </c>
      <c r="G3634" s="54">
        <f>IF(ISNUMBER(F3634),E3634*F3634,"")</f>
        <v>28.898810000000001</v>
      </c>
      <c r="H3634" s="39">
        <f>SUM(G3634:G3644)</f>
        <v>114.97631178900001</v>
      </c>
      <c r="I3634" s="40"/>
      <c r="J3634" s="155">
        <v>0</v>
      </c>
    </row>
    <row r="3635" spans="1:10" ht="39" hidden="1" thickBot="1" x14ac:dyDescent="0.3">
      <c r="A3635" s="200"/>
      <c r="B3635" s="202"/>
      <c r="C3635" s="36" t="s">
        <v>1144</v>
      </c>
      <c r="D3635" s="36" t="s">
        <v>513</v>
      </c>
      <c r="E3635" s="37">
        <v>1.01</v>
      </c>
      <c r="F3635" s="54">
        <v>9.3574999999999999</v>
      </c>
      <c r="G3635" s="54">
        <f>IF(ISNUMBER(F3635),E3635*F3635,"")</f>
        <v>9.4510749999999994</v>
      </c>
      <c r="H3635" s="73"/>
      <c r="I3635" s="74"/>
      <c r="J3635" s="155">
        <v>0</v>
      </c>
    </row>
    <row r="3636" spans="1:10" ht="26.25" hidden="1" thickBot="1" x14ac:dyDescent="0.3">
      <c r="A3636" s="200"/>
      <c r="B3636" s="202"/>
      <c r="C3636" s="36" t="s">
        <v>994</v>
      </c>
      <c r="D3636" s="36" t="s">
        <v>742</v>
      </c>
      <c r="E3636" s="37">
        <v>0.5</v>
      </c>
      <c r="F3636" s="54">
        <v>22.2395</v>
      </c>
      <c r="G3636" s="54">
        <f>IF(ISNUMBER(F3636),E3636*F3636,"")</f>
        <v>11.11975</v>
      </c>
      <c r="H3636" s="73"/>
      <c r="I3636" s="74"/>
      <c r="J3636" s="155">
        <v>0</v>
      </c>
    </row>
    <row r="3637" spans="1:10" ht="15.75" hidden="1" thickBot="1" x14ac:dyDescent="0.3">
      <c r="A3637" s="200"/>
      <c r="B3637" s="202"/>
      <c r="C3637" s="36" t="s">
        <v>743</v>
      </c>
      <c r="D3637" s="36" t="s">
        <v>742</v>
      </c>
      <c r="E3637" s="37">
        <v>0.7</v>
      </c>
      <c r="F3637" s="54">
        <v>16.729499999999998</v>
      </c>
      <c r="G3637" s="54">
        <f>IF(ISNUMBER(F3637),E3637*F3637,"")</f>
        <v>11.710649999999998</v>
      </c>
      <c r="H3637" s="73"/>
      <c r="I3637" s="74"/>
      <c r="J3637" s="155">
        <v>0</v>
      </c>
    </row>
    <row r="3638" spans="1:10" ht="26.25" hidden="1" thickBot="1" x14ac:dyDescent="0.3">
      <c r="A3638" s="200"/>
      <c r="B3638" s="202"/>
      <c r="C3638" s="36" t="s">
        <v>3405</v>
      </c>
      <c r="D3638" s="36" t="s">
        <v>1034</v>
      </c>
      <c r="E3638" s="37">
        <v>2.2000000000000002</v>
      </c>
      <c r="F3638" s="54">
        <v>15.7035</v>
      </c>
      <c r="G3638" s="54">
        <f>IF(ISNUMBER(F3638),E3638*F3638,"")</f>
        <v>34.547700000000006</v>
      </c>
      <c r="H3638" s="73"/>
      <c r="I3638" s="74"/>
      <c r="J3638" s="155">
        <v>0</v>
      </c>
    </row>
    <row r="3639" spans="1:10" ht="26.25" hidden="1" thickBot="1" x14ac:dyDescent="0.3">
      <c r="A3639" s="200"/>
      <c r="B3639" s="202"/>
      <c r="C3639" s="36" t="s">
        <v>108</v>
      </c>
      <c r="D3639" s="36" t="s">
        <v>742</v>
      </c>
      <c r="E3639" s="37">
        <v>0.5</v>
      </c>
      <c r="F3639" s="54">
        <v>17.3185</v>
      </c>
      <c r="G3639" s="54">
        <f>IF(ISNUMBER(F3639),E3639*F3639,"")</f>
        <v>8.6592500000000001</v>
      </c>
      <c r="H3639" s="73"/>
      <c r="I3639" s="74"/>
      <c r="J3639" s="155">
        <v>0</v>
      </c>
    </row>
    <row r="3640" spans="1:10" ht="51.75" hidden="1" thickBot="1" x14ac:dyDescent="0.3">
      <c r="A3640" s="200"/>
      <c r="B3640" s="202"/>
      <c r="C3640" s="36" t="s">
        <v>3617</v>
      </c>
      <c r="D3640" s="36" t="s">
        <v>110</v>
      </c>
      <c r="E3640" s="37">
        <f>1*E3634</f>
        <v>0.23</v>
      </c>
      <c r="F3640" s="34">
        <v>6.0418992999999999</v>
      </c>
      <c r="G3640" s="34">
        <f>IF(ISNUMBER(F3640),E3640*F3640,"")</f>
        <v>1.389636839</v>
      </c>
      <c r="H3640" s="35"/>
      <c r="I3640" s="31"/>
      <c r="J3640" s="155">
        <v>0</v>
      </c>
    </row>
    <row r="3641" spans="1:10" ht="39" hidden="1" thickBot="1" x14ac:dyDescent="0.3">
      <c r="A3641" s="200"/>
      <c r="B3641" s="202"/>
      <c r="C3641" s="36" t="s">
        <v>123</v>
      </c>
      <c r="D3641" s="36" t="s">
        <v>124</v>
      </c>
      <c r="E3641" s="37">
        <f>E3634*20</f>
        <v>4.6000000000000005</v>
      </c>
      <c r="F3641" s="54">
        <v>1.9998782499999996</v>
      </c>
      <c r="G3641" s="54">
        <f>IF(ISNUMBER(F3641),E3641*F3641,"")</f>
        <v>9.1994399499999986</v>
      </c>
      <c r="H3641" s="73"/>
      <c r="I3641" s="74"/>
      <c r="J3641" s="155">
        <v>0</v>
      </c>
    </row>
    <row r="3642" spans="1:10" ht="15.75" hidden="1" thickBot="1" x14ac:dyDescent="0.3">
      <c r="A3642" s="200"/>
      <c r="B3642" s="202"/>
      <c r="C3642" s="36"/>
      <c r="D3642" s="36"/>
      <c r="E3642" s="37"/>
      <c r="F3642" s="54" t="s">
        <v>558</v>
      </c>
      <c r="G3642" s="54" t="str">
        <f>IF(ISNUMBER(F3642),E3642*F3642,"")</f>
        <v/>
      </c>
      <c r="H3642" s="73"/>
      <c r="I3642" s="74"/>
      <c r="J3642" s="155">
        <v>0</v>
      </c>
    </row>
    <row r="3643" spans="1:10" ht="15.75" hidden="1" thickBot="1" x14ac:dyDescent="0.3">
      <c r="A3643" s="200"/>
      <c r="B3643" s="202"/>
      <c r="C3643" s="48" t="s">
        <v>1146</v>
      </c>
      <c r="D3643" s="36"/>
      <c r="E3643" s="37"/>
      <c r="F3643" s="54" t="s">
        <v>558</v>
      </c>
      <c r="G3643" s="54" t="str">
        <f>IF(ISNUMBER(F3643),E3643*F3643,"")</f>
        <v/>
      </c>
      <c r="H3643" s="73"/>
      <c r="I3643" s="74"/>
      <c r="J3643" s="155">
        <v>0</v>
      </c>
    </row>
    <row r="3644" spans="1:10" ht="15.75" hidden="1" thickBot="1" x14ac:dyDescent="0.3">
      <c r="A3644" s="200"/>
      <c r="B3644" s="202"/>
      <c r="C3644" s="36"/>
      <c r="D3644" s="36"/>
      <c r="E3644" s="37"/>
      <c r="F3644" s="54" t="s">
        <v>558</v>
      </c>
      <c r="G3644" s="54" t="str">
        <f>IF(ISNUMBER(F3644),E3644*F3644,"")</f>
        <v/>
      </c>
      <c r="H3644" s="73"/>
      <c r="I3644" s="74"/>
      <c r="J3644" s="155">
        <v>0</v>
      </c>
    </row>
    <row r="3645" spans="1:10" ht="15.75" hidden="1" thickBot="1" x14ac:dyDescent="0.3">
      <c r="A3645" s="180" t="s">
        <v>1147</v>
      </c>
      <c r="B3645" s="186" t="str">
        <f>INDEX(Orçamentária!A:B,MATCH(Composições!A3645,Orçamentária!A:A,0),2)</f>
        <v>Fixadores metálicos para rochas ornamentais (Modelo Edifício Principal, peça inferior)</v>
      </c>
      <c r="C3645" s="41"/>
      <c r="D3645" s="26" t="str">
        <f>TRIM(INDEX(Orçamentária!C:C,MATCH(Composições!A3645,Orçamentária!A:A,0),1))</f>
        <v>un</v>
      </c>
      <c r="E3645" s="27"/>
      <c r="F3645" s="49" t="s">
        <v>558</v>
      </c>
      <c r="G3645" s="28" t="str">
        <f>IF(ISNUMBER(F3645),E3645*F3645,"")</f>
        <v/>
      </c>
      <c r="H3645" s="29"/>
      <c r="I3645" s="30"/>
      <c r="J3645" s="155">
        <v>0</v>
      </c>
    </row>
    <row r="3646" spans="1:10" ht="15.75" hidden="1" thickBot="1" x14ac:dyDescent="0.3">
      <c r="A3646" s="200"/>
      <c r="B3646" s="202"/>
      <c r="C3646" s="32"/>
      <c r="D3646" s="32"/>
      <c r="E3646" s="33"/>
      <c r="F3646" s="54" t="s">
        <v>558</v>
      </c>
      <c r="G3646" s="54" t="str">
        <f>IF(ISNUMBER(F3646),E3646*F3646,"")</f>
        <v/>
      </c>
      <c r="H3646" s="73"/>
      <c r="I3646" s="74"/>
      <c r="J3646" s="155">
        <v>0</v>
      </c>
    </row>
    <row r="3647" spans="1:10" ht="15.75" hidden="1" thickBot="1" x14ac:dyDescent="0.3">
      <c r="A3647" s="200"/>
      <c r="B3647" s="202"/>
      <c r="C3647" s="36" t="s">
        <v>22</v>
      </c>
      <c r="D3647" s="36" t="s">
        <v>12</v>
      </c>
      <c r="E3647" s="37">
        <f>0.1+0.1</f>
        <v>0.2</v>
      </c>
      <c r="F3647" s="54">
        <v>22.704999999999998</v>
      </c>
      <c r="G3647" s="54">
        <f>IF(ISNUMBER(F3647),E3647*F3647,"")</f>
        <v>4.5409999999999995</v>
      </c>
      <c r="H3647" s="39">
        <f>SUM(G3647:G3652)</f>
        <v>8.0803926803009993</v>
      </c>
      <c r="I3647" s="40"/>
      <c r="J3647" s="155">
        <v>0</v>
      </c>
    </row>
    <row r="3648" spans="1:10" ht="15.75" hidden="1" thickBot="1" x14ac:dyDescent="0.3">
      <c r="A3648" s="200"/>
      <c r="B3648" s="202"/>
      <c r="C3648" s="36" t="s">
        <v>23</v>
      </c>
      <c r="D3648" s="36" t="s">
        <v>12</v>
      </c>
      <c r="E3648" s="37">
        <f>0.1+0.1</f>
        <v>0.2</v>
      </c>
      <c r="F3648" s="54">
        <v>16.729499999999998</v>
      </c>
      <c r="G3648" s="54">
        <f>IF(ISNUMBER(F3648),E3648*F3648,"")</f>
        <v>3.3458999999999999</v>
      </c>
      <c r="H3648" s="73"/>
      <c r="I3648" s="74"/>
      <c r="J3648" s="155">
        <v>0</v>
      </c>
    </row>
    <row r="3649" spans="1:10" ht="15.75" hidden="1" thickBot="1" x14ac:dyDescent="0.3">
      <c r="A3649" s="200"/>
      <c r="B3649" s="202"/>
      <c r="C3649" s="36" t="s">
        <v>1069</v>
      </c>
      <c r="D3649" s="36" t="s">
        <v>147</v>
      </c>
      <c r="E3649" s="37">
        <f>0.016*2</f>
        <v>3.2000000000000001E-2</v>
      </c>
      <c r="F3649" s="54">
        <v>0</v>
      </c>
      <c r="G3649" s="54">
        <f>IF(ISNUMBER(F3649),E3649*F3649,"")</f>
        <v>0</v>
      </c>
      <c r="H3649" s="73"/>
      <c r="I3649" s="74"/>
      <c r="J3649" s="155">
        <v>0</v>
      </c>
    </row>
    <row r="3650" spans="1:10" ht="15.75" hidden="1" thickBot="1" x14ac:dyDescent="0.3">
      <c r="A3650" s="200"/>
      <c r="B3650" s="202"/>
      <c r="C3650" s="36" t="s">
        <v>1070</v>
      </c>
      <c r="D3650" s="36" t="s">
        <v>1071</v>
      </c>
      <c r="E3650" s="37">
        <f>0.1*2</f>
        <v>0.2</v>
      </c>
      <c r="F3650" s="54">
        <v>0</v>
      </c>
      <c r="G3650" s="54">
        <f>IF(ISNUMBER(F3650),E3650*F3650,"")</f>
        <v>0</v>
      </c>
      <c r="H3650" s="73"/>
      <c r="I3650" s="74"/>
      <c r="J3650" s="155">
        <v>0</v>
      </c>
    </row>
    <row r="3651" spans="1:10" ht="15.75" hidden="1" thickBot="1" x14ac:dyDescent="0.3">
      <c r="A3651" s="200"/>
      <c r="B3651" s="202"/>
      <c r="C3651" s="36" t="s">
        <v>1148</v>
      </c>
      <c r="D3651" s="36" t="s">
        <v>147</v>
      </c>
      <c r="E3651" s="37">
        <v>1</v>
      </c>
      <c r="F3651" s="54" t="s">
        <v>558</v>
      </c>
      <c r="G3651" s="54" t="str">
        <f>IF(ISNUMBER(F3651),E3651*F3651,"")</f>
        <v/>
      </c>
      <c r="H3651" s="73"/>
      <c r="I3651" s="74"/>
      <c r="J3651" s="155">
        <v>0</v>
      </c>
    </row>
    <row r="3652" spans="1:10" ht="39" hidden="1" thickBot="1" x14ac:dyDescent="0.3">
      <c r="A3652" s="200"/>
      <c r="B3652" s="202"/>
      <c r="C3652" s="36" t="s">
        <v>1072</v>
      </c>
      <c r="D3652" s="36" t="s">
        <v>110</v>
      </c>
      <c r="E3652" s="37">
        <f>ROUND(0.15*0.05*0.05,4)</f>
        <v>4.0000000000000002E-4</v>
      </c>
      <c r="F3652" s="54">
        <v>483.73170075249999</v>
      </c>
      <c r="G3652" s="54">
        <f>IF(ISNUMBER(F3652),E3652*F3652,"")</f>
        <v>0.193492680301</v>
      </c>
      <c r="H3652" s="73"/>
      <c r="I3652" s="74"/>
      <c r="J3652" s="155">
        <v>0</v>
      </c>
    </row>
    <row r="3653" spans="1:10" ht="15.75" hidden="1" thickBot="1" x14ac:dyDescent="0.3">
      <c r="A3653" s="200"/>
      <c r="B3653" s="202"/>
      <c r="C3653" s="36"/>
      <c r="D3653" s="36"/>
      <c r="E3653" s="37"/>
      <c r="F3653" s="54" t="s">
        <v>558</v>
      </c>
      <c r="G3653" s="54" t="str">
        <f>IF(ISNUMBER(F3653),E3653*F3653,"")</f>
        <v/>
      </c>
      <c r="H3653" s="73"/>
      <c r="I3653" s="74"/>
      <c r="J3653" s="155">
        <v>0</v>
      </c>
    </row>
    <row r="3654" spans="1:10" ht="15.75" hidden="1" thickBot="1" x14ac:dyDescent="0.3">
      <c r="A3654" s="200"/>
      <c r="B3654" s="202"/>
      <c r="C3654" s="152" t="s">
        <v>1073</v>
      </c>
      <c r="D3654" s="36"/>
      <c r="E3654" s="37"/>
      <c r="F3654" s="54" t="s">
        <v>558</v>
      </c>
      <c r="G3654" s="54" t="str">
        <f>IF(ISNUMBER(F3654),E3654*F3654,"")</f>
        <v/>
      </c>
      <c r="H3654" s="73"/>
      <c r="I3654" s="74"/>
      <c r="J3654" s="155">
        <v>0</v>
      </c>
    </row>
    <row r="3655" spans="1:10" ht="15.75" hidden="1" thickBot="1" x14ac:dyDescent="0.3">
      <c r="A3655" s="201"/>
      <c r="B3655" s="188"/>
      <c r="C3655" s="55"/>
      <c r="D3655" s="55"/>
      <c r="E3655" s="66"/>
      <c r="F3655" s="76" t="s">
        <v>558</v>
      </c>
      <c r="G3655" s="76" t="str">
        <f>IF(ISNUMBER(F3655),E3655*F3655,"")</f>
        <v/>
      </c>
      <c r="H3655" s="77"/>
      <c r="I3655" s="74"/>
      <c r="J3655" s="155">
        <v>0</v>
      </c>
    </row>
    <row r="3656" spans="1:10" ht="15.75" hidden="1" thickBot="1" x14ac:dyDescent="0.3">
      <c r="A3656" s="180" t="s">
        <v>1149</v>
      </c>
      <c r="B3656" s="186" t="str">
        <f>INDEX(Orçamentária!A:B,MATCH(Composições!A3656,Orçamentária!A:A,0),2)</f>
        <v>Locação de Container - Escritório</v>
      </c>
      <c r="C3656" s="41"/>
      <c r="D3656" s="26" t="str">
        <f>TRIM(INDEX(Orçamentária!C:C,MATCH(Composições!A3656,Orçamentária!A:A,0),1))</f>
        <v>mês</v>
      </c>
      <c r="E3656" s="27"/>
      <c r="F3656" s="49" t="s">
        <v>558</v>
      </c>
      <c r="G3656" s="28" t="str">
        <f>IF(ISNUMBER(F3656),E3656*F3656,"")</f>
        <v/>
      </c>
      <c r="H3656" s="29"/>
      <c r="I3656" s="30"/>
      <c r="J3656" s="155">
        <v>0</v>
      </c>
    </row>
    <row r="3657" spans="1:10" ht="15.75" hidden="1" thickBot="1" x14ac:dyDescent="0.3">
      <c r="A3657" s="181"/>
      <c r="B3657" s="202"/>
      <c r="C3657" s="32"/>
      <c r="D3657" s="32"/>
      <c r="E3657" s="33"/>
      <c r="F3657" s="54" t="s">
        <v>558</v>
      </c>
      <c r="G3657" s="54" t="str">
        <f>IF(ISNUMBER(F3657),E3657*F3657,"")</f>
        <v/>
      </c>
      <c r="H3657" s="73"/>
      <c r="I3657" s="74"/>
      <c r="J3657" s="155">
        <v>0</v>
      </c>
    </row>
    <row r="3658" spans="1:10" ht="39" hidden="1" thickBot="1" x14ac:dyDescent="0.3">
      <c r="A3658" s="181"/>
      <c r="B3658" s="202"/>
      <c r="C3658" s="36" t="s">
        <v>1150</v>
      </c>
      <c r="D3658" s="50" t="s">
        <v>129</v>
      </c>
      <c r="E3658" s="37">
        <v>1</v>
      </c>
      <c r="F3658" s="54">
        <v>555.75</v>
      </c>
      <c r="G3658" s="54">
        <f>IF(ISNUMBER(F3658),E3658*F3658,"")</f>
        <v>555.75</v>
      </c>
      <c r="H3658" s="39">
        <f>SUM(G3658:G3658)</f>
        <v>555.75</v>
      </c>
      <c r="I3658" s="40"/>
      <c r="J3658" s="155">
        <v>0</v>
      </c>
    </row>
    <row r="3659" spans="1:10" ht="15.75" hidden="1" thickBot="1" x14ac:dyDescent="0.3">
      <c r="A3659" s="182"/>
      <c r="B3659" s="188"/>
      <c r="C3659" s="36"/>
      <c r="D3659" s="36"/>
      <c r="E3659" s="37"/>
      <c r="F3659" s="54" t="s">
        <v>558</v>
      </c>
      <c r="G3659" s="54" t="str">
        <f>IF(ISNUMBER(F3659),E3659*F3659,"")</f>
        <v/>
      </c>
      <c r="H3659" s="73"/>
      <c r="I3659" s="74"/>
      <c r="J3659" s="155">
        <v>0</v>
      </c>
    </row>
    <row r="3660" spans="1:10" ht="15.75" hidden="1" thickBot="1" x14ac:dyDescent="0.3">
      <c r="A3660" s="180" t="s">
        <v>1151</v>
      </c>
      <c r="B3660" s="186" t="str">
        <f>INDEX(Orçamentária!A:B,MATCH(Composições!A3660,Orçamentária!A:A,0),2)</f>
        <v>Abertura/fechamento de rasgo em concreto</v>
      </c>
      <c r="C3660" s="41"/>
      <c r="D3660" s="26" t="str">
        <f>TRIM(INDEX(Orçamentária!C:C,MATCH(Composições!A3660,Orçamentária!A:A,0),1))</f>
        <v>m</v>
      </c>
      <c r="E3660" s="27"/>
      <c r="F3660" s="42" t="s">
        <v>558</v>
      </c>
      <c r="G3660" s="28" t="str">
        <f>IF(ISNUMBER(F3660),E3660*F3660,"")</f>
        <v/>
      </c>
      <c r="H3660" s="29"/>
      <c r="I3660" s="30"/>
      <c r="J3660" s="155">
        <v>0</v>
      </c>
    </row>
    <row r="3661" spans="1:10" ht="15.75" hidden="1" thickBot="1" x14ac:dyDescent="0.3">
      <c r="A3661" s="200"/>
      <c r="B3661" s="202"/>
      <c r="C3661" s="32"/>
      <c r="D3661" s="32"/>
      <c r="E3661" s="33"/>
      <c r="F3661" s="43" t="s">
        <v>558</v>
      </c>
      <c r="G3661" s="31" t="str">
        <f>IF(ISNUMBER(F3661),E3661*F3661,"")</f>
        <v/>
      </c>
      <c r="H3661" s="35"/>
      <c r="I3661" s="31"/>
      <c r="J3661" s="155">
        <v>0</v>
      </c>
    </row>
    <row r="3662" spans="1:10" ht="26.25" hidden="1" thickBot="1" x14ac:dyDescent="0.3">
      <c r="A3662" s="200"/>
      <c r="B3662" s="202"/>
      <c r="C3662" s="36" t="s">
        <v>1152</v>
      </c>
      <c r="D3662" s="36" t="s">
        <v>982</v>
      </c>
      <c r="E3662" s="37">
        <v>0.183</v>
      </c>
      <c r="F3662" s="31">
        <v>21.127999999999997</v>
      </c>
      <c r="G3662" s="31">
        <f>IF(ISNUMBER(F3662),E3662*F3662,"")</f>
        <v>3.8664239999999994</v>
      </c>
      <c r="H3662" s="39">
        <f>SUM(G3662:G3668)</f>
        <v>37.224530731468001</v>
      </c>
      <c r="I3662" s="40"/>
      <c r="J3662" s="155">
        <v>0</v>
      </c>
    </row>
    <row r="3663" spans="1:10" ht="26.25" hidden="1" thickBot="1" x14ac:dyDescent="0.3">
      <c r="A3663" s="200"/>
      <c r="B3663" s="202"/>
      <c r="C3663" s="36" t="s">
        <v>1153</v>
      </c>
      <c r="D3663" s="36" t="s">
        <v>984</v>
      </c>
      <c r="E3663" s="37">
        <v>0.40100000000000002</v>
      </c>
      <c r="F3663" s="31">
        <v>19.494</v>
      </c>
      <c r="G3663" s="31">
        <f>IF(ISNUMBER(F3663),E3663*F3663,"")</f>
        <v>7.817094</v>
      </c>
      <c r="H3663" s="35"/>
      <c r="I3663" s="31"/>
      <c r="J3663" s="155">
        <v>0</v>
      </c>
    </row>
    <row r="3664" spans="1:10" ht="26.25" hidden="1" thickBot="1" x14ac:dyDescent="0.3">
      <c r="A3664" s="200"/>
      <c r="B3664" s="202"/>
      <c r="C3664" s="36" t="s">
        <v>108</v>
      </c>
      <c r="D3664" s="36" t="s">
        <v>12</v>
      </c>
      <c r="E3664" s="37">
        <v>9.0999999999999998E-2</v>
      </c>
      <c r="F3664" s="31">
        <v>17.3185</v>
      </c>
      <c r="G3664" s="31">
        <f>IF(ISNUMBER(F3664),E3664*F3664,"")</f>
        <v>1.5759835</v>
      </c>
      <c r="H3664" s="35"/>
      <c r="I3664" s="31"/>
      <c r="J3664" s="155">
        <v>0</v>
      </c>
    </row>
    <row r="3665" spans="1:10" ht="15.75" hidden="1" thickBot="1" x14ac:dyDescent="0.3">
      <c r="A3665" s="200"/>
      <c r="B3665" s="202"/>
      <c r="C3665" s="36" t="s">
        <v>39</v>
      </c>
      <c r="D3665" s="47" t="s">
        <v>12</v>
      </c>
      <c r="E3665" s="37">
        <v>0.58299999999999996</v>
      </c>
      <c r="F3665" s="31">
        <v>22.2395</v>
      </c>
      <c r="G3665" s="31">
        <f>IF(ISNUMBER(F3665),E3665*F3665,"")</f>
        <v>12.965628499999999</v>
      </c>
      <c r="H3665" s="35"/>
      <c r="I3665" s="31"/>
      <c r="J3665" s="155">
        <v>0</v>
      </c>
    </row>
    <row r="3666" spans="1:10" ht="26.25" hidden="1" thickBot="1" x14ac:dyDescent="0.3">
      <c r="A3666" s="200"/>
      <c r="B3666" s="202"/>
      <c r="C3666" s="36" t="s">
        <v>108</v>
      </c>
      <c r="D3666" s="36" t="s">
        <v>12</v>
      </c>
      <c r="E3666" s="37">
        <v>3.7999999999999999E-2</v>
      </c>
      <c r="F3666" s="31">
        <v>17.3185</v>
      </c>
      <c r="G3666" s="31">
        <f>IF(ISNUMBER(F3666),E3666*F3666,"")</f>
        <v>0.65810299999999999</v>
      </c>
      <c r="H3666" s="35"/>
      <c r="I3666" s="31"/>
      <c r="J3666" s="155">
        <v>0</v>
      </c>
    </row>
    <row r="3667" spans="1:10" ht="15.75" hidden="1" thickBot="1" x14ac:dyDescent="0.3">
      <c r="A3667" s="200"/>
      <c r="B3667" s="202"/>
      <c r="C3667" s="36" t="s">
        <v>39</v>
      </c>
      <c r="D3667" s="47" t="s">
        <v>12</v>
      </c>
      <c r="E3667" s="37">
        <v>0.27200000000000002</v>
      </c>
      <c r="F3667" s="31">
        <v>22.2395</v>
      </c>
      <c r="G3667" s="31">
        <f>IF(ISNUMBER(F3667),E3667*F3667,"")</f>
        <v>6.0491440000000001</v>
      </c>
      <c r="H3667" s="35"/>
      <c r="I3667" s="31"/>
      <c r="J3667" s="155">
        <v>0</v>
      </c>
    </row>
    <row r="3668" spans="1:10" ht="26.25" hidden="1" thickBot="1" x14ac:dyDescent="0.3">
      <c r="A3668" s="200"/>
      <c r="B3668" s="202"/>
      <c r="C3668" s="36" t="s">
        <v>109</v>
      </c>
      <c r="D3668" s="36" t="s">
        <v>110</v>
      </c>
      <c r="E3668" s="37">
        <v>8.0000000000000002E-3</v>
      </c>
      <c r="F3668" s="34">
        <v>536.51921643349988</v>
      </c>
      <c r="G3668" s="34">
        <f>IF(ISNUMBER(F3668),E3668*F3668,"")</f>
        <v>4.2921537314679989</v>
      </c>
      <c r="H3668" s="35"/>
      <c r="I3668" s="31"/>
      <c r="J3668" s="155">
        <v>0</v>
      </c>
    </row>
    <row r="3669" spans="1:10" ht="15.75" hidden="1" thickBot="1" x14ac:dyDescent="0.3">
      <c r="A3669" s="201"/>
      <c r="B3669" s="188"/>
      <c r="C3669" s="36"/>
      <c r="D3669" s="36"/>
      <c r="E3669" s="37"/>
      <c r="F3669" s="31" t="s">
        <v>558</v>
      </c>
      <c r="G3669" s="31" t="str">
        <f>IF(ISNUMBER(F3669),E3669*F3669,"")</f>
        <v/>
      </c>
      <c r="H3669" s="35"/>
      <c r="I3669" s="31"/>
      <c r="J3669" s="155">
        <v>0</v>
      </c>
    </row>
    <row r="3670" spans="1:10" ht="15.75" hidden="1" thickBot="1" x14ac:dyDescent="0.3">
      <c r="A3670" s="180" t="s">
        <v>1154</v>
      </c>
      <c r="B3670" s="186" t="str">
        <f>INDEX(Orçamentária!A:B,MATCH(Composições!A3670,Orçamentária!A:A,0),2)</f>
        <v>Recomposição de rejuntamento sobre revestimentos</v>
      </c>
      <c r="C3670" s="41"/>
      <c r="D3670" s="26" t="str">
        <f>TRIM(INDEX(Orçamentária!C:C,MATCH(Composições!A3670,Orçamentária!A:A,0),1))</f>
        <v>m2</v>
      </c>
      <c r="E3670" s="27"/>
      <c r="F3670" s="49" t="s">
        <v>558</v>
      </c>
      <c r="G3670" s="28" t="str">
        <f>IF(ISNUMBER(F3670),E3670*F3670,"")</f>
        <v/>
      </c>
      <c r="H3670" s="29"/>
      <c r="I3670" s="30"/>
      <c r="J3670" s="155">
        <v>0</v>
      </c>
    </row>
    <row r="3671" spans="1:10" ht="15.75" hidden="1" thickBot="1" x14ac:dyDescent="0.3">
      <c r="A3671" s="181"/>
      <c r="B3671" s="202"/>
      <c r="C3671" s="32"/>
      <c r="D3671" s="32"/>
      <c r="E3671" s="33"/>
      <c r="F3671" s="54" t="s">
        <v>558</v>
      </c>
      <c r="G3671" s="54" t="str">
        <f>IF(ISNUMBER(F3671),E3671*F3671,"")</f>
        <v/>
      </c>
      <c r="H3671" s="73"/>
      <c r="I3671" s="74"/>
      <c r="J3671" s="155">
        <v>0</v>
      </c>
    </row>
    <row r="3672" spans="1:10" ht="15.75" hidden="1" thickBot="1" x14ac:dyDescent="0.3">
      <c r="A3672" s="181"/>
      <c r="B3672" s="202"/>
      <c r="C3672" s="36" t="s">
        <v>3618</v>
      </c>
      <c r="D3672" s="50" t="s">
        <v>42</v>
      </c>
      <c r="E3672" s="37">
        <v>0.25900000000000001</v>
      </c>
      <c r="F3672" s="54">
        <v>2.508</v>
      </c>
      <c r="G3672" s="54">
        <f>IF(ISNUMBER(F3672),E3672*F3672,"")</f>
        <v>0.64957200000000004</v>
      </c>
      <c r="H3672" s="39">
        <f>SUM(G3672:G3673)</f>
        <v>9.0143219999999999</v>
      </c>
      <c r="I3672" s="40"/>
      <c r="J3672" s="155">
        <v>0</v>
      </c>
    </row>
    <row r="3673" spans="1:10" ht="15.75" hidden="1" thickBot="1" x14ac:dyDescent="0.3">
      <c r="A3673" s="181"/>
      <c r="B3673" s="202"/>
      <c r="C3673" s="36" t="s">
        <v>23</v>
      </c>
      <c r="D3673" s="36" t="s">
        <v>12</v>
      </c>
      <c r="E3673" s="37">
        <f>0.25*2</f>
        <v>0.5</v>
      </c>
      <c r="F3673" s="54">
        <v>16.729499999999998</v>
      </c>
      <c r="G3673" s="54">
        <f>IF(ISNUMBER(F3673),E3673*F3673,"")</f>
        <v>8.364749999999999</v>
      </c>
      <c r="H3673" s="73"/>
      <c r="I3673" s="74"/>
      <c r="J3673" s="155">
        <v>0</v>
      </c>
    </row>
    <row r="3674" spans="1:10" ht="15.75" hidden="1" thickBot="1" x14ac:dyDescent="0.3">
      <c r="A3674" s="182"/>
      <c r="B3674" s="188"/>
      <c r="C3674" s="36"/>
      <c r="D3674" s="36"/>
      <c r="E3674" s="37"/>
      <c r="F3674" s="54" t="s">
        <v>558</v>
      </c>
      <c r="G3674" s="54" t="str">
        <f>IF(ISNUMBER(F3674),E3674*F3674,"")</f>
        <v/>
      </c>
      <c r="H3674" s="73"/>
      <c r="I3674" s="74"/>
      <c r="J3674" s="155">
        <v>0</v>
      </c>
    </row>
    <row r="3675" spans="1:10" ht="15.75" hidden="1" thickBot="1" x14ac:dyDescent="0.3">
      <c r="A3675" s="180" t="s">
        <v>1155</v>
      </c>
      <c r="B3675" s="186" t="str">
        <f>INDEX(Orçamentária!A:B,MATCH(Composições!A3675,Orçamentária!A:A,0),2)</f>
        <v>Impermeabilização de revestimentos em pedra</v>
      </c>
      <c r="C3675" s="41"/>
      <c r="D3675" s="26" t="str">
        <f>TRIM(INDEX(Orçamentária!C:C,MATCH(Composições!A3675,Orçamentária!A:A,0),1))</f>
        <v>m2</v>
      </c>
      <c r="E3675" s="27"/>
      <c r="F3675" s="49" t="s">
        <v>558</v>
      </c>
      <c r="G3675" s="28" t="str">
        <f>IF(ISNUMBER(F3675),E3675*F3675,"")</f>
        <v/>
      </c>
      <c r="H3675" s="29"/>
      <c r="I3675" s="30"/>
      <c r="J3675" s="155">
        <v>0</v>
      </c>
    </row>
    <row r="3676" spans="1:10" ht="15.75" hidden="1" thickBot="1" x14ac:dyDescent="0.3">
      <c r="A3676" s="181"/>
      <c r="B3676" s="202"/>
      <c r="C3676" s="32"/>
      <c r="D3676" s="32"/>
      <c r="E3676" s="33"/>
      <c r="F3676" s="54" t="s">
        <v>558</v>
      </c>
      <c r="G3676" s="54" t="str">
        <f>IF(ISNUMBER(F3676),E3676*F3676,"")</f>
        <v/>
      </c>
      <c r="H3676" s="73"/>
      <c r="I3676" s="74"/>
      <c r="J3676" s="155">
        <v>0</v>
      </c>
    </row>
    <row r="3677" spans="1:10" ht="15.75" hidden="1" thickBot="1" x14ac:dyDescent="0.3">
      <c r="A3677" s="181"/>
      <c r="B3677" s="202"/>
      <c r="C3677" s="36" t="s">
        <v>1156</v>
      </c>
      <c r="D3677" s="50" t="s">
        <v>103</v>
      </c>
      <c r="E3677" s="37">
        <f>ROUND(1/12,4)</f>
        <v>8.3299999999999999E-2</v>
      </c>
      <c r="F3677" s="54" t="s">
        <v>558</v>
      </c>
      <c r="G3677" s="54" t="str">
        <f>IF(ISNUMBER(F3677),E3677*F3677,"")</f>
        <v/>
      </c>
      <c r="H3677" s="39">
        <f>SUM(G3677:G3679)</f>
        <v>18.641849999999998</v>
      </c>
      <c r="I3677" s="40"/>
      <c r="J3677" s="155">
        <v>0</v>
      </c>
    </row>
    <row r="3678" spans="1:10" ht="15.75" hidden="1" thickBot="1" x14ac:dyDescent="0.3">
      <c r="A3678" s="181"/>
      <c r="B3678" s="202"/>
      <c r="C3678" s="36" t="s">
        <v>1056</v>
      </c>
      <c r="D3678" s="36" t="s">
        <v>742</v>
      </c>
      <c r="E3678" s="37">
        <f>1.2/2</f>
        <v>0.6</v>
      </c>
      <c r="F3678" s="54">
        <v>22.704999999999998</v>
      </c>
      <c r="G3678" s="54">
        <f>IF(ISNUMBER(F3678),E3678*F3678,"")</f>
        <v>13.622999999999999</v>
      </c>
      <c r="H3678" s="73"/>
      <c r="I3678" s="74"/>
      <c r="J3678" s="155">
        <v>0</v>
      </c>
    </row>
    <row r="3679" spans="1:10" ht="15.75" hidden="1" thickBot="1" x14ac:dyDescent="0.3">
      <c r="A3679" s="181"/>
      <c r="B3679" s="202"/>
      <c r="C3679" s="36" t="s">
        <v>23</v>
      </c>
      <c r="D3679" s="36" t="s">
        <v>742</v>
      </c>
      <c r="E3679" s="37">
        <f>0.6/2</f>
        <v>0.3</v>
      </c>
      <c r="F3679" s="54">
        <v>16.729499999999998</v>
      </c>
      <c r="G3679" s="54">
        <f>IF(ISNUMBER(F3679),E3679*F3679,"")</f>
        <v>5.0188499999999996</v>
      </c>
      <c r="H3679" s="73"/>
      <c r="I3679" s="74"/>
      <c r="J3679" s="155">
        <v>0</v>
      </c>
    </row>
    <row r="3680" spans="1:10" ht="15.75" hidden="1" thickBot="1" x14ac:dyDescent="0.3">
      <c r="A3680" s="181"/>
      <c r="B3680" s="202"/>
      <c r="C3680" s="36"/>
      <c r="D3680" s="36"/>
      <c r="E3680" s="37"/>
      <c r="F3680" s="54" t="s">
        <v>558</v>
      </c>
      <c r="G3680" s="54" t="str">
        <f>IF(ISNUMBER(F3680),E3680*F3680,"")</f>
        <v/>
      </c>
      <c r="H3680" s="73"/>
      <c r="I3680" s="74"/>
      <c r="J3680" s="155">
        <v>0</v>
      </c>
    </row>
    <row r="3681" spans="1:10" ht="26.25" hidden="1" thickBot="1" x14ac:dyDescent="0.3">
      <c r="A3681" s="181"/>
      <c r="B3681" s="202"/>
      <c r="C3681" s="48" t="s">
        <v>1157</v>
      </c>
      <c r="D3681" s="36"/>
      <c r="E3681" s="37"/>
      <c r="F3681" s="54" t="s">
        <v>558</v>
      </c>
      <c r="G3681" s="54" t="str">
        <f>IF(ISNUMBER(F3681),E3681*F3681,"")</f>
        <v/>
      </c>
      <c r="H3681" s="73"/>
      <c r="I3681" s="74"/>
      <c r="J3681" s="155">
        <v>0</v>
      </c>
    </row>
    <row r="3682" spans="1:10" ht="15.75" hidden="1" thickBot="1" x14ac:dyDescent="0.3">
      <c r="A3682" s="181"/>
      <c r="B3682" s="202"/>
      <c r="C3682" s="48" t="s">
        <v>1158</v>
      </c>
      <c r="D3682" s="36"/>
      <c r="E3682" s="37"/>
      <c r="F3682" s="54" t="s">
        <v>558</v>
      </c>
      <c r="G3682" s="54" t="str">
        <f>IF(ISNUMBER(F3682),E3682*F3682,"")</f>
        <v/>
      </c>
      <c r="H3682" s="73"/>
      <c r="I3682" s="74"/>
      <c r="J3682" s="155">
        <v>0</v>
      </c>
    </row>
    <row r="3683" spans="1:10" ht="15.75" hidden="1" thickBot="1" x14ac:dyDescent="0.3">
      <c r="A3683" s="182"/>
      <c r="B3683" s="188"/>
      <c r="C3683" s="36"/>
      <c r="D3683" s="36"/>
      <c r="E3683" s="37"/>
      <c r="F3683" s="54" t="s">
        <v>558</v>
      </c>
      <c r="G3683" s="54" t="str">
        <f>IF(ISNUMBER(F3683),E3683*F3683,"")</f>
        <v/>
      </c>
      <c r="H3683" s="73"/>
      <c r="I3683" s="74"/>
      <c r="J3683" s="155">
        <v>0</v>
      </c>
    </row>
    <row r="3684" spans="1:10" ht="15.75" hidden="1" thickBot="1" x14ac:dyDescent="0.3">
      <c r="A3684" s="180" t="s">
        <v>1159</v>
      </c>
      <c r="B3684" s="186" t="str">
        <f>INDEX(Orçamentária!A:B,MATCH(Composições!A3684,Orçamentária!A:A,0),2)</f>
        <v>Piso vinílico semiflexível</v>
      </c>
      <c r="C3684" s="41"/>
      <c r="D3684" s="26" t="str">
        <f>TRIM(INDEX(Orçamentária!C:C,MATCH(Composições!A3684,Orçamentária!A:A,0),1))</f>
        <v>m2</v>
      </c>
      <c r="E3684" s="27"/>
      <c r="F3684" s="49" t="s">
        <v>558</v>
      </c>
      <c r="G3684" s="28" t="str">
        <f>IF(ISNUMBER(F3684),E3684*F3684,"")</f>
        <v/>
      </c>
      <c r="H3684" s="29"/>
      <c r="I3684" s="30"/>
      <c r="J3684" s="155">
        <v>0</v>
      </c>
    </row>
    <row r="3685" spans="1:10" ht="15.75" hidden="1" thickBot="1" x14ac:dyDescent="0.3">
      <c r="A3685" s="200"/>
      <c r="B3685" s="202"/>
      <c r="C3685" s="32"/>
      <c r="D3685" s="32"/>
      <c r="E3685" s="33"/>
      <c r="F3685" s="54" t="s">
        <v>558</v>
      </c>
      <c r="G3685" s="54" t="str">
        <f>IF(ISNUMBER(F3685),E3685*F3685,"")</f>
        <v/>
      </c>
      <c r="H3685" s="73"/>
      <c r="I3685" s="74"/>
      <c r="J3685" s="155">
        <v>0</v>
      </c>
    </row>
    <row r="3686" spans="1:10" ht="15.75" hidden="1" thickBot="1" x14ac:dyDescent="0.3">
      <c r="A3686" s="200"/>
      <c r="B3686" s="202"/>
      <c r="C3686" s="36" t="s">
        <v>298</v>
      </c>
      <c r="D3686" s="36" t="s">
        <v>938</v>
      </c>
      <c r="E3686" s="37">
        <v>9.5000000000000001E-2</v>
      </c>
      <c r="F3686" s="54">
        <v>25.478999999999999</v>
      </c>
      <c r="G3686" s="54">
        <f>IF(ISNUMBER(F3686),E3686*F3686,"")</f>
        <v>2.4205049999999999</v>
      </c>
      <c r="H3686" s="39">
        <f>SUM(G3686:G3691)</f>
        <v>124.56808500000002</v>
      </c>
      <c r="I3686" s="40"/>
      <c r="J3686" s="155">
        <v>0</v>
      </c>
    </row>
    <row r="3687" spans="1:10" ht="26.25" hidden="1" thickBot="1" x14ac:dyDescent="0.3">
      <c r="A3687" s="200"/>
      <c r="B3687" s="202"/>
      <c r="C3687" s="36" t="s">
        <v>1160</v>
      </c>
      <c r="D3687" s="36" t="s">
        <v>1034</v>
      </c>
      <c r="E3687" s="37">
        <v>1.1100000000000001</v>
      </c>
      <c r="F3687" s="54">
        <v>102.6</v>
      </c>
      <c r="G3687" s="54">
        <f>IF(ISNUMBER(F3687),E3687*F3687,"")</f>
        <v>113.88600000000001</v>
      </c>
      <c r="H3687" s="73"/>
      <c r="I3687" s="74"/>
      <c r="J3687" s="155">
        <v>0</v>
      </c>
    </row>
    <row r="3688" spans="1:10" ht="15.75" hidden="1" thickBot="1" x14ac:dyDescent="0.3">
      <c r="A3688" s="200"/>
      <c r="B3688" s="202"/>
      <c r="C3688" s="36" t="s">
        <v>750</v>
      </c>
      <c r="D3688" s="36" t="s">
        <v>742</v>
      </c>
      <c r="E3688" s="37">
        <v>0.26100000000000001</v>
      </c>
      <c r="F3688" s="54">
        <v>22.704999999999998</v>
      </c>
      <c r="G3688" s="54">
        <f>IF(ISNUMBER(F3688),E3688*F3688,"")</f>
        <v>5.926005</v>
      </c>
      <c r="H3688" s="73"/>
      <c r="I3688" s="74"/>
      <c r="J3688" s="155">
        <v>0</v>
      </c>
    </row>
    <row r="3689" spans="1:10" ht="15.75" hidden="1" thickBot="1" x14ac:dyDescent="0.3">
      <c r="A3689" s="200"/>
      <c r="B3689" s="202"/>
      <c r="C3689" s="36" t="s">
        <v>743</v>
      </c>
      <c r="D3689" s="36" t="s">
        <v>742</v>
      </c>
      <c r="E3689" s="37">
        <v>0.13</v>
      </c>
      <c r="F3689" s="54">
        <v>16.729499999999998</v>
      </c>
      <c r="G3689" s="54">
        <f>IF(ISNUMBER(F3689),E3689*F3689,"")</f>
        <v>2.1748349999999999</v>
      </c>
      <c r="H3689" s="73"/>
      <c r="I3689" s="74"/>
      <c r="J3689" s="155">
        <v>0</v>
      </c>
    </row>
    <row r="3690" spans="1:10" ht="26.25" hidden="1" thickBot="1" x14ac:dyDescent="0.3">
      <c r="A3690" s="200"/>
      <c r="B3690" s="202"/>
      <c r="C3690" s="36" t="s">
        <v>1161</v>
      </c>
      <c r="D3690" s="36" t="s">
        <v>982</v>
      </c>
      <c r="E3690" s="37">
        <v>2.5000000000000001E-2</v>
      </c>
      <c r="F3690" s="54">
        <v>2.3939999999999997</v>
      </c>
      <c r="G3690" s="54">
        <f>IF(ISNUMBER(F3690),E3690*F3690,"")</f>
        <v>5.9849999999999993E-2</v>
      </c>
      <c r="H3690" s="73"/>
      <c r="I3690" s="74"/>
      <c r="J3690" s="155">
        <v>0</v>
      </c>
    </row>
    <row r="3691" spans="1:10" ht="26.25" hidden="1" thickBot="1" x14ac:dyDescent="0.3">
      <c r="A3691" s="200"/>
      <c r="B3691" s="202"/>
      <c r="C3691" s="36" t="s">
        <v>1162</v>
      </c>
      <c r="D3691" s="36" t="s">
        <v>984</v>
      </c>
      <c r="E3691" s="37">
        <v>0.23599999999999999</v>
      </c>
      <c r="F3691" s="54">
        <v>0.42749999999999999</v>
      </c>
      <c r="G3691" s="54">
        <f>IF(ISNUMBER(F3691),E3691*F3691,"")</f>
        <v>0.10088999999999999</v>
      </c>
      <c r="H3691" s="73"/>
      <c r="I3691" s="74"/>
      <c r="J3691" s="155">
        <v>0</v>
      </c>
    </row>
    <row r="3692" spans="1:10" ht="15.75" hidden="1" thickBot="1" x14ac:dyDescent="0.3">
      <c r="A3692" s="200"/>
      <c r="B3692" s="202"/>
      <c r="C3692" s="36"/>
      <c r="D3692" s="36"/>
      <c r="E3692" s="37"/>
      <c r="F3692" s="54" t="s">
        <v>558</v>
      </c>
      <c r="G3692" s="54" t="str">
        <f>IF(ISNUMBER(F3692),E3692*F3692,"")</f>
        <v/>
      </c>
      <c r="H3692" s="73"/>
      <c r="I3692" s="74"/>
      <c r="J3692" s="155">
        <v>0</v>
      </c>
    </row>
    <row r="3693" spans="1:10" ht="15.75" hidden="1" thickBot="1" x14ac:dyDescent="0.3">
      <c r="A3693" s="180" t="s">
        <v>1163</v>
      </c>
      <c r="B3693" s="186" t="str">
        <f>INDEX(Orçamentária!A:B,MATCH(Composições!A3693,Orçamentária!A:A,0),2)</f>
        <v>Locação de Container - Sanitário</v>
      </c>
      <c r="C3693" s="41"/>
      <c r="D3693" s="26" t="str">
        <f>TRIM(INDEX(Orçamentária!C:C,MATCH(Composições!A3693,Orçamentária!A:A,0),1))</f>
        <v>mês</v>
      </c>
      <c r="E3693" s="27"/>
      <c r="F3693" s="49" t="s">
        <v>558</v>
      </c>
      <c r="G3693" s="28" t="str">
        <f>IF(ISNUMBER(F3693),E3693*F3693,"")</f>
        <v/>
      </c>
      <c r="H3693" s="29"/>
      <c r="I3693" s="30"/>
      <c r="J3693" s="155">
        <v>0</v>
      </c>
    </row>
    <row r="3694" spans="1:10" ht="15.75" hidden="1" thickBot="1" x14ac:dyDescent="0.3">
      <c r="A3694" s="181"/>
      <c r="B3694" s="202"/>
      <c r="C3694" s="32"/>
      <c r="D3694" s="32"/>
      <c r="E3694" s="33"/>
      <c r="F3694" s="54" t="s">
        <v>558</v>
      </c>
      <c r="G3694" s="54" t="str">
        <f>IF(ISNUMBER(F3694),E3694*F3694,"")</f>
        <v/>
      </c>
      <c r="H3694" s="73"/>
      <c r="I3694" s="74"/>
      <c r="J3694" s="155">
        <v>0</v>
      </c>
    </row>
    <row r="3695" spans="1:10" ht="39" hidden="1" thickBot="1" x14ac:dyDescent="0.3">
      <c r="A3695" s="181"/>
      <c r="B3695" s="202"/>
      <c r="C3695" s="36" t="s">
        <v>1164</v>
      </c>
      <c r="D3695" s="50" t="s">
        <v>129</v>
      </c>
      <c r="E3695" s="37">
        <v>1</v>
      </c>
      <c r="F3695" s="54">
        <v>694.6875</v>
      </c>
      <c r="G3695" s="54">
        <f>IF(ISNUMBER(F3695),E3695*F3695,"")</f>
        <v>694.6875</v>
      </c>
      <c r="H3695" s="39">
        <f>SUM(G3695:G3695)</f>
        <v>694.6875</v>
      </c>
      <c r="I3695" s="40"/>
      <c r="J3695" s="155">
        <v>0</v>
      </c>
    </row>
    <row r="3696" spans="1:10" ht="15.75" hidden="1" thickBot="1" x14ac:dyDescent="0.3">
      <c r="A3696" s="182"/>
      <c r="B3696" s="188"/>
      <c r="C3696" s="36"/>
      <c r="D3696" s="36"/>
      <c r="E3696" s="37"/>
      <c r="F3696" s="54" t="s">
        <v>558</v>
      </c>
      <c r="G3696" s="54" t="str">
        <f>IF(ISNUMBER(F3696),E3696*F3696,"")</f>
        <v/>
      </c>
      <c r="H3696" s="73"/>
      <c r="I3696" s="74"/>
      <c r="J3696" s="155">
        <v>0</v>
      </c>
    </row>
    <row r="3697" spans="1:10" ht="15.75" hidden="1" thickBot="1" x14ac:dyDescent="0.3">
      <c r="A3697" s="180" t="s">
        <v>1165</v>
      </c>
      <c r="B3697" s="186" t="str">
        <f>INDEX(Orçamentária!A:B,MATCH(Composições!A3697,Orçamentária!A:A,0),2)</f>
        <v>Locação de Container - Almoxarifado</v>
      </c>
      <c r="C3697" s="41"/>
      <c r="D3697" s="26" t="str">
        <f>TRIM(INDEX(Orçamentária!C:C,MATCH(Composições!A3697,Orçamentária!A:A,0),1))</f>
        <v>mês</v>
      </c>
      <c r="E3697" s="27"/>
      <c r="F3697" s="49" t="s">
        <v>558</v>
      </c>
      <c r="G3697" s="28" t="str">
        <f>IF(ISNUMBER(F3697),E3697*F3697,"")</f>
        <v/>
      </c>
      <c r="H3697" s="29"/>
      <c r="I3697" s="30"/>
      <c r="J3697" s="155">
        <v>0</v>
      </c>
    </row>
    <row r="3698" spans="1:10" ht="15.75" hidden="1" thickBot="1" x14ac:dyDescent="0.3">
      <c r="A3698" s="181"/>
      <c r="B3698" s="202"/>
      <c r="C3698" s="32"/>
      <c r="D3698" s="32"/>
      <c r="E3698" s="33"/>
      <c r="F3698" s="54" t="s">
        <v>558</v>
      </c>
      <c r="G3698" s="54" t="str">
        <f>IF(ISNUMBER(F3698),E3698*F3698,"")</f>
        <v/>
      </c>
      <c r="H3698" s="73"/>
      <c r="I3698" s="74"/>
      <c r="J3698" s="155">
        <v>0</v>
      </c>
    </row>
    <row r="3699" spans="1:10" ht="26.25" hidden="1" thickBot="1" x14ac:dyDescent="0.3">
      <c r="A3699" s="181"/>
      <c r="B3699" s="202"/>
      <c r="C3699" s="36" t="s">
        <v>1166</v>
      </c>
      <c r="D3699" s="50" t="s">
        <v>129</v>
      </c>
      <c r="E3699" s="37">
        <v>1</v>
      </c>
      <c r="F3699" s="54">
        <v>434.17849999999993</v>
      </c>
      <c r="G3699" s="54">
        <f>IF(ISNUMBER(F3699),E3699*F3699,"")</f>
        <v>434.17849999999993</v>
      </c>
      <c r="H3699" s="39">
        <f>SUM(G3699:G3699)</f>
        <v>434.17849999999993</v>
      </c>
      <c r="I3699" s="40"/>
      <c r="J3699" s="155">
        <v>0</v>
      </c>
    </row>
    <row r="3700" spans="1:10" ht="15.75" hidden="1" thickBot="1" x14ac:dyDescent="0.3">
      <c r="A3700" s="182"/>
      <c r="B3700" s="188"/>
      <c r="C3700" s="36"/>
      <c r="D3700" s="36"/>
      <c r="E3700" s="37"/>
      <c r="F3700" s="54" t="s">
        <v>558</v>
      </c>
      <c r="G3700" s="54" t="str">
        <f>IF(ISNUMBER(F3700),E3700*F3700,"")</f>
        <v/>
      </c>
      <c r="H3700" s="73"/>
      <c r="I3700" s="74"/>
      <c r="J3700" s="155">
        <v>0</v>
      </c>
    </row>
    <row r="3701" spans="1:10" ht="15.75" hidden="1" thickBot="1" x14ac:dyDescent="0.3">
      <c r="A3701" s="180" t="s">
        <v>1167</v>
      </c>
      <c r="B3701" s="186" t="str">
        <f>INDEX(Orçamentária!A:B,MATCH(Composições!A3701,Orçamentária!A:A,0),2)</f>
        <v>Placa de Obra</v>
      </c>
      <c r="C3701" s="41"/>
      <c r="D3701" s="26" t="str">
        <f>TRIM(INDEX(Orçamentária!C:C,MATCH(Composições!A3701,Orçamentária!A:A,0),1))</f>
        <v>m2</v>
      </c>
      <c r="E3701" s="27"/>
      <c r="F3701" s="49" t="s">
        <v>558</v>
      </c>
      <c r="G3701" s="28" t="str">
        <f>IF(ISNUMBER(F3701),E3701*F3701,"")</f>
        <v/>
      </c>
      <c r="H3701" s="29"/>
      <c r="I3701" s="30"/>
      <c r="J3701" s="155">
        <v>0</v>
      </c>
    </row>
    <row r="3702" spans="1:10" ht="15.75" hidden="1" thickBot="1" x14ac:dyDescent="0.3">
      <c r="A3702" s="200"/>
      <c r="B3702" s="202"/>
      <c r="C3702" s="32"/>
      <c r="D3702" s="32"/>
      <c r="E3702" s="33"/>
      <c r="F3702" s="54" t="s">
        <v>558</v>
      </c>
      <c r="G3702" s="54" t="str">
        <f>IF(ISNUMBER(F3702),E3702*F3702,"")</f>
        <v/>
      </c>
      <c r="H3702" s="73"/>
      <c r="I3702" s="74"/>
      <c r="J3702" s="155">
        <v>0</v>
      </c>
    </row>
    <row r="3703" spans="1:10" ht="26.25" hidden="1" thickBot="1" x14ac:dyDescent="0.3">
      <c r="A3703" s="200"/>
      <c r="B3703" s="202"/>
      <c r="C3703" s="36" t="s">
        <v>1168</v>
      </c>
      <c r="D3703" s="36" t="s">
        <v>1034</v>
      </c>
      <c r="E3703" s="37">
        <v>1</v>
      </c>
      <c r="F3703" s="54">
        <v>213.75</v>
      </c>
      <c r="G3703" s="54">
        <f>IF(ISNUMBER(F3703),E3703*F3703,"")</f>
        <v>213.75</v>
      </c>
      <c r="H3703" s="39">
        <f>SUM(G3703:G3704)</f>
        <v>213.75</v>
      </c>
      <c r="I3703" s="40"/>
      <c r="J3703" s="155">
        <v>0</v>
      </c>
    </row>
    <row r="3704" spans="1:10" ht="15.75" hidden="1" thickBot="1" x14ac:dyDescent="0.3">
      <c r="A3704" s="201"/>
      <c r="B3704" s="188"/>
      <c r="C3704" s="55"/>
      <c r="D3704" s="55"/>
      <c r="E3704" s="66"/>
      <c r="F3704" s="76" t="s">
        <v>558</v>
      </c>
      <c r="G3704" s="76" t="str">
        <f>IF(ISNUMBER(F3704),E3704*F3704,"")</f>
        <v/>
      </c>
      <c r="H3704" s="77"/>
      <c r="I3704" s="74"/>
      <c r="J3704" s="155">
        <v>0</v>
      </c>
    </row>
    <row r="3705" spans="1:10" ht="15.75" hidden="1" thickBot="1" x14ac:dyDescent="0.3">
      <c r="A3705" s="180" t="s">
        <v>1169</v>
      </c>
      <c r="B3705" s="186" t="str">
        <f>INDEX(Orçamentária!A:B,MATCH(Composições!A3705,Orçamentária!A:A,0),2)</f>
        <v>Supervisor de Obras e Manutenção – Apoio de campo – Segurança do Trabalho</v>
      </c>
      <c r="C3705" s="41"/>
      <c r="D3705" s="26" t="str">
        <f>TRIM(INDEX(Orçamentária!C:C,MATCH(Composições!A3705,Orçamentária!A:A,0),1))</f>
        <v>Profissional</v>
      </c>
      <c r="E3705" s="27"/>
      <c r="F3705" s="49" t="s">
        <v>558</v>
      </c>
      <c r="G3705" s="28" t="str">
        <f>IF(ISNUMBER(F3705),E3705*F3705,"")</f>
        <v/>
      </c>
      <c r="H3705" s="29"/>
      <c r="I3705" s="30"/>
      <c r="J3705" s="155">
        <v>0</v>
      </c>
    </row>
    <row r="3706" spans="1:10" ht="15.75" hidden="1" thickBot="1" x14ac:dyDescent="0.3">
      <c r="A3706" s="200"/>
      <c r="B3706" s="202"/>
      <c r="C3706" s="32"/>
      <c r="D3706" s="32"/>
      <c r="E3706" s="33"/>
      <c r="F3706" s="54" t="s">
        <v>558</v>
      </c>
      <c r="G3706" s="54" t="str">
        <f>IF(ISNUMBER(F3706),E3706*F3706,"")</f>
        <v/>
      </c>
      <c r="H3706" s="73"/>
      <c r="I3706" s="74"/>
      <c r="J3706" s="155">
        <v>0</v>
      </c>
    </row>
    <row r="3707" spans="1:10" ht="26.25" hidden="1" thickBot="1" x14ac:dyDescent="0.3">
      <c r="A3707" s="200"/>
      <c r="B3707" s="202"/>
      <c r="C3707" s="36" t="s">
        <v>1170</v>
      </c>
      <c r="D3707" s="36" t="s">
        <v>129</v>
      </c>
      <c r="E3707" s="37">
        <f>ROUND(1/(1+72.54%),4)</f>
        <v>0.5796</v>
      </c>
      <c r="F3707" s="54">
        <v>6730.4934999999996</v>
      </c>
      <c r="G3707" s="54">
        <f>IF(ISNUMBER(F3707),E3707*F3707,"")</f>
        <v>3900.9940325999996</v>
      </c>
      <c r="H3707" s="39">
        <f>SUM(G3707:G3710)</f>
        <v>3900.9940325999996</v>
      </c>
      <c r="I3707" s="40"/>
      <c r="J3707" s="155">
        <v>0</v>
      </c>
    </row>
    <row r="3708" spans="1:10" ht="15.75" hidden="1" thickBot="1" x14ac:dyDescent="0.3">
      <c r="A3708" s="200"/>
      <c r="B3708" s="202"/>
      <c r="C3708" s="36"/>
      <c r="D3708" s="36"/>
      <c r="E3708" s="37"/>
      <c r="F3708" s="54" t="s">
        <v>558</v>
      </c>
      <c r="G3708" s="54" t="str">
        <f>IF(ISNUMBER(F3708),E3708*F3708,"")</f>
        <v/>
      </c>
      <c r="H3708" s="73"/>
      <c r="I3708" s="74"/>
      <c r="J3708" s="155">
        <v>0</v>
      </c>
    </row>
    <row r="3709" spans="1:10" ht="26.25" hidden="1" thickBot="1" x14ac:dyDescent="0.3">
      <c r="A3709" s="200"/>
      <c r="B3709" s="202"/>
      <c r="C3709" s="48" t="s">
        <v>820</v>
      </c>
      <c r="D3709" s="36"/>
      <c r="E3709" s="37"/>
      <c r="F3709" s="54" t="s">
        <v>558</v>
      </c>
      <c r="G3709" s="54" t="str">
        <f>IF(ISNUMBER(F3709),E3709*F3709,"")</f>
        <v/>
      </c>
      <c r="H3709" s="73"/>
      <c r="I3709" s="74"/>
      <c r="J3709" s="155">
        <v>0</v>
      </c>
    </row>
    <row r="3710" spans="1:10" ht="15.75" hidden="1" thickBot="1" x14ac:dyDescent="0.3">
      <c r="A3710" s="201"/>
      <c r="B3710" s="188"/>
      <c r="C3710" s="55"/>
      <c r="D3710" s="55"/>
      <c r="E3710" s="66"/>
      <c r="F3710" s="76" t="s">
        <v>558</v>
      </c>
      <c r="G3710" s="76" t="str">
        <f>IF(ISNUMBER(F3710),E3710*F3710,"")</f>
        <v/>
      </c>
      <c r="H3710" s="77"/>
      <c r="I3710" s="74"/>
      <c r="J3710" s="155">
        <v>0</v>
      </c>
    </row>
    <row r="3711" spans="1:10" ht="15.75" hidden="1" thickBot="1" x14ac:dyDescent="0.3">
      <c r="A3711" s="180" t="s">
        <v>1171</v>
      </c>
      <c r="B3711" s="186" t="str">
        <f>INDEX(Orçamentária!A:B,MATCH(Composições!A3711,Orçamentária!A:A,0),2)</f>
        <v xml:space="preserve">Reparo de placas de mármore com adesivo estrutural epóxi branco/transparente </v>
      </c>
      <c r="C3711" s="41"/>
      <c r="D3711" s="26" t="str">
        <f>TRIM(INDEX(Orçamentária!C:C,MATCH(Composições!A3711,Orçamentária!A:A,0),1))</f>
        <v>cm3</v>
      </c>
      <c r="E3711" s="27"/>
      <c r="F3711" s="49" t="s">
        <v>558</v>
      </c>
      <c r="G3711" s="28" t="str">
        <f>IF(ISNUMBER(F3711),E3711*F3711,"")</f>
        <v/>
      </c>
      <c r="H3711" s="29"/>
      <c r="I3711" s="30"/>
      <c r="J3711" s="155">
        <v>0</v>
      </c>
    </row>
    <row r="3712" spans="1:10" ht="15.75" hidden="1" thickBot="1" x14ac:dyDescent="0.3">
      <c r="A3712" s="181"/>
      <c r="B3712" s="202"/>
      <c r="C3712" s="32"/>
      <c r="D3712" s="32"/>
      <c r="E3712" s="33"/>
      <c r="F3712" s="54" t="s">
        <v>558</v>
      </c>
      <c r="G3712" s="54" t="str">
        <f>IF(ISNUMBER(F3712),E3712*F3712,"")</f>
        <v/>
      </c>
      <c r="H3712" s="73"/>
      <c r="I3712" s="74"/>
      <c r="J3712" s="155">
        <v>0</v>
      </c>
    </row>
    <row r="3713" spans="1:10" ht="15.75" hidden="1" thickBot="1" x14ac:dyDescent="0.3">
      <c r="A3713" s="181"/>
      <c r="B3713" s="202"/>
      <c r="C3713" s="36" t="s">
        <v>54</v>
      </c>
      <c r="D3713" s="36" t="s">
        <v>12</v>
      </c>
      <c r="E3713" s="37">
        <f>0.5/50</f>
        <v>0.01</v>
      </c>
      <c r="F3713" s="54">
        <v>18.9145</v>
      </c>
      <c r="G3713" s="54">
        <f>IF(ISNUMBER(F3713),E3713*F3713,"")</f>
        <v>0.18914500000000001</v>
      </c>
      <c r="H3713" s="39">
        <f>SUM(G3713:G3714)</f>
        <v>0.18914500000000001</v>
      </c>
      <c r="I3713" s="40"/>
      <c r="J3713" s="155">
        <v>0</v>
      </c>
    </row>
    <row r="3714" spans="1:10" ht="15.75" hidden="1" thickBot="1" x14ac:dyDescent="0.3">
      <c r="A3714" s="181"/>
      <c r="B3714" s="202"/>
      <c r="C3714" s="36" t="s">
        <v>1172</v>
      </c>
      <c r="D3714" s="36" t="s">
        <v>147</v>
      </c>
      <c r="E3714" s="37">
        <f>1/50</f>
        <v>0.02</v>
      </c>
      <c r="F3714" s="54" t="s">
        <v>558</v>
      </c>
      <c r="G3714" s="54" t="str">
        <f>IF(ISNUMBER(F3714),E3714*F3714,"")</f>
        <v/>
      </c>
      <c r="H3714" s="73"/>
      <c r="I3714" s="74"/>
      <c r="J3714" s="155">
        <v>0</v>
      </c>
    </row>
    <row r="3715" spans="1:10" ht="15.75" hidden="1" thickBot="1" x14ac:dyDescent="0.3">
      <c r="A3715" s="182"/>
      <c r="B3715" s="188"/>
      <c r="C3715" s="36"/>
      <c r="D3715" s="36"/>
      <c r="E3715" s="37"/>
      <c r="F3715" s="54" t="s">
        <v>558</v>
      </c>
      <c r="G3715" s="54" t="str">
        <f>IF(ISNUMBER(F3715),E3715*F3715,"")</f>
        <v/>
      </c>
      <c r="H3715" s="73"/>
      <c r="I3715" s="74"/>
      <c r="J3715" s="155">
        <v>0</v>
      </c>
    </row>
    <row r="3716" spans="1:10" ht="15.75" hidden="1" thickBot="1" x14ac:dyDescent="0.3">
      <c r="A3716" s="180" t="s">
        <v>1173</v>
      </c>
      <c r="B3716" s="186" t="str">
        <f>INDEX(Orçamentária!A:B,MATCH(Composições!A3716,Orçamentária!A:A,0),2)</f>
        <v>Perfil de chapa de aço galvanizado para esquadria (Anexo 1)</v>
      </c>
      <c r="C3716" s="41"/>
      <c r="D3716" s="26" t="str">
        <f>TRIM(INDEX(Orçamentária!C:C,MATCH(Composições!A3716,Orçamentária!A:A,0),1))</f>
        <v>m</v>
      </c>
      <c r="E3716" s="27"/>
      <c r="F3716" s="49" t="s">
        <v>558</v>
      </c>
      <c r="G3716" s="28" t="str">
        <f>IF(ISNUMBER(F3716),E3716*F3716,"")</f>
        <v/>
      </c>
      <c r="H3716" s="29"/>
      <c r="I3716" s="30"/>
      <c r="J3716" s="155">
        <v>0</v>
      </c>
    </row>
    <row r="3717" spans="1:10" ht="15.75" hidden="1" thickBot="1" x14ac:dyDescent="0.3">
      <c r="A3717" s="181"/>
      <c r="B3717" s="202"/>
      <c r="C3717" s="32"/>
      <c r="D3717" s="32"/>
      <c r="E3717" s="33"/>
      <c r="F3717" s="54" t="s">
        <v>558</v>
      </c>
      <c r="G3717" s="54" t="str">
        <f>IF(ISNUMBER(F3717),E3717*F3717,"")</f>
        <v/>
      </c>
      <c r="H3717" s="73"/>
      <c r="I3717" s="74"/>
      <c r="J3717" s="155">
        <v>0</v>
      </c>
    </row>
    <row r="3718" spans="1:10" ht="15.75" hidden="1" thickBot="1" x14ac:dyDescent="0.3">
      <c r="A3718" s="181"/>
      <c r="B3718" s="202"/>
      <c r="C3718" s="36" t="s">
        <v>22</v>
      </c>
      <c r="D3718" s="36" t="s">
        <v>12</v>
      </c>
      <c r="E3718" s="37">
        <v>0.5</v>
      </c>
      <c r="F3718" s="54">
        <v>22.704999999999998</v>
      </c>
      <c r="G3718" s="54">
        <f>IF(ISNUMBER(F3718),E3718*F3718,"")</f>
        <v>11.352499999999999</v>
      </c>
      <c r="H3718" s="39">
        <f>SUM(G3718:G3723)</f>
        <v>31.385361043721694</v>
      </c>
      <c r="I3718" s="40"/>
      <c r="J3718" s="155">
        <v>0</v>
      </c>
    </row>
    <row r="3719" spans="1:10" ht="15.75" hidden="1" thickBot="1" x14ac:dyDescent="0.3">
      <c r="A3719" s="181"/>
      <c r="B3719" s="202"/>
      <c r="C3719" s="36" t="s">
        <v>23</v>
      </c>
      <c r="D3719" s="36" t="s">
        <v>12</v>
      </c>
      <c r="E3719" s="37">
        <v>0.51</v>
      </c>
      <c r="F3719" s="54">
        <v>16.729499999999998</v>
      </c>
      <c r="G3719" s="54">
        <f>IF(ISNUMBER(F3719),E3719*F3719,"")</f>
        <v>8.5320449999999983</v>
      </c>
      <c r="H3719" s="73"/>
      <c r="I3719" s="74"/>
      <c r="J3719" s="155">
        <v>0</v>
      </c>
    </row>
    <row r="3720" spans="1:10" ht="39" hidden="1" thickBot="1" x14ac:dyDescent="0.3">
      <c r="A3720" s="181"/>
      <c r="B3720" s="202"/>
      <c r="C3720" s="36" t="s">
        <v>182</v>
      </c>
      <c r="D3720" s="47" t="s">
        <v>110</v>
      </c>
      <c r="E3720" s="37">
        <v>3.0999999999999999E-3</v>
      </c>
      <c r="F3720" s="54">
        <v>573.88462700699995</v>
      </c>
      <c r="G3720" s="54">
        <f>IF(ISNUMBER(F3720),E3720*F3720,"")</f>
        <v>1.7790423437216998</v>
      </c>
      <c r="H3720" s="73"/>
      <c r="I3720" s="74"/>
      <c r="J3720" s="155">
        <v>0</v>
      </c>
    </row>
    <row r="3721" spans="1:10" ht="15.75" hidden="1" thickBot="1" x14ac:dyDescent="0.3">
      <c r="A3721" s="181"/>
      <c r="B3721" s="202"/>
      <c r="C3721" s="36" t="s">
        <v>1174</v>
      </c>
      <c r="D3721" s="47" t="s">
        <v>93</v>
      </c>
      <c r="E3721" s="37">
        <v>1</v>
      </c>
      <c r="F3721" s="54" t="s">
        <v>558</v>
      </c>
      <c r="G3721" s="54" t="str">
        <f>IF(ISNUMBER(F3721),E3721*F3721,"")</f>
        <v/>
      </c>
      <c r="H3721" s="73"/>
      <c r="I3721" s="74"/>
      <c r="J3721" s="155">
        <v>0</v>
      </c>
    </row>
    <row r="3722" spans="1:10" ht="15.75" hidden="1" thickBot="1" x14ac:dyDescent="0.3">
      <c r="A3722" s="181"/>
      <c r="B3722" s="202"/>
      <c r="C3722" s="36" t="s">
        <v>23</v>
      </c>
      <c r="D3722" s="36" t="s">
        <v>12</v>
      </c>
      <c r="E3722" s="37">
        <v>0.15</v>
      </c>
      <c r="F3722" s="54">
        <v>16.729499999999998</v>
      </c>
      <c r="G3722" s="54">
        <f>IF(ISNUMBER(F3722),E3722*F3722,"")</f>
        <v>2.5094249999999998</v>
      </c>
      <c r="H3722" s="73"/>
      <c r="I3722" s="74"/>
      <c r="J3722" s="155">
        <v>0</v>
      </c>
    </row>
    <row r="3723" spans="1:10" ht="15.75" hidden="1" thickBot="1" x14ac:dyDescent="0.3">
      <c r="A3723" s="181"/>
      <c r="B3723" s="202"/>
      <c r="C3723" s="36" t="s">
        <v>1175</v>
      </c>
      <c r="D3723" s="36" t="s">
        <v>292</v>
      </c>
      <c r="E3723" s="37">
        <f>ROUND(0.1/0.28,4)</f>
        <v>0.35709999999999997</v>
      </c>
      <c r="F3723" s="54">
        <v>20.196999999999999</v>
      </c>
      <c r="G3723" s="54">
        <f>IF(ISNUMBER(F3723),E3723*F3723,"")</f>
        <v>7.2123486999999988</v>
      </c>
      <c r="H3723" s="73"/>
      <c r="I3723" s="74"/>
      <c r="J3723" s="155">
        <v>0</v>
      </c>
    </row>
    <row r="3724" spans="1:10" ht="15.75" hidden="1" thickBot="1" x14ac:dyDescent="0.3">
      <c r="A3724" s="181"/>
      <c r="B3724" s="202"/>
      <c r="C3724" s="36"/>
      <c r="D3724" s="47"/>
      <c r="E3724" s="37"/>
      <c r="F3724" s="54" t="s">
        <v>558</v>
      </c>
      <c r="G3724" s="54" t="str">
        <f>IF(ISNUMBER(F3724),E3724*F3724,"")</f>
        <v/>
      </c>
      <c r="H3724" s="73"/>
      <c r="I3724" s="74"/>
      <c r="J3724" s="155">
        <v>0</v>
      </c>
    </row>
    <row r="3725" spans="1:10" ht="15.75" hidden="1" thickBot="1" x14ac:dyDescent="0.3">
      <c r="A3725" s="181"/>
      <c r="B3725" s="202"/>
      <c r="C3725" s="152" t="s">
        <v>1176</v>
      </c>
      <c r="D3725" s="47"/>
      <c r="E3725" s="37"/>
      <c r="F3725" s="54" t="s">
        <v>558</v>
      </c>
      <c r="G3725" s="54" t="str">
        <f>IF(ISNUMBER(F3725),E3725*F3725,"")</f>
        <v/>
      </c>
      <c r="H3725" s="73"/>
      <c r="I3725" s="74"/>
      <c r="J3725" s="155">
        <v>0</v>
      </c>
    </row>
    <row r="3726" spans="1:10" ht="15.75" hidden="1" thickBot="1" x14ac:dyDescent="0.3">
      <c r="A3726" s="181"/>
      <c r="B3726" s="202"/>
      <c r="C3726" s="55"/>
      <c r="D3726" s="55"/>
      <c r="E3726" s="66"/>
      <c r="F3726" s="76" t="s">
        <v>558</v>
      </c>
      <c r="G3726" s="76" t="str">
        <f>IF(ISNUMBER(F3726),E3726*F3726,"")</f>
        <v/>
      </c>
      <c r="H3726" s="77"/>
      <c r="I3726" s="74"/>
      <c r="J3726" s="155">
        <v>0</v>
      </c>
    </row>
    <row r="3727" spans="1:10" ht="15.75" hidden="1" thickBot="1" x14ac:dyDescent="0.3">
      <c r="A3727" s="180" t="s">
        <v>1177</v>
      </c>
      <c r="B3727" s="186" t="str">
        <f>INDEX(Orçamentária!A:B,MATCH(Composições!A3727,Orçamentária!A:A,0),2)</f>
        <v>Granito Vermelho Brasília 20 mm para bancadas</v>
      </c>
      <c r="C3727" s="41"/>
      <c r="D3727" s="26" t="str">
        <f>TRIM(INDEX(Orçamentária!C:C,MATCH(Composições!A3727,Orçamentária!A:A,0),1))</f>
        <v>m2</v>
      </c>
      <c r="E3727" s="27"/>
      <c r="F3727" s="49" t="s">
        <v>558</v>
      </c>
      <c r="G3727" s="28" t="str">
        <f>IF(ISNUMBER(F3727),E3727*F3727,"")</f>
        <v/>
      </c>
      <c r="H3727" s="29"/>
      <c r="I3727" s="30"/>
      <c r="J3727" s="155">
        <v>0</v>
      </c>
    </row>
    <row r="3728" spans="1:10" ht="15.75" hidden="1" thickBot="1" x14ac:dyDescent="0.3">
      <c r="A3728" s="181"/>
      <c r="B3728" s="202"/>
      <c r="C3728" s="32"/>
      <c r="D3728" s="32"/>
      <c r="E3728" s="33"/>
      <c r="F3728" s="54" t="s">
        <v>558</v>
      </c>
      <c r="G3728" s="54" t="str">
        <f>IF(ISNUMBER(F3728),E3728*F3728,"")</f>
        <v/>
      </c>
      <c r="H3728" s="73"/>
      <c r="I3728" s="74"/>
      <c r="J3728" s="155">
        <v>0</v>
      </c>
    </row>
    <row r="3729" spans="1:10" ht="15.75" hidden="1" thickBot="1" x14ac:dyDescent="0.3">
      <c r="A3729" s="181"/>
      <c r="B3729" s="202"/>
      <c r="C3729" s="36" t="s">
        <v>3428</v>
      </c>
      <c r="D3729" s="36" t="s">
        <v>938</v>
      </c>
      <c r="E3729" s="37">
        <f>ROUND(0.5228/(1.5*0.6),4)</f>
        <v>0.58089999999999997</v>
      </c>
      <c r="F3729" s="54">
        <v>24.671499999999998</v>
      </c>
      <c r="G3729" s="54">
        <f>IF(ISNUMBER(F3729),E3729*F3729,"")</f>
        <v>14.331674349999998</v>
      </c>
      <c r="H3729" s="39">
        <f>SUM(G3729:G3735)</f>
        <v>122.71869719999999</v>
      </c>
      <c r="I3729" s="40"/>
      <c r="J3729" s="155">
        <v>0</v>
      </c>
    </row>
    <row r="3730" spans="1:10" ht="39" hidden="1" thickBot="1" x14ac:dyDescent="0.3">
      <c r="A3730" s="181"/>
      <c r="B3730" s="202"/>
      <c r="C3730" s="36" t="s">
        <v>1180</v>
      </c>
      <c r="D3730" s="36" t="s">
        <v>292</v>
      </c>
      <c r="E3730" s="37">
        <f>ROUND(6/(1.5*0.6),4)</f>
        <v>6.6666999999999996</v>
      </c>
      <c r="F3730" s="54">
        <v>0.93099999999999994</v>
      </c>
      <c r="G3730" s="54">
        <f>IF(ISNUMBER(F3730),E3730*F3730,"")</f>
        <v>6.2066976999999994</v>
      </c>
      <c r="H3730" s="73"/>
      <c r="I3730" s="74"/>
      <c r="J3730" s="155">
        <v>0</v>
      </c>
    </row>
    <row r="3731" spans="1:10" ht="26.25" hidden="1" thickBot="1" x14ac:dyDescent="0.3">
      <c r="A3731" s="181"/>
      <c r="B3731" s="202"/>
      <c r="C3731" s="36" t="s">
        <v>1178</v>
      </c>
      <c r="D3731" s="36" t="s">
        <v>1034</v>
      </c>
      <c r="E3731" s="37">
        <f>ROUND(1.005/(1.5*0.6),4)</f>
        <v>1.1167</v>
      </c>
      <c r="F3731" s="54" t="s">
        <v>558</v>
      </c>
      <c r="G3731" s="54" t="str">
        <f>IF(ISNUMBER(F3731),E3731*F3731,"")</f>
        <v/>
      </c>
      <c r="H3731" s="73"/>
      <c r="I3731" s="74"/>
      <c r="J3731" s="155">
        <v>0</v>
      </c>
    </row>
    <row r="3732" spans="1:10" ht="15.75" hidden="1" thickBot="1" x14ac:dyDescent="0.3">
      <c r="A3732" s="181"/>
      <c r="B3732" s="202"/>
      <c r="C3732" s="36" t="s">
        <v>3609</v>
      </c>
      <c r="D3732" s="36" t="s">
        <v>938</v>
      </c>
      <c r="E3732" s="37">
        <f>ROUND(0.0211/(1.5*0.6),4)</f>
        <v>2.3400000000000001E-2</v>
      </c>
      <c r="F3732" s="54">
        <v>52.8675</v>
      </c>
      <c r="G3732" s="54">
        <f>IF(ISNUMBER(F3732),E3732*F3732,"")</f>
        <v>1.2370995</v>
      </c>
      <c r="H3732" s="73"/>
      <c r="I3732" s="74"/>
      <c r="J3732" s="155">
        <v>0</v>
      </c>
    </row>
    <row r="3733" spans="1:10" ht="26.25" hidden="1" thickBot="1" x14ac:dyDescent="0.3">
      <c r="A3733" s="181"/>
      <c r="B3733" s="202"/>
      <c r="C3733" s="36" t="s">
        <v>3448</v>
      </c>
      <c r="D3733" s="36" t="s">
        <v>292</v>
      </c>
      <c r="E3733" s="37">
        <f>ROUND(2/(1.5*0.6),4)</f>
        <v>2.2222</v>
      </c>
      <c r="F3733" s="54">
        <v>23.065999999999999</v>
      </c>
      <c r="G3733" s="54">
        <f>IF(ISNUMBER(F3733),E3733*F3733,"")</f>
        <v>51.257265199999999</v>
      </c>
      <c r="H3733" s="73"/>
      <c r="I3733" s="74"/>
      <c r="J3733" s="155">
        <v>0</v>
      </c>
    </row>
    <row r="3734" spans="1:10" ht="15.75" hidden="1" thickBot="1" x14ac:dyDescent="0.3">
      <c r="A3734" s="181"/>
      <c r="B3734" s="202"/>
      <c r="C3734" s="36" t="s">
        <v>3311</v>
      </c>
      <c r="D3734" s="36" t="s">
        <v>742</v>
      </c>
      <c r="E3734" s="37">
        <f>ROUND(1.4944/(1.5*0.6),4)</f>
        <v>1.6604000000000001</v>
      </c>
      <c r="F3734" s="54">
        <v>18.9145</v>
      </c>
      <c r="G3734" s="54">
        <f>IF(ISNUMBER(F3734),E3734*F3734,"")</f>
        <v>31.405635800000002</v>
      </c>
      <c r="H3734" s="73"/>
      <c r="I3734" s="74"/>
      <c r="J3734" s="155">
        <v>0</v>
      </c>
    </row>
    <row r="3735" spans="1:10" ht="15.75" hidden="1" thickBot="1" x14ac:dyDescent="0.3">
      <c r="A3735" s="181"/>
      <c r="B3735" s="202"/>
      <c r="C3735" s="36" t="s">
        <v>743</v>
      </c>
      <c r="D3735" s="36" t="s">
        <v>742</v>
      </c>
      <c r="E3735" s="37">
        <f>ROUND(0.9834/(1.5*0.6),4)</f>
        <v>1.0927</v>
      </c>
      <c r="F3735" s="54">
        <v>16.729499999999998</v>
      </c>
      <c r="G3735" s="54">
        <f>IF(ISNUMBER(F3735),E3735*F3735,"")</f>
        <v>18.280324649999997</v>
      </c>
      <c r="H3735" s="73"/>
      <c r="I3735" s="74"/>
      <c r="J3735" s="155">
        <v>0</v>
      </c>
    </row>
    <row r="3736" spans="1:10" ht="15.75" hidden="1" thickBot="1" x14ac:dyDescent="0.3">
      <c r="A3736" s="181"/>
      <c r="B3736" s="202"/>
      <c r="C3736" s="36"/>
      <c r="D3736" s="36"/>
      <c r="E3736" s="37"/>
      <c r="F3736" s="54" t="s">
        <v>558</v>
      </c>
      <c r="G3736" s="54" t="str">
        <f>IF(ISNUMBER(F3736),E3736*F3736,"")</f>
        <v/>
      </c>
      <c r="H3736" s="73"/>
      <c r="I3736" s="74"/>
      <c r="J3736" s="155">
        <v>0</v>
      </c>
    </row>
    <row r="3737" spans="1:10" ht="15.75" hidden="1" thickBot="1" x14ac:dyDescent="0.3">
      <c r="A3737" s="180" t="s">
        <v>1179</v>
      </c>
      <c r="B3737" s="186" t="str">
        <f>INDEX(Orçamentária!A:B,MATCH(Composições!A3737,Orçamentária!A:A,0),2)</f>
        <v>Porta em alumínio tipo veneziana</v>
      </c>
      <c r="C3737" s="41"/>
      <c r="D3737" s="26" t="str">
        <f>TRIM(INDEX(Orçamentária!C:C,MATCH(Composições!A3737,Orçamentária!A:A,0),1))</f>
        <v>m2</v>
      </c>
      <c r="E3737" s="27"/>
      <c r="F3737" s="49" t="s">
        <v>558</v>
      </c>
      <c r="G3737" s="28" t="str">
        <f>IF(ISNUMBER(F3737),E3737*F3737,"")</f>
        <v/>
      </c>
      <c r="H3737" s="29"/>
      <c r="I3737" s="30"/>
      <c r="J3737" s="155">
        <v>0</v>
      </c>
    </row>
    <row r="3738" spans="1:10" ht="15.75" hidden="1" thickBot="1" x14ac:dyDescent="0.3">
      <c r="A3738" s="181"/>
      <c r="B3738" s="202"/>
      <c r="C3738" s="32"/>
      <c r="D3738" s="32"/>
      <c r="E3738" s="33"/>
      <c r="F3738" s="54" t="s">
        <v>558</v>
      </c>
      <c r="G3738" s="54" t="str">
        <f>IF(ISNUMBER(F3738),E3738*F3738,"")</f>
        <v/>
      </c>
      <c r="H3738" s="73"/>
      <c r="I3738" s="74"/>
      <c r="J3738" s="155">
        <v>0</v>
      </c>
    </row>
    <row r="3739" spans="1:10" ht="26.25" hidden="1" thickBot="1" x14ac:dyDescent="0.3">
      <c r="A3739" s="181"/>
      <c r="B3739" s="202"/>
      <c r="C3739" s="36" t="s">
        <v>1105</v>
      </c>
      <c r="D3739" s="47" t="s">
        <v>1116</v>
      </c>
      <c r="E3739" s="37">
        <v>0.88290000000000002</v>
      </c>
      <c r="F3739" s="54">
        <v>30.570999999999998</v>
      </c>
      <c r="G3739" s="54">
        <f>IF(ISNUMBER(F3739),E3739*F3739,"")</f>
        <v>26.9911359</v>
      </c>
      <c r="H3739" s="39">
        <f>SUM(G3739:G3744)</f>
        <v>462.84292790000001</v>
      </c>
      <c r="I3739" s="40"/>
      <c r="J3739" s="155">
        <v>0</v>
      </c>
    </row>
    <row r="3740" spans="1:10" ht="39" hidden="1" thickBot="1" x14ac:dyDescent="0.3">
      <c r="A3740" s="181"/>
      <c r="B3740" s="202"/>
      <c r="C3740" s="36" t="s">
        <v>1180</v>
      </c>
      <c r="D3740" s="47" t="s">
        <v>292</v>
      </c>
      <c r="E3740" s="37">
        <v>4.8166000000000002</v>
      </c>
      <c r="F3740" s="54">
        <v>0.93099999999999994</v>
      </c>
      <c r="G3740" s="54">
        <f>IF(ISNUMBER(F3740),E3740*F3740,"")</f>
        <v>4.4842545999999999</v>
      </c>
      <c r="H3740" s="73"/>
      <c r="I3740" s="74"/>
      <c r="J3740" s="155">
        <v>0</v>
      </c>
    </row>
    <row r="3741" spans="1:10" ht="26.25" hidden="1" thickBot="1" x14ac:dyDescent="0.3">
      <c r="A3741" s="181"/>
      <c r="B3741" s="202"/>
      <c r="C3741" s="36" t="s">
        <v>1181</v>
      </c>
      <c r="D3741" s="36" t="s">
        <v>513</v>
      </c>
      <c r="E3741" s="37">
        <v>6.8503999999999996</v>
      </c>
      <c r="F3741" s="54">
        <v>8.426499999999999</v>
      </c>
      <c r="G3741" s="54">
        <f>IF(ISNUMBER(F3741),E3741*F3741,"")</f>
        <v>57.724895599999989</v>
      </c>
      <c r="H3741" s="73"/>
      <c r="I3741" s="74"/>
      <c r="J3741" s="155">
        <v>0</v>
      </c>
    </row>
    <row r="3742" spans="1:10" ht="26.25" hidden="1" thickBot="1" x14ac:dyDescent="0.3">
      <c r="A3742" s="181"/>
      <c r="B3742" s="202"/>
      <c r="C3742" s="36" t="s">
        <v>1182</v>
      </c>
      <c r="D3742" s="36" t="s">
        <v>292</v>
      </c>
      <c r="E3742" s="37">
        <v>0.54730000000000001</v>
      </c>
      <c r="F3742" s="54">
        <v>660.99099999999999</v>
      </c>
      <c r="G3742" s="54">
        <f>IF(ISNUMBER(F3742),E3742*F3742,"")</f>
        <v>361.76037430000002</v>
      </c>
      <c r="H3742" s="73"/>
      <c r="I3742" s="74"/>
      <c r="J3742" s="155">
        <v>0</v>
      </c>
    </row>
    <row r="3743" spans="1:10" ht="15.75" hidden="1" thickBot="1" x14ac:dyDescent="0.3">
      <c r="A3743" s="181"/>
      <c r="B3743" s="202"/>
      <c r="C3743" s="36" t="s">
        <v>1183</v>
      </c>
      <c r="D3743" s="47" t="s">
        <v>742</v>
      </c>
      <c r="E3743" s="37">
        <v>0.3826</v>
      </c>
      <c r="F3743" s="54">
        <v>22.704999999999998</v>
      </c>
      <c r="G3743" s="54">
        <f>IF(ISNUMBER(F3743),E3743*F3743,"")</f>
        <v>8.6869329999999998</v>
      </c>
      <c r="H3743" s="73"/>
      <c r="I3743" s="74"/>
      <c r="J3743" s="155">
        <v>0</v>
      </c>
    </row>
    <row r="3744" spans="1:10" ht="15.75" hidden="1" thickBot="1" x14ac:dyDescent="0.3">
      <c r="A3744" s="181"/>
      <c r="B3744" s="202"/>
      <c r="C3744" s="36" t="s">
        <v>23</v>
      </c>
      <c r="D3744" s="47" t="s">
        <v>742</v>
      </c>
      <c r="E3744" s="37">
        <v>0.191</v>
      </c>
      <c r="F3744" s="54">
        <v>16.729499999999998</v>
      </c>
      <c r="G3744" s="54">
        <f>IF(ISNUMBER(F3744),E3744*F3744,"")</f>
        <v>3.1953344999999995</v>
      </c>
      <c r="H3744" s="73"/>
      <c r="I3744" s="74"/>
      <c r="J3744" s="155">
        <v>0</v>
      </c>
    </row>
    <row r="3745" spans="1:10" ht="15.75" hidden="1" thickBot="1" x14ac:dyDescent="0.3">
      <c r="A3745" s="181"/>
      <c r="B3745" s="202"/>
      <c r="C3745" s="36"/>
      <c r="D3745" s="47"/>
      <c r="E3745" s="37"/>
      <c r="F3745" s="54" t="s">
        <v>558</v>
      </c>
      <c r="G3745" s="54" t="str">
        <f>IF(ISNUMBER(F3745),E3745*F3745,"")</f>
        <v/>
      </c>
      <c r="H3745" s="73"/>
      <c r="I3745" s="74"/>
      <c r="J3745" s="155">
        <v>0</v>
      </c>
    </row>
    <row r="3746" spans="1:10" ht="15.75" hidden="1" thickBot="1" x14ac:dyDescent="0.3">
      <c r="A3746" s="180" t="s">
        <v>1184</v>
      </c>
      <c r="B3746" s="186" t="str">
        <f>INDEX(Orçamentária!A:B,MATCH(Composições!A3746,Orçamentária!A:A,0),2)</f>
        <v>Janela em alumínio</v>
      </c>
      <c r="C3746" s="41"/>
      <c r="D3746" s="26" t="str">
        <f>TRIM(INDEX(Orçamentária!C:C,MATCH(Composições!A3746,Orçamentária!A:A,0),1))</f>
        <v>m2</v>
      </c>
      <c r="E3746" s="27"/>
      <c r="F3746" s="49" t="s">
        <v>558</v>
      </c>
      <c r="G3746" s="28" t="str">
        <f>IF(ISNUMBER(F3746),E3746*F3746,"")</f>
        <v/>
      </c>
      <c r="H3746" s="29"/>
      <c r="I3746" s="30"/>
      <c r="J3746" s="155">
        <v>0</v>
      </c>
    </row>
    <row r="3747" spans="1:10" ht="15.75" hidden="1" thickBot="1" x14ac:dyDescent="0.3">
      <c r="A3747" s="181"/>
      <c r="B3747" s="202"/>
      <c r="C3747" s="32"/>
      <c r="D3747" s="32"/>
      <c r="E3747" s="33"/>
      <c r="F3747" s="54" t="s">
        <v>558</v>
      </c>
      <c r="G3747" s="54" t="str">
        <f>IF(ISNUMBER(F3747),E3747*F3747,"")</f>
        <v/>
      </c>
      <c r="H3747" s="73"/>
      <c r="I3747" s="74"/>
      <c r="J3747" s="155">
        <v>0</v>
      </c>
    </row>
    <row r="3748" spans="1:10" ht="39" hidden="1" thickBot="1" x14ac:dyDescent="0.3">
      <c r="A3748" s="181"/>
      <c r="B3748" s="202"/>
      <c r="C3748" s="36" t="s">
        <v>1186</v>
      </c>
      <c r="D3748" s="47" t="s">
        <v>292</v>
      </c>
      <c r="E3748" s="37">
        <v>24.4</v>
      </c>
      <c r="F3748" s="54">
        <v>0.11399999999999999</v>
      </c>
      <c r="G3748" s="54">
        <f>IF(ISNUMBER(F3748),E3748*F3748,"")</f>
        <v>2.7815999999999996</v>
      </c>
      <c r="H3748" s="39">
        <f>SUM(G3748:G3752)</f>
        <v>486.86990419999995</v>
      </c>
      <c r="I3748" s="40"/>
      <c r="J3748" s="155">
        <v>0</v>
      </c>
    </row>
    <row r="3749" spans="1:10" ht="39" hidden="1" thickBot="1" x14ac:dyDescent="0.3">
      <c r="A3749" s="181"/>
      <c r="B3749" s="202"/>
      <c r="C3749" s="36" t="s">
        <v>1185</v>
      </c>
      <c r="D3749" s="47" t="s">
        <v>292</v>
      </c>
      <c r="E3749" s="37">
        <v>2.0832999999999999</v>
      </c>
      <c r="F3749" s="54">
        <v>194.82599999999999</v>
      </c>
      <c r="G3749" s="54">
        <f>IF(ISNUMBER(F3749),E3749*F3749,"")</f>
        <v>405.88100579999997</v>
      </c>
      <c r="H3749" s="73"/>
      <c r="I3749" s="74"/>
      <c r="J3749" s="155">
        <v>0</v>
      </c>
    </row>
    <row r="3750" spans="1:10" ht="15.75" hidden="1" thickBot="1" x14ac:dyDescent="0.3">
      <c r="A3750" s="181"/>
      <c r="B3750" s="202"/>
      <c r="C3750" s="36" t="s">
        <v>1175</v>
      </c>
      <c r="D3750" s="36" t="s">
        <v>292</v>
      </c>
      <c r="E3750" s="37">
        <v>1.2466999999999999</v>
      </c>
      <c r="F3750" s="54">
        <v>20.196999999999999</v>
      </c>
      <c r="G3750" s="54">
        <f>IF(ISNUMBER(F3750),E3750*F3750,"")</f>
        <v>25.179599899999996</v>
      </c>
      <c r="H3750" s="73"/>
      <c r="I3750" s="74"/>
      <c r="J3750" s="155">
        <v>0</v>
      </c>
    </row>
    <row r="3751" spans="1:10" ht="15.75" hidden="1" thickBot="1" x14ac:dyDescent="0.3">
      <c r="A3751" s="181"/>
      <c r="B3751" s="202"/>
      <c r="C3751" s="36" t="s">
        <v>750</v>
      </c>
      <c r="D3751" s="36" t="s">
        <v>742</v>
      </c>
      <c r="E3751" s="37">
        <v>1.7070000000000001</v>
      </c>
      <c r="F3751" s="54">
        <v>22.704999999999998</v>
      </c>
      <c r="G3751" s="54">
        <f>IF(ISNUMBER(F3751),E3751*F3751,"")</f>
        <v>38.757435000000001</v>
      </c>
      <c r="H3751" s="73"/>
      <c r="I3751" s="74"/>
      <c r="J3751" s="155">
        <v>0</v>
      </c>
    </row>
    <row r="3752" spans="1:10" ht="15.75" hidden="1" thickBot="1" x14ac:dyDescent="0.3">
      <c r="A3752" s="181"/>
      <c r="B3752" s="202"/>
      <c r="C3752" s="36" t="s">
        <v>743</v>
      </c>
      <c r="D3752" s="47" t="s">
        <v>742</v>
      </c>
      <c r="E3752" s="37">
        <v>0.85299999999999998</v>
      </c>
      <c r="F3752" s="54">
        <v>16.729499999999998</v>
      </c>
      <c r="G3752" s="54">
        <f>IF(ISNUMBER(F3752),E3752*F3752,"")</f>
        <v>14.270263499999999</v>
      </c>
      <c r="H3752" s="73"/>
      <c r="I3752" s="74"/>
      <c r="J3752" s="155">
        <v>0</v>
      </c>
    </row>
    <row r="3753" spans="1:10" ht="15.75" hidden="1" thickBot="1" x14ac:dyDescent="0.3">
      <c r="A3753" s="181"/>
      <c r="B3753" s="202"/>
      <c r="C3753" s="36"/>
      <c r="D3753" s="47"/>
      <c r="E3753" s="37"/>
      <c r="F3753" s="54" t="s">
        <v>558</v>
      </c>
      <c r="G3753" s="54" t="str">
        <f>IF(ISNUMBER(F3753),E3753*F3753,"")</f>
        <v/>
      </c>
      <c r="H3753" s="73"/>
      <c r="I3753" s="74"/>
      <c r="J3753" s="155">
        <v>0</v>
      </c>
    </row>
    <row r="3754" spans="1:10" ht="15.75" hidden="1" thickBot="1" x14ac:dyDescent="0.3">
      <c r="A3754" s="180" t="s">
        <v>1187</v>
      </c>
      <c r="B3754" s="186" t="str">
        <f>INDEX(Orçamentária!A:B,MATCH(Composições!A3754,Orçamentária!A:A,0),2)</f>
        <v>Porta metálica de enrolar</v>
      </c>
      <c r="C3754" s="41"/>
      <c r="D3754" s="26" t="str">
        <f>TRIM(INDEX(Orçamentária!C:C,MATCH(Composições!A3754,Orçamentária!A:A,0),1))</f>
        <v>m2</v>
      </c>
      <c r="E3754" s="27"/>
      <c r="F3754" s="49" t="s">
        <v>558</v>
      </c>
      <c r="G3754" s="28" t="str">
        <f>IF(ISNUMBER(F3754),E3754*F3754,"")</f>
        <v/>
      </c>
      <c r="H3754" s="29"/>
      <c r="I3754" s="30"/>
      <c r="J3754" s="155">
        <v>0</v>
      </c>
    </row>
    <row r="3755" spans="1:10" ht="15.75" hidden="1" thickBot="1" x14ac:dyDescent="0.3">
      <c r="A3755" s="181"/>
      <c r="B3755" s="202"/>
      <c r="C3755" s="32"/>
      <c r="D3755" s="32"/>
      <c r="E3755" s="33"/>
      <c r="F3755" s="54" t="s">
        <v>558</v>
      </c>
      <c r="G3755" s="54" t="str">
        <f>IF(ISNUMBER(F3755),E3755*F3755,"")</f>
        <v/>
      </c>
      <c r="H3755" s="73"/>
      <c r="I3755" s="74"/>
      <c r="J3755" s="155">
        <v>0</v>
      </c>
    </row>
    <row r="3756" spans="1:10" ht="39" hidden="1" thickBot="1" x14ac:dyDescent="0.3">
      <c r="A3756" s="181"/>
      <c r="B3756" s="202"/>
      <c r="C3756" s="36" t="s">
        <v>1188</v>
      </c>
      <c r="D3756" s="47" t="s">
        <v>1034</v>
      </c>
      <c r="E3756" s="37">
        <v>1</v>
      </c>
      <c r="F3756" s="54">
        <v>398.202</v>
      </c>
      <c r="G3756" s="54">
        <f>IF(ISNUMBER(F3756),E3756*F3756,"")</f>
        <v>398.202</v>
      </c>
      <c r="H3756" s="39">
        <f>SUM(G3756:G3762)</f>
        <v>443.41251303589996</v>
      </c>
      <c r="I3756" s="40"/>
      <c r="J3756" s="155">
        <v>0</v>
      </c>
    </row>
    <row r="3757" spans="1:10" ht="15.75" hidden="1" thickBot="1" x14ac:dyDescent="0.3">
      <c r="A3757" s="181"/>
      <c r="B3757" s="202"/>
      <c r="C3757" s="36" t="s">
        <v>750</v>
      </c>
      <c r="D3757" s="47" t="s">
        <v>742</v>
      </c>
      <c r="E3757" s="37">
        <v>1</v>
      </c>
      <c r="F3757" s="54">
        <v>22.704999999999998</v>
      </c>
      <c r="G3757" s="54">
        <f>IF(ISNUMBER(F3757),E3757*F3757,"")</f>
        <v>22.704999999999998</v>
      </c>
      <c r="H3757" s="73"/>
      <c r="I3757" s="74"/>
      <c r="J3757" s="155">
        <v>0</v>
      </c>
    </row>
    <row r="3758" spans="1:10" ht="15.75" hidden="1" thickBot="1" x14ac:dyDescent="0.3">
      <c r="A3758" s="181"/>
      <c r="B3758" s="202"/>
      <c r="C3758" s="36" t="s">
        <v>743</v>
      </c>
      <c r="D3758" s="36" t="s">
        <v>742</v>
      </c>
      <c r="E3758" s="37">
        <v>1.1000000000000001</v>
      </c>
      <c r="F3758" s="54">
        <v>16.729499999999998</v>
      </c>
      <c r="G3758" s="54">
        <f>IF(ISNUMBER(F3758),E3758*F3758,"")</f>
        <v>18.402449999999998</v>
      </c>
      <c r="H3758" s="73"/>
      <c r="I3758" s="74"/>
      <c r="J3758" s="155">
        <v>0</v>
      </c>
    </row>
    <row r="3759" spans="1:10" ht="26.25" hidden="1" thickBot="1" x14ac:dyDescent="0.3">
      <c r="A3759" s="181"/>
      <c r="B3759" s="202"/>
      <c r="C3759" s="36" t="s">
        <v>791</v>
      </c>
      <c r="D3759" s="47" t="s">
        <v>122</v>
      </c>
      <c r="E3759" s="37">
        <v>1.2999999999999999E-2</v>
      </c>
      <c r="F3759" s="54">
        <v>85.5</v>
      </c>
      <c r="G3759" s="54">
        <f>IF(ISNUMBER(F3759),E3759*F3759,"")</f>
        <v>1.1114999999999999</v>
      </c>
      <c r="H3759" s="73"/>
      <c r="I3759" s="74"/>
      <c r="J3759" s="155">
        <v>0</v>
      </c>
    </row>
    <row r="3760" spans="1:10" ht="15.75" hidden="1" thickBot="1" x14ac:dyDescent="0.3">
      <c r="A3760" s="181"/>
      <c r="B3760" s="202"/>
      <c r="C3760" s="36" t="s">
        <v>787</v>
      </c>
      <c r="D3760" s="47" t="s">
        <v>938</v>
      </c>
      <c r="E3760" s="37">
        <v>4.58</v>
      </c>
      <c r="F3760" s="54">
        <v>0.52249999999999996</v>
      </c>
      <c r="G3760" s="54">
        <f>IF(ISNUMBER(F3760),E3760*F3760,"")</f>
        <v>2.3930499999999997</v>
      </c>
      <c r="H3760" s="73"/>
      <c r="I3760" s="74"/>
      <c r="J3760" s="155">
        <v>0</v>
      </c>
    </row>
    <row r="3761" spans="1:10" ht="51.75" hidden="1" thickBot="1" x14ac:dyDescent="0.3">
      <c r="A3761" s="181"/>
      <c r="B3761" s="202"/>
      <c r="C3761" s="36" t="s">
        <v>3617</v>
      </c>
      <c r="D3761" s="36" t="s">
        <v>110</v>
      </c>
      <c r="E3761" s="37">
        <f>1*E3759</f>
        <v>1.2999999999999999E-2</v>
      </c>
      <c r="F3761" s="34">
        <v>6.0418992999999999</v>
      </c>
      <c r="G3761" s="34">
        <f>IF(ISNUMBER(F3761),E3761*F3761,"")</f>
        <v>7.8544690899999992E-2</v>
      </c>
      <c r="H3761" s="35"/>
      <c r="I3761" s="31"/>
      <c r="J3761" s="155">
        <v>0</v>
      </c>
    </row>
    <row r="3762" spans="1:10" ht="39" hidden="1" thickBot="1" x14ac:dyDescent="0.3">
      <c r="A3762" s="181"/>
      <c r="B3762" s="202"/>
      <c r="C3762" s="36" t="s">
        <v>123</v>
      </c>
      <c r="D3762" s="47" t="s">
        <v>124</v>
      </c>
      <c r="E3762" s="37">
        <f>E3759*20</f>
        <v>0.26</v>
      </c>
      <c r="F3762" s="54">
        <v>1.9998782499999996</v>
      </c>
      <c r="G3762" s="54">
        <f>IF(ISNUMBER(F3762),E3762*F3762,"")</f>
        <v>0.51996834499999989</v>
      </c>
      <c r="H3762" s="73"/>
      <c r="I3762" s="74"/>
      <c r="J3762" s="155">
        <v>0</v>
      </c>
    </row>
    <row r="3763" spans="1:10" ht="15.75" hidden="1" thickBot="1" x14ac:dyDescent="0.3">
      <c r="A3763" s="181"/>
      <c r="B3763" s="202"/>
      <c r="C3763" s="51"/>
      <c r="D3763" s="47"/>
      <c r="E3763" s="37"/>
      <c r="F3763" s="54" t="s">
        <v>558</v>
      </c>
      <c r="G3763" s="54" t="str">
        <f>IF(ISNUMBER(F3763),E3763*F3763,"")</f>
        <v/>
      </c>
      <c r="H3763" s="73"/>
      <c r="I3763" s="74"/>
      <c r="J3763" s="155">
        <v>0</v>
      </c>
    </row>
    <row r="3764" spans="1:10" ht="15.75" hidden="1" thickBot="1" x14ac:dyDescent="0.3">
      <c r="A3764" s="181"/>
      <c r="B3764" s="202"/>
      <c r="C3764" s="48" t="s">
        <v>794</v>
      </c>
      <c r="D3764" s="47"/>
      <c r="E3764" s="37"/>
      <c r="F3764" s="54" t="s">
        <v>558</v>
      </c>
      <c r="G3764" s="54" t="str">
        <f>IF(ISNUMBER(F3764),E3764*F3764,"")</f>
        <v/>
      </c>
      <c r="H3764" s="73"/>
      <c r="I3764" s="74"/>
      <c r="J3764" s="155">
        <v>0</v>
      </c>
    </row>
    <row r="3765" spans="1:10" ht="15.75" hidden="1" thickBot="1" x14ac:dyDescent="0.3">
      <c r="A3765" s="182"/>
      <c r="B3765" s="188"/>
      <c r="C3765" s="48"/>
      <c r="D3765" s="47"/>
      <c r="E3765" s="37"/>
      <c r="F3765" s="54" t="s">
        <v>558</v>
      </c>
      <c r="G3765" s="54" t="str">
        <f>IF(ISNUMBER(F3765),E3765*F3765,"")</f>
        <v/>
      </c>
      <c r="H3765" s="73"/>
      <c r="I3765" s="74"/>
      <c r="J3765" s="155">
        <v>0</v>
      </c>
    </row>
    <row r="3766" spans="1:10" ht="15.75" hidden="1" thickBot="1" x14ac:dyDescent="0.3">
      <c r="A3766" s="180" t="s">
        <v>1189</v>
      </c>
      <c r="B3766" s="186" t="str">
        <f>INDEX(Orçamentária!A:B,MATCH(Composições!A3766,Orçamentária!A:A,0),2)</f>
        <v>Medidor de Gás</v>
      </c>
      <c r="C3766" s="41"/>
      <c r="D3766" s="26" t="str">
        <f>TRIM(INDEX(Orçamentária!C:C,MATCH(Composições!A3766,Orçamentária!A:A,0),1))</f>
        <v>un</v>
      </c>
      <c r="E3766" s="27"/>
      <c r="F3766" s="49" t="s">
        <v>558</v>
      </c>
      <c r="G3766" s="28" t="str">
        <f>IF(ISNUMBER(F3766),E3766*F3766,"")</f>
        <v/>
      </c>
      <c r="H3766" s="29"/>
      <c r="I3766" s="30"/>
      <c r="J3766" s="155">
        <v>0</v>
      </c>
    </row>
    <row r="3767" spans="1:10" ht="15.75" hidden="1" thickBot="1" x14ac:dyDescent="0.3">
      <c r="A3767" s="181"/>
      <c r="B3767" s="202"/>
      <c r="C3767" s="32"/>
      <c r="D3767" s="32"/>
      <c r="E3767" s="33"/>
      <c r="F3767" s="54" t="s">
        <v>558</v>
      </c>
      <c r="G3767" s="54" t="str">
        <f>IF(ISNUMBER(F3767),E3767*F3767,"")</f>
        <v/>
      </c>
      <c r="H3767" s="73"/>
      <c r="I3767" s="74"/>
      <c r="J3767" s="155">
        <v>0</v>
      </c>
    </row>
    <row r="3768" spans="1:10" ht="15.75" hidden="1" thickBot="1" x14ac:dyDescent="0.3">
      <c r="A3768" s="181"/>
      <c r="B3768" s="202"/>
      <c r="C3768" s="36" t="s">
        <v>336</v>
      </c>
      <c r="D3768" s="47" t="s">
        <v>292</v>
      </c>
      <c r="E3768" s="37">
        <v>0.20519999999999999</v>
      </c>
      <c r="F3768" s="54">
        <v>12.8155</v>
      </c>
      <c r="G3768" s="54">
        <f>IF(ISNUMBER(F3768),E3768*F3768,"")</f>
        <v>2.6297405999999999</v>
      </c>
      <c r="H3768" s="39">
        <f>SUM(G3768:G3779)</f>
        <v>581.99892369999998</v>
      </c>
      <c r="I3768" s="40"/>
      <c r="J3768" s="155">
        <v>0</v>
      </c>
    </row>
    <row r="3769" spans="1:10" ht="26.25" hidden="1" thickBot="1" x14ac:dyDescent="0.3">
      <c r="A3769" s="181"/>
      <c r="B3769" s="202"/>
      <c r="C3769" s="36" t="s">
        <v>1190</v>
      </c>
      <c r="D3769" s="47" t="s">
        <v>292</v>
      </c>
      <c r="E3769" s="37">
        <v>2</v>
      </c>
      <c r="F3769" s="54">
        <v>9.1199999999999992</v>
      </c>
      <c r="G3769" s="54">
        <f>IF(ISNUMBER(F3769),E3769*F3769,"")</f>
        <v>18.239999999999998</v>
      </c>
      <c r="H3769" s="73"/>
      <c r="I3769" s="74"/>
      <c r="J3769" s="155">
        <v>0</v>
      </c>
    </row>
    <row r="3770" spans="1:10" ht="15.75" hidden="1" thickBot="1" x14ac:dyDescent="0.3">
      <c r="A3770" s="181"/>
      <c r="B3770" s="202"/>
      <c r="C3770" s="36" t="s">
        <v>1191</v>
      </c>
      <c r="D3770" s="47" t="s">
        <v>292</v>
      </c>
      <c r="E3770" s="37">
        <v>4</v>
      </c>
      <c r="F3770" s="54">
        <v>6.7639999999999993</v>
      </c>
      <c r="G3770" s="54">
        <f>IF(ISNUMBER(F3770),E3770*F3770,"")</f>
        <v>27.055999999999997</v>
      </c>
      <c r="H3770" s="73"/>
      <c r="I3770" s="74"/>
      <c r="J3770" s="155">
        <v>0</v>
      </c>
    </row>
    <row r="3771" spans="1:10" ht="15.75" hidden="1" thickBot="1" x14ac:dyDescent="0.3">
      <c r="A3771" s="181"/>
      <c r="B3771" s="202"/>
      <c r="C3771" s="36" t="s">
        <v>1192</v>
      </c>
      <c r="D3771" s="47" t="s">
        <v>292</v>
      </c>
      <c r="E3771" s="37">
        <v>2</v>
      </c>
      <c r="F3771" s="54">
        <v>2.4129999999999998</v>
      </c>
      <c r="G3771" s="54">
        <f>IF(ISNUMBER(F3771),E3771*F3771,"")</f>
        <v>4.8259999999999996</v>
      </c>
      <c r="H3771" s="73"/>
      <c r="I3771" s="74"/>
      <c r="J3771" s="155">
        <v>0</v>
      </c>
    </row>
    <row r="3772" spans="1:10" ht="26.25" hidden="1" thickBot="1" x14ac:dyDescent="0.3">
      <c r="A3772" s="181"/>
      <c r="B3772" s="202"/>
      <c r="C3772" s="36" t="s">
        <v>1193</v>
      </c>
      <c r="D3772" s="47" t="s">
        <v>292</v>
      </c>
      <c r="E3772" s="37">
        <v>2</v>
      </c>
      <c r="F3772" s="54">
        <v>14.838999999999999</v>
      </c>
      <c r="G3772" s="54">
        <f>IF(ISNUMBER(F3772),E3772*F3772,"")</f>
        <v>29.677999999999997</v>
      </c>
      <c r="H3772" s="73"/>
      <c r="I3772" s="74"/>
      <c r="J3772" s="155">
        <v>0</v>
      </c>
    </row>
    <row r="3773" spans="1:10" ht="26.25" hidden="1" thickBot="1" x14ac:dyDescent="0.3">
      <c r="A3773" s="181"/>
      <c r="B3773" s="202"/>
      <c r="C3773" s="36" t="s">
        <v>1194</v>
      </c>
      <c r="D3773" s="47" t="s">
        <v>292</v>
      </c>
      <c r="E3773" s="37">
        <v>1</v>
      </c>
      <c r="F3773" s="54">
        <v>19.484500000000001</v>
      </c>
      <c r="G3773" s="54">
        <f>IF(ISNUMBER(F3773),E3773*F3773,"")</f>
        <v>19.484500000000001</v>
      </c>
      <c r="H3773" s="73"/>
      <c r="I3773" s="74"/>
      <c r="J3773" s="155">
        <v>0</v>
      </c>
    </row>
    <row r="3774" spans="1:10" ht="15.75" hidden="1" thickBot="1" x14ac:dyDescent="0.3">
      <c r="A3774" s="181"/>
      <c r="B3774" s="202"/>
      <c r="C3774" s="36" t="s">
        <v>1195</v>
      </c>
      <c r="D3774" s="47" t="s">
        <v>292</v>
      </c>
      <c r="E3774" s="37">
        <v>3</v>
      </c>
      <c r="F3774" s="54">
        <v>68.903499999999994</v>
      </c>
      <c r="G3774" s="54">
        <f>IF(ISNUMBER(F3774),E3774*F3774,"")</f>
        <v>206.71049999999997</v>
      </c>
      <c r="H3774" s="73"/>
      <c r="I3774" s="74"/>
      <c r="J3774" s="155">
        <v>0</v>
      </c>
    </row>
    <row r="3775" spans="1:10" ht="15.75" hidden="1" thickBot="1" x14ac:dyDescent="0.3">
      <c r="A3775" s="181"/>
      <c r="B3775" s="202"/>
      <c r="C3775" s="36" t="s">
        <v>1196</v>
      </c>
      <c r="D3775" s="47" t="s">
        <v>292</v>
      </c>
      <c r="E3775" s="37">
        <v>2</v>
      </c>
      <c r="F3775" s="54">
        <v>44.212999999999994</v>
      </c>
      <c r="G3775" s="54">
        <f>IF(ISNUMBER(F3775),E3775*F3775,"")</f>
        <v>88.425999999999988</v>
      </c>
      <c r="H3775" s="73"/>
      <c r="I3775" s="74"/>
      <c r="J3775" s="155">
        <v>0</v>
      </c>
    </row>
    <row r="3776" spans="1:10" ht="26.25" hidden="1" thickBot="1" x14ac:dyDescent="0.3">
      <c r="A3776" s="181"/>
      <c r="B3776" s="202"/>
      <c r="C3776" s="36" t="s">
        <v>1197</v>
      </c>
      <c r="D3776" s="47" t="s">
        <v>513</v>
      </c>
      <c r="E3776" s="37">
        <v>0.72729999999999995</v>
      </c>
      <c r="F3776" s="54">
        <v>48.981999999999999</v>
      </c>
      <c r="G3776" s="54">
        <f>IF(ISNUMBER(F3776),E3776*F3776,"")</f>
        <v>35.624608599999995</v>
      </c>
      <c r="H3776" s="73"/>
      <c r="I3776" s="74"/>
      <c r="J3776" s="155">
        <v>0</v>
      </c>
    </row>
    <row r="3777" spans="1:10" ht="26.25" hidden="1" thickBot="1" x14ac:dyDescent="0.3">
      <c r="A3777" s="181"/>
      <c r="B3777" s="202"/>
      <c r="C3777" s="36" t="s">
        <v>993</v>
      </c>
      <c r="D3777" s="47" t="s">
        <v>742</v>
      </c>
      <c r="E3777" s="37">
        <v>1.6462000000000001</v>
      </c>
      <c r="F3777" s="54">
        <v>17.3185</v>
      </c>
      <c r="G3777" s="54">
        <f>IF(ISNUMBER(F3777),E3777*F3777,"")</f>
        <v>28.509714700000004</v>
      </c>
      <c r="H3777" s="73"/>
      <c r="I3777" s="74"/>
      <c r="J3777" s="155">
        <v>0</v>
      </c>
    </row>
    <row r="3778" spans="1:10" ht="26.25" hidden="1" thickBot="1" x14ac:dyDescent="0.3">
      <c r="A3778" s="181"/>
      <c r="B3778" s="202"/>
      <c r="C3778" s="36" t="s">
        <v>994</v>
      </c>
      <c r="D3778" s="47" t="s">
        <v>742</v>
      </c>
      <c r="E3778" s="37">
        <v>5.4324000000000003</v>
      </c>
      <c r="F3778" s="54">
        <v>22.2395</v>
      </c>
      <c r="G3778" s="54">
        <f>IF(ISNUMBER(F3778),E3778*F3778,"")</f>
        <v>120.8138598</v>
      </c>
      <c r="H3778" s="73"/>
      <c r="I3778" s="74"/>
      <c r="J3778" s="155">
        <v>0</v>
      </c>
    </row>
    <row r="3779" spans="1:10" ht="15.75" hidden="1" thickBot="1" x14ac:dyDescent="0.3">
      <c r="A3779" s="181"/>
      <c r="B3779" s="202"/>
      <c r="C3779" s="36" t="s">
        <v>1198</v>
      </c>
      <c r="D3779" s="47" t="s">
        <v>292</v>
      </c>
      <c r="E3779" s="37">
        <v>1</v>
      </c>
      <c r="F3779" s="54" t="s">
        <v>558</v>
      </c>
      <c r="G3779" s="54" t="str">
        <f>IF(ISNUMBER(F3779),E3779*F3779,"")</f>
        <v/>
      </c>
      <c r="H3779" s="73"/>
      <c r="I3779" s="74"/>
      <c r="J3779" s="155">
        <v>0</v>
      </c>
    </row>
    <row r="3780" spans="1:10" ht="15.75" hidden="1" thickBot="1" x14ac:dyDescent="0.3">
      <c r="A3780" s="181"/>
      <c r="B3780" s="202"/>
      <c r="C3780" s="55"/>
      <c r="D3780" s="55"/>
      <c r="E3780" s="66"/>
      <c r="F3780" s="76" t="s">
        <v>558</v>
      </c>
      <c r="G3780" s="76" t="str">
        <f>IF(ISNUMBER(F3780),E3780*F3780,"")</f>
        <v/>
      </c>
      <c r="H3780" s="77"/>
      <c r="I3780" s="74"/>
      <c r="J3780" s="155">
        <v>0</v>
      </c>
    </row>
    <row r="3781" spans="1:10" ht="15.75" hidden="1" thickBot="1" x14ac:dyDescent="0.3">
      <c r="A3781" s="180" t="s">
        <v>1199</v>
      </c>
      <c r="B3781" s="186" t="str">
        <f>INDEX(Orçamentária!A:B,MATCH(Composições!A3781,Orçamentária!A:A,0),2)</f>
        <v>Registro Esfera para Gás 3/4”</v>
      </c>
      <c r="C3781" s="41"/>
      <c r="D3781" s="26" t="str">
        <f>TRIM(INDEX(Orçamentária!C:C,MATCH(Composições!A3781,Orçamentária!A:A,0),1))</f>
        <v>un</v>
      </c>
      <c r="E3781" s="27"/>
      <c r="F3781" s="49" t="s">
        <v>558</v>
      </c>
      <c r="G3781" s="28" t="str">
        <f>IF(ISNUMBER(F3781),E3781*F3781,"")</f>
        <v/>
      </c>
      <c r="H3781" s="29"/>
      <c r="I3781" s="30"/>
      <c r="J3781" s="155">
        <v>0</v>
      </c>
    </row>
    <row r="3782" spans="1:10" ht="15.75" hidden="1" thickBot="1" x14ac:dyDescent="0.3">
      <c r="A3782" s="181"/>
      <c r="B3782" s="202"/>
      <c r="C3782" s="32"/>
      <c r="D3782" s="32"/>
      <c r="E3782" s="33"/>
      <c r="F3782" s="54" t="s">
        <v>558</v>
      </c>
      <c r="G3782" s="54" t="str">
        <f>IF(ISNUMBER(F3782),E3782*F3782,"")</f>
        <v/>
      </c>
      <c r="H3782" s="73"/>
      <c r="I3782" s="74"/>
      <c r="J3782" s="155">
        <v>0</v>
      </c>
    </row>
    <row r="3783" spans="1:10" ht="15.75" hidden="1" thickBot="1" x14ac:dyDescent="0.3">
      <c r="A3783" s="181"/>
      <c r="B3783" s="202"/>
      <c r="C3783" s="36" t="s">
        <v>336</v>
      </c>
      <c r="D3783" s="36" t="s">
        <v>292</v>
      </c>
      <c r="E3783" s="37">
        <v>1.2999999999999999E-2</v>
      </c>
      <c r="F3783" s="54">
        <v>12.8155</v>
      </c>
      <c r="G3783" s="54">
        <f>IF(ISNUMBER(F3783),E3783*F3783,"")</f>
        <v>0.16660149999999999</v>
      </c>
      <c r="H3783" s="39">
        <f>SUM(G3783:G3786)</f>
        <v>8.0782015000000005</v>
      </c>
      <c r="I3783" s="40"/>
      <c r="J3783" s="155">
        <v>0</v>
      </c>
    </row>
    <row r="3784" spans="1:10" ht="15.75" hidden="1" thickBot="1" x14ac:dyDescent="0.3">
      <c r="A3784" s="181"/>
      <c r="B3784" s="202"/>
      <c r="C3784" s="36" t="s">
        <v>1200</v>
      </c>
      <c r="D3784" s="36" t="s">
        <v>292</v>
      </c>
      <c r="E3784" s="37">
        <v>1</v>
      </c>
      <c r="F3784" s="54" t="s">
        <v>558</v>
      </c>
      <c r="G3784" s="54" t="str">
        <f>IF(ISNUMBER(F3784),E3784*F3784,"")</f>
        <v/>
      </c>
      <c r="H3784" s="73"/>
      <c r="I3784" s="74"/>
      <c r="J3784" s="155">
        <v>0</v>
      </c>
    </row>
    <row r="3785" spans="1:10" ht="26.25" hidden="1" thickBot="1" x14ac:dyDescent="0.3">
      <c r="A3785" s="181"/>
      <c r="B3785" s="202"/>
      <c r="C3785" s="36" t="s">
        <v>993</v>
      </c>
      <c r="D3785" s="36" t="s">
        <v>742</v>
      </c>
      <c r="E3785" s="37">
        <v>0.2</v>
      </c>
      <c r="F3785" s="54">
        <v>17.3185</v>
      </c>
      <c r="G3785" s="54">
        <f>IF(ISNUMBER(F3785),E3785*F3785,"")</f>
        <v>3.4637000000000002</v>
      </c>
      <c r="H3785" s="73"/>
      <c r="I3785" s="74"/>
      <c r="J3785" s="155">
        <v>0</v>
      </c>
    </row>
    <row r="3786" spans="1:10" ht="26.25" hidden="1" thickBot="1" x14ac:dyDescent="0.3">
      <c r="A3786" s="181"/>
      <c r="B3786" s="202"/>
      <c r="C3786" s="36" t="s">
        <v>994</v>
      </c>
      <c r="D3786" s="36" t="s">
        <v>742</v>
      </c>
      <c r="E3786" s="37">
        <v>0.2</v>
      </c>
      <c r="F3786" s="54">
        <v>22.2395</v>
      </c>
      <c r="G3786" s="54">
        <f>IF(ISNUMBER(F3786),E3786*F3786,"")</f>
        <v>4.4478999999999997</v>
      </c>
      <c r="H3786" s="73"/>
      <c r="I3786" s="74"/>
      <c r="J3786" s="155">
        <v>0</v>
      </c>
    </row>
    <row r="3787" spans="1:10" ht="15.75" hidden="1" thickBot="1" x14ac:dyDescent="0.3">
      <c r="A3787" s="181"/>
      <c r="B3787" s="202"/>
      <c r="C3787" s="55"/>
      <c r="D3787" s="55"/>
      <c r="E3787" s="66"/>
      <c r="F3787" s="76" t="s">
        <v>558</v>
      </c>
      <c r="G3787" s="76" t="str">
        <f>IF(ISNUMBER(F3787),E3787*F3787,"")</f>
        <v/>
      </c>
      <c r="H3787" s="77"/>
      <c r="I3787" s="74"/>
      <c r="J3787" s="155">
        <v>0</v>
      </c>
    </row>
    <row r="3788" spans="1:10" ht="15.75" hidden="1" thickBot="1" x14ac:dyDescent="0.3">
      <c r="A3788" s="180" t="s">
        <v>1201</v>
      </c>
      <c r="B3788" s="186" t="str">
        <f>INDEX(Orçamentária!A:B,MATCH(Composições!A3788,Orçamentária!A:A,0),2)</f>
        <v>Placa de Concreto Pré-Moldado 15 Mpa</v>
      </c>
      <c r="C3788" s="41"/>
      <c r="D3788" s="26" t="str">
        <f>TRIM(INDEX(Orçamentária!C:C,MATCH(Composições!A3788,Orçamentária!A:A,0),1))</f>
        <v>m3</v>
      </c>
      <c r="E3788" s="27"/>
      <c r="F3788" s="49" t="s">
        <v>558</v>
      </c>
      <c r="G3788" s="28" t="str">
        <f>IF(ISNUMBER(F3788),E3788*F3788,"")</f>
        <v/>
      </c>
      <c r="H3788" s="29"/>
      <c r="I3788" s="30"/>
      <c r="J3788" s="155">
        <v>0</v>
      </c>
    </row>
    <row r="3789" spans="1:10" ht="15.75" hidden="1" thickBot="1" x14ac:dyDescent="0.3">
      <c r="A3789" s="181"/>
      <c r="B3789" s="202"/>
      <c r="C3789" s="32"/>
      <c r="D3789" s="32"/>
      <c r="E3789" s="33"/>
      <c r="F3789" s="54" t="s">
        <v>558</v>
      </c>
      <c r="G3789" s="54" t="str">
        <f>IF(ISNUMBER(F3789),E3789*F3789,"")</f>
        <v/>
      </c>
      <c r="H3789" s="73"/>
      <c r="I3789" s="74"/>
      <c r="J3789" s="155">
        <v>0</v>
      </c>
    </row>
    <row r="3790" spans="1:10" ht="26.25" hidden="1" thickBot="1" x14ac:dyDescent="0.3">
      <c r="A3790" s="181"/>
      <c r="B3790" s="202"/>
      <c r="C3790" s="36" t="s">
        <v>1202</v>
      </c>
      <c r="D3790" s="36" t="s">
        <v>1034</v>
      </c>
      <c r="E3790" s="37">
        <v>2.9790000000000001</v>
      </c>
      <c r="F3790" s="54">
        <v>45.305499999999995</v>
      </c>
      <c r="G3790" s="54">
        <f>IF(ISNUMBER(F3790),E3790*F3790,"")</f>
        <v>134.96508449999999</v>
      </c>
      <c r="H3790" s="39">
        <f>SUM(G3790:G3802)</f>
        <v>3049.9222795666492</v>
      </c>
      <c r="I3790" s="40"/>
      <c r="J3790" s="155">
        <v>0</v>
      </c>
    </row>
    <row r="3791" spans="1:10" ht="26.25" hidden="1" thickBot="1" x14ac:dyDescent="0.3">
      <c r="A3791" s="181"/>
      <c r="B3791" s="202"/>
      <c r="C3791" s="36" t="s">
        <v>1203</v>
      </c>
      <c r="D3791" s="36" t="s">
        <v>103</v>
      </c>
      <c r="E3791" s="37">
        <v>0.12</v>
      </c>
      <c r="F3791" s="54">
        <v>6.1274999999999995</v>
      </c>
      <c r="G3791" s="54">
        <f>IF(ISNUMBER(F3791),E3791*F3791,"")</f>
        <v>0.73529999999999995</v>
      </c>
      <c r="H3791" s="73"/>
      <c r="I3791" s="74"/>
      <c r="J3791" s="155">
        <v>0</v>
      </c>
    </row>
    <row r="3792" spans="1:10" ht="15.75" hidden="1" thickBot="1" x14ac:dyDescent="0.3">
      <c r="A3792" s="181"/>
      <c r="B3792" s="202"/>
      <c r="C3792" s="36" t="s">
        <v>1204</v>
      </c>
      <c r="D3792" s="36" t="s">
        <v>938</v>
      </c>
      <c r="E3792" s="37">
        <v>0.64449999999999996</v>
      </c>
      <c r="F3792" s="54">
        <v>21.2895</v>
      </c>
      <c r="G3792" s="54">
        <f>IF(ISNUMBER(F3792),E3792*F3792,"")</f>
        <v>13.721082749999999</v>
      </c>
      <c r="H3792" s="73"/>
      <c r="I3792" s="74"/>
      <c r="J3792" s="155">
        <v>0</v>
      </c>
    </row>
    <row r="3793" spans="1:10" ht="15.75" hidden="1" thickBot="1" x14ac:dyDescent="0.3">
      <c r="A3793" s="181"/>
      <c r="B3793" s="202"/>
      <c r="C3793" s="36" t="s">
        <v>825</v>
      </c>
      <c r="D3793" s="36" t="s">
        <v>742</v>
      </c>
      <c r="E3793" s="37">
        <v>1.8137000000000001</v>
      </c>
      <c r="F3793" s="54">
        <v>18.962</v>
      </c>
      <c r="G3793" s="54">
        <f>IF(ISNUMBER(F3793),E3793*F3793,"")</f>
        <v>34.391379399999998</v>
      </c>
      <c r="H3793" s="73"/>
      <c r="I3793" s="74"/>
      <c r="J3793" s="155">
        <v>0</v>
      </c>
    </row>
    <row r="3794" spans="1:10" ht="15.75" hidden="1" thickBot="1" x14ac:dyDescent="0.3">
      <c r="A3794" s="181"/>
      <c r="B3794" s="202"/>
      <c r="C3794" s="36" t="s">
        <v>741</v>
      </c>
      <c r="D3794" s="36" t="s">
        <v>742</v>
      </c>
      <c r="E3794" s="37">
        <v>9.0685000000000002</v>
      </c>
      <c r="F3794" s="54">
        <v>22.533999999999999</v>
      </c>
      <c r="G3794" s="54">
        <f>IF(ISNUMBER(F3794),E3794*F3794,"")</f>
        <v>204.34957900000001</v>
      </c>
      <c r="H3794" s="73"/>
      <c r="I3794" s="74"/>
      <c r="J3794" s="155">
        <v>0</v>
      </c>
    </row>
    <row r="3795" spans="1:10" ht="15.75" hidden="1" thickBot="1" x14ac:dyDescent="0.3">
      <c r="A3795" s="181"/>
      <c r="B3795" s="202"/>
      <c r="C3795" s="36" t="s">
        <v>750</v>
      </c>
      <c r="D3795" s="36" t="s">
        <v>742</v>
      </c>
      <c r="E3795" s="37">
        <v>32.192999999999998</v>
      </c>
      <c r="F3795" s="54">
        <v>22.704999999999998</v>
      </c>
      <c r="G3795" s="54">
        <f>IF(ISNUMBER(F3795),E3795*F3795,"")</f>
        <v>730.94206499999984</v>
      </c>
      <c r="H3795" s="73"/>
      <c r="I3795" s="74"/>
      <c r="J3795" s="155">
        <v>0</v>
      </c>
    </row>
    <row r="3796" spans="1:10" ht="15.75" hidden="1" thickBot="1" x14ac:dyDescent="0.3">
      <c r="A3796" s="181"/>
      <c r="B3796" s="202"/>
      <c r="C3796" s="36" t="s">
        <v>743</v>
      </c>
      <c r="D3796" s="36" t="s">
        <v>742</v>
      </c>
      <c r="E3796" s="37">
        <v>32.192999999999998</v>
      </c>
      <c r="F3796" s="54">
        <v>16.729499999999998</v>
      </c>
      <c r="G3796" s="54">
        <f>IF(ISNUMBER(F3796),E3796*F3796,"")</f>
        <v>538.57279349999988</v>
      </c>
      <c r="H3796" s="73"/>
      <c r="I3796" s="74"/>
      <c r="J3796" s="155">
        <v>0</v>
      </c>
    </row>
    <row r="3797" spans="1:10" ht="26.25" hidden="1" thickBot="1" x14ac:dyDescent="0.3">
      <c r="A3797" s="181"/>
      <c r="B3797" s="202"/>
      <c r="C3797" s="36" t="s">
        <v>1205</v>
      </c>
      <c r="D3797" s="36" t="s">
        <v>982</v>
      </c>
      <c r="E3797" s="37">
        <v>6.6319999999999997</v>
      </c>
      <c r="F3797" s="54">
        <v>1.5009999999999999</v>
      </c>
      <c r="G3797" s="54">
        <f>IF(ISNUMBER(F3797),E3797*F3797,"")</f>
        <v>9.9546319999999984</v>
      </c>
      <c r="H3797" s="73"/>
      <c r="I3797" s="74"/>
      <c r="J3797" s="155">
        <v>0</v>
      </c>
    </row>
    <row r="3798" spans="1:10" ht="26.25" hidden="1" thickBot="1" x14ac:dyDescent="0.3">
      <c r="A3798" s="181"/>
      <c r="B3798" s="202"/>
      <c r="C3798" s="36" t="s">
        <v>1206</v>
      </c>
      <c r="D3798" s="36" t="s">
        <v>984</v>
      </c>
      <c r="E3798" s="37">
        <v>18.246200000000002</v>
      </c>
      <c r="F3798" s="54">
        <v>0.39899999999999997</v>
      </c>
      <c r="G3798" s="54">
        <f>IF(ISNUMBER(F3798),E3798*F3798,"")</f>
        <v>7.2802338000000004</v>
      </c>
      <c r="H3798" s="73"/>
      <c r="I3798" s="74"/>
      <c r="J3798" s="155">
        <v>0</v>
      </c>
    </row>
    <row r="3799" spans="1:10" ht="26.25" hidden="1" thickBot="1" x14ac:dyDescent="0.3">
      <c r="A3799" s="181"/>
      <c r="B3799" s="202"/>
      <c r="C3799" s="36" t="s">
        <v>1207</v>
      </c>
      <c r="D3799" s="36" t="s">
        <v>982</v>
      </c>
      <c r="E3799" s="37">
        <v>0.77359999999999995</v>
      </c>
      <c r="F3799" s="54">
        <v>19.9025</v>
      </c>
      <c r="G3799" s="54">
        <f>IF(ISNUMBER(F3799),E3799*F3799,"")</f>
        <v>15.396573999999999</v>
      </c>
      <c r="H3799" s="73"/>
      <c r="I3799" s="74"/>
      <c r="J3799" s="155">
        <v>0</v>
      </c>
    </row>
    <row r="3800" spans="1:10" ht="26.25" hidden="1" thickBot="1" x14ac:dyDescent="0.3">
      <c r="A3800" s="181"/>
      <c r="B3800" s="202"/>
      <c r="C3800" s="36" t="s">
        <v>1208</v>
      </c>
      <c r="D3800" s="36" t="s">
        <v>984</v>
      </c>
      <c r="E3800" s="37">
        <v>1.0401</v>
      </c>
      <c r="F3800" s="54">
        <v>17.783999999999999</v>
      </c>
      <c r="G3800" s="54">
        <f>IF(ISNUMBER(F3800),E3800*F3800,"")</f>
        <v>18.497138400000001</v>
      </c>
      <c r="H3800" s="73"/>
      <c r="I3800" s="74"/>
      <c r="J3800" s="155">
        <v>0</v>
      </c>
    </row>
    <row r="3801" spans="1:10" ht="39" hidden="1" thickBot="1" x14ac:dyDescent="0.3">
      <c r="A3801" s="181"/>
      <c r="B3801" s="202"/>
      <c r="C3801" s="36" t="s">
        <v>1209</v>
      </c>
      <c r="D3801" s="36" t="s">
        <v>938</v>
      </c>
      <c r="E3801" s="37">
        <v>42.646299999999997</v>
      </c>
      <c r="F3801" s="54">
        <v>19.9691197</v>
      </c>
      <c r="G3801" s="54">
        <f>IF(ISNUMBER(F3801),E3801*F3801,"")</f>
        <v>851.60906946210991</v>
      </c>
      <c r="H3801" s="73"/>
      <c r="I3801" s="74"/>
      <c r="J3801" s="155">
        <v>0</v>
      </c>
    </row>
    <row r="3802" spans="1:10" ht="26.25" hidden="1" thickBot="1" x14ac:dyDescent="0.3">
      <c r="A3802" s="181"/>
      <c r="B3802" s="202"/>
      <c r="C3802" s="36" t="s">
        <v>1210</v>
      </c>
      <c r="D3802" s="36" t="s">
        <v>122</v>
      </c>
      <c r="E3802" s="37">
        <v>1.2</v>
      </c>
      <c r="F3802" s="54">
        <v>407.92278979544994</v>
      </c>
      <c r="G3802" s="54">
        <f>IF(ISNUMBER(F3802),E3802*F3802,"")</f>
        <v>489.50734775453992</v>
      </c>
      <c r="H3802" s="73"/>
      <c r="I3802" s="74"/>
      <c r="J3802" s="155">
        <v>0</v>
      </c>
    </row>
    <row r="3803" spans="1:10" ht="15.75" hidden="1" thickBot="1" x14ac:dyDescent="0.3">
      <c r="A3803" s="182"/>
      <c r="B3803" s="188"/>
      <c r="C3803" s="55"/>
      <c r="D3803" s="55"/>
      <c r="E3803" s="66"/>
      <c r="F3803" s="76" t="s">
        <v>558</v>
      </c>
      <c r="G3803" s="76" t="str">
        <f>IF(ISNUMBER(F3803),E3803*F3803,"")</f>
        <v/>
      </c>
      <c r="H3803" s="77"/>
      <c r="I3803" s="74"/>
      <c r="J3803" s="155">
        <v>0</v>
      </c>
    </row>
    <row r="3804" spans="1:10" ht="15.75" hidden="1" thickBot="1" x14ac:dyDescent="0.3">
      <c r="A3804" s="180" t="s">
        <v>1211</v>
      </c>
      <c r="B3804" s="186" t="str">
        <f>INDEX(Orçamentária!A:B,MATCH(Composições!A3804,Orçamentária!A:A,0),2)</f>
        <v>Eletroduto PEAD 3”</v>
      </c>
      <c r="C3804" s="41"/>
      <c r="D3804" s="26" t="str">
        <f>TRIM(INDEX(Orçamentária!C:C,MATCH(Composições!A3804,Orçamentária!A:A,0),1))</f>
        <v>m</v>
      </c>
      <c r="E3804" s="27"/>
      <c r="F3804" s="49" t="s">
        <v>558</v>
      </c>
      <c r="G3804" s="28" t="str">
        <f>IF(ISNUMBER(F3804),E3804*F3804,"")</f>
        <v/>
      </c>
      <c r="H3804" s="29"/>
      <c r="I3804" s="30"/>
      <c r="J3804" s="155">
        <v>0</v>
      </c>
    </row>
    <row r="3805" spans="1:10" ht="15.75" hidden="1" thickBot="1" x14ac:dyDescent="0.3">
      <c r="A3805" s="181"/>
      <c r="B3805" s="202"/>
      <c r="C3805" s="32"/>
      <c r="D3805" s="32"/>
      <c r="E3805" s="33"/>
      <c r="F3805" s="54" t="s">
        <v>558</v>
      </c>
      <c r="G3805" s="54" t="str">
        <f>IF(ISNUMBER(F3805),E3805*F3805,"")</f>
        <v/>
      </c>
      <c r="H3805" s="73"/>
      <c r="I3805" s="74"/>
      <c r="J3805" s="155">
        <v>0</v>
      </c>
    </row>
    <row r="3806" spans="1:10" ht="39" hidden="1" thickBot="1" x14ac:dyDescent="0.3">
      <c r="A3806" s="181"/>
      <c r="B3806" s="202"/>
      <c r="C3806" s="36" t="s">
        <v>1212</v>
      </c>
      <c r="D3806" s="36" t="s">
        <v>513</v>
      </c>
      <c r="E3806" s="37">
        <v>1.1000000000000001</v>
      </c>
      <c r="F3806" s="54">
        <v>9.0250000000000004</v>
      </c>
      <c r="G3806" s="54">
        <f>IF(ISNUMBER(F3806),E3806*F3806,"")</f>
        <v>9.927500000000002</v>
      </c>
      <c r="H3806" s="39">
        <f>SUM(G3806:G3808)</f>
        <v>17.904308</v>
      </c>
      <c r="I3806" s="40"/>
      <c r="J3806" s="155">
        <v>0</v>
      </c>
    </row>
    <row r="3807" spans="1:10" ht="15.75" hidden="1" thickBot="1" x14ac:dyDescent="0.3">
      <c r="A3807" s="181"/>
      <c r="B3807" s="202"/>
      <c r="C3807" s="36" t="s">
        <v>1213</v>
      </c>
      <c r="D3807" s="36" t="s">
        <v>742</v>
      </c>
      <c r="E3807" s="37">
        <v>0.19600000000000001</v>
      </c>
      <c r="F3807" s="54">
        <v>17.802999999999997</v>
      </c>
      <c r="G3807" s="54">
        <f>IF(ISNUMBER(F3807),E3807*F3807,"")</f>
        <v>3.4893879999999995</v>
      </c>
      <c r="H3807" s="73"/>
      <c r="I3807" s="74"/>
      <c r="J3807" s="155">
        <v>0</v>
      </c>
    </row>
    <row r="3808" spans="1:10" ht="15.75" hidden="1" thickBot="1" x14ac:dyDescent="0.3">
      <c r="A3808" s="181"/>
      <c r="B3808" s="202"/>
      <c r="C3808" s="36" t="s">
        <v>1214</v>
      </c>
      <c r="D3808" s="36" t="s">
        <v>742</v>
      </c>
      <c r="E3808" s="37">
        <v>0.19600000000000001</v>
      </c>
      <c r="F3808" s="54">
        <v>22.895</v>
      </c>
      <c r="G3808" s="54">
        <f>IF(ISNUMBER(F3808),E3808*F3808,"")</f>
        <v>4.4874200000000002</v>
      </c>
      <c r="H3808" s="73"/>
      <c r="I3808" s="74"/>
      <c r="J3808" s="155">
        <v>0</v>
      </c>
    </row>
    <row r="3809" spans="1:10" ht="15.75" hidden="1" thickBot="1" x14ac:dyDescent="0.3">
      <c r="A3809" s="181"/>
      <c r="B3809" s="202"/>
      <c r="C3809" s="55"/>
      <c r="D3809" s="55"/>
      <c r="E3809" s="66"/>
      <c r="F3809" s="76" t="s">
        <v>558</v>
      </c>
      <c r="G3809" s="76" t="str">
        <f>IF(ISNUMBER(F3809),E3809*F3809,"")</f>
        <v/>
      </c>
      <c r="H3809" s="77"/>
      <c r="I3809" s="74"/>
      <c r="J3809" s="155">
        <v>0</v>
      </c>
    </row>
    <row r="3810" spans="1:10" ht="15.75" hidden="1" thickBot="1" x14ac:dyDescent="0.3">
      <c r="A3810" s="180" t="s">
        <v>1215</v>
      </c>
      <c r="B3810" s="186" t="str">
        <f>INDEX(Orçamentária!A:B,MATCH(Composições!A3810,Orçamentária!A:A,0),2)</f>
        <v>Eletroduto de aço galvanizado de 3”</v>
      </c>
      <c r="C3810" s="41"/>
      <c r="D3810" s="26" t="str">
        <f>TRIM(INDEX(Orçamentária!C:C,MATCH(Composições!A3810,Orçamentária!A:A,0),1))</f>
        <v>m</v>
      </c>
      <c r="E3810" s="27"/>
      <c r="F3810" s="49" t="s">
        <v>558</v>
      </c>
      <c r="G3810" s="28" t="str">
        <f>IF(ISNUMBER(F3810),E3810*F3810,"")</f>
        <v/>
      </c>
      <c r="H3810" s="29"/>
      <c r="I3810" s="30"/>
      <c r="J3810" s="155">
        <v>0</v>
      </c>
    </row>
    <row r="3811" spans="1:10" ht="15.75" hidden="1" thickBot="1" x14ac:dyDescent="0.3">
      <c r="A3811" s="181"/>
      <c r="B3811" s="202"/>
      <c r="C3811" s="32"/>
      <c r="D3811" s="32"/>
      <c r="E3811" s="33"/>
      <c r="F3811" s="54" t="s">
        <v>558</v>
      </c>
      <c r="G3811" s="54" t="str">
        <f>IF(ISNUMBER(F3811),E3811*F3811,"")</f>
        <v/>
      </c>
      <c r="H3811" s="73"/>
      <c r="I3811" s="74"/>
      <c r="J3811" s="155">
        <v>0</v>
      </c>
    </row>
    <row r="3812" spans="1:10" ht="15.75" hidden="1" thickBot="1" x14ac:dyDescent="0.3">
      <c r="A3812" s="181"/>
      <c r="B3812" s="202"/>
      <c r="C3812" s="36" t="s">
        <v>1216</v>
      </c>
      <c r="D3812" s="36" t="s">
        <v>93</v>
      </c>
      <c r="E3812" s="37">
        <v>1.05</v>
      </c>
      <c r="F3812" s="54">
        <v>0</v>
      </c>
      <c r="G3812" s="54">
        <f>IF(ISNUMBER(F3812),E3812*F3812,"")</f>
        <v>0</v>
      </c>
      <c r="H3812" s="39">
        <f>SUM(G3812:G3814)</f>
        <v>40.697999999999993</v>
      </c>
      <c r="I3812" s="40"/>
      <c r="J3812" s="155">
        <v>0</v>
      </c>
    </row>
    <row r="3813" spans="1:10" ht="15.75" hidden="1" thickBot="1" x14ac:dyDescent="0.3">
      <c r="A3813" s="181"/>
      <c r="B3813" s="202"/>
      <c r="C3813" s="36" t="s">
        <v>1213</v>
      </c>
      <c r="D3813" s="36" t="s">
        <v>742</v>
      </c>
      <c r="E3813" s="37">
        <v>1</v>
      </c>
      <c r="F3813" s="54">
        <v>17.802999999999997</v>
      </c>
      <c r="G3813" s="54">
        <f>IF(ISNUMBER(F3813),E3813*F3813,"")</f>
        <v>17.802999999999997</v>
      </c>
      <c r="H3813" s="73"/>
      <c r="I3813" s="74"/>
      <c r="J3813" s="155">
        <v>0</v>
      </c>
    </row>
    <row r="3814" spans="1:10" ht="15.75" hidden="1" thickBot="1" x14ac:dyDescent="0.3">
      <c r="A3814" s="181"/>
      <c r="B3814" s="202"/>
      <c r="C3814" s="36" t="s">
        <v>1214</v>
      </c>
      <c r="D3814" s="36" t="s">
        <v>742</v>
      </c>
      <c r="E3814" s="37">
        <v>1</v>
      </c>
      <c r="F3814" s="54">
        <v>22.895</v>
      </c>
      <c r="G3814" s="54">
        <f>IF(ISNUMBER(F3814),E3814*F3814,"")</f>
        <v>22.895</v>
      </c>
      <c r="H3814" s="73"/>
      <c r="I3814" s="74"/>
      <c r="J3814" s="155">
        <v>0</v>
      </c>
    </row>
    <row r="3815" spans="1:10" ht="15.75" hidden="1" thickBot="1" x14ac:dyDescent="0.3">
      <c r="A3815" s="181"/>
      <c r="B3815" s="202"/>
      <c r="C3815" s="55"/>
      <c r="D3815" s="55"/>
      <c r="E3815" s="66"/>
      <c r="F3815" s="76" t="s">
        <v>558</v>
      </c>
      <c r="G3815" s="76" t="str">
        <f>IF(ISNUMBER(F3815),E3815*F3815,"")</f>
        <v/>
      </c>
      <c r="H3815" s="77"/>
      <c r="I3815" s="74"/>
      <c r="J3815" s="155">
        <v>0</v>
      </c>
    </row>
    <row r="3816" spans="1:10" ht="15.75" hidden="1" thickBot="1" x14ac:dyDescent="0.3">
      <c r="A3816" s="180" t="s">
        <v>1217</v>
      </c>
      <c r="B3816" s="186" t="str">
        <f>INDEX(Orçamentária!A:B,MATCH(Composições!A3816,Orçamentária!A:A,0),2)</f>
        <v>Grelha reta para ralo</v>
      </c>
      <c r="C3816" s="41"/>
      <c r="D3816" s="26" t="str">
        <f>TRIM(INDEX(Orçamentária!C:C,MATCH(Composições!A3816,Orçamentária!A:A,0),1))</f>
        <v>m</v>
      </c>
      <c r="E3816" s="27"/>
      <c r="F3816" s="49" t="s">
        <v>558</v>
      </c>
      <c r="G3816" s="28" t="str">
        <f>IF(ISNUMBER(F3816),E3816*F3816,"")</f>
        <v/>
      </c>
      <c r="H3816" s="29"/>
      <c r="I3816" s="30"/>
      <c r="J3816" s="155">
        <v>0</v>
      </c>
    </row>
    <row r="3817" spans="1:10" ht="15.75" hidden="1" thickBot="1" x14ac:dyDescent="0.3">
      <c r="A3817" s="181"/>
      <c r="B3817" s="202"/>
      <c r="C3817" s="32"/>
      <c r="D3817" s="32"/>
      <c r="E3817" s="33"/>
      <c r="F3817" s="54" t="s">
        <v>558</v>
      </c>
      <c r="G3817" s="54" t="str">
        <f>IF(ISNUMBER(F3817),E3817*F3817,"")</f>
        <v/>
      </c>
      <c r="H3817" s="73"/>
      <c r="I3817" s="74"/>
      <c r="J3817" s="155">
        <v>0</v>
      </c>
    </row>
    <row r="3818" spans="1:10" ht="26.25" hidden="1" thickBot="1" x14ac:dyDescent="0.3">
      <c r="A3818" s="181"/>
      <c r="B3818" s="202"/>
      <c r="C3818" s="36" t="s">
        <v>1218</v>
      </c>
      <c r="D3818" s="36" t="s">
        <v>93</v>
      </c>
      <c r="E3818" s="37">
        <v>1</v>
      </c>
      <c r="F3818" s="54">
        <v>0</v>
      </c>
      <c r="G3818" s="54">
        <f>IF(ISNUMBER(F3818),E3818*F3818,"")</f>
        <v>0</v>
      </c>
      <c r="H3818" s="39">
        <f>SUM(G3818:G3820)</f>
        <v>26.421115</v>
      </c>
      <c r="I3818" s="40"/>
      <c r="J3818" s="155">
        <v>0</v>
      </c>
    </row>
    <row r="3819" spans="1:10" ht="15.75" hidden="1" thickBot="1" x14ac:dyDescent="0.3">
      <c r="A3819" s="181"/>
      <c r="B3819" s="202"/>
      <c r="C3819" s="36" t="s">
        <v>750</v>
      </c>
      <c r="D3819" s="36" t="s">
        <v>742</v>
      </c>
      <c r="E3819" s="37">
        <v>0.67</v>
      </c>
      <c r="F3819" s="54">
        <v>22.704999999999998</v>
      </c>
      <c r="G3819" s="54">
        <f>IF(ISNUMBER(F3819),E3819*F3819,"")</f>
        <v>15.212349999999999</v>
      </c>
      <c r="H3819" s="73"/>
      <c r="I3819" s="74"/>
      <c r="J3819" s="155">
        <v>0</v>
      </c>
    </row>
    <row r="3820" spans="1:10" ht="15.75" hidden="1" thickBot="1" x14ac:dyDescent="0.3">
      <c r="A3820" s="181"/>
      <c r="B3820" s="202"/>
      <c r="C3820" s="36" t="s">
        <v>743</v>
      </c>
      <c r="D3820" s="36" t="s">
        <v>742</v>
      </c>
      <c r="E3820" s="37">
        <v>0.67</v>
      </c>
      <c r="F3820" s="54">
        <v>16.729499999999998</v>
      </c>
      <c r="G3820" s="54">
        <f>IF(ISNUMBER(F3820),E3820*F3820,"")</f>
        <v>11.208765</v>
      </c>
      <c r="H3820" s="73"/>
      <c r="I3820" s="74"/>
      <c r="J3820" s="155">
        <v>0</v>
      </c>
    </row>
    <row r="3821" spans="1:10" ht="15.75" hidden="1" thickBot="1" x14ac:dyDescent="0.3">
      <c r="A3821" s="181"/>
      <c r="B3821" s="202"/>
      <c r="C3821" s="55"/>
      <c r="D3821" s="55"/>
      <c r="E3821" s="66"/>
      <c r="F3821" s="76" t="s">
        <v>558</v>
      </c>
      <c r="G3821" s="76" t="str">
        <f>IF(ISNUMBER(F3821),E3821*F3821,"")</f>
        <v/>
      </c>
      <c r="H3821" s="77"/>
      <c r="I3821" s="74"/>
      <c r="J3821" s="155">
        <v>0</v>
      </c>
    </row>
    <row r="3822" spans="1:10" ht="15.75" hidden="1" thickBot="1" x14ac:dyDescent="0.3">
      <c r="A3822" s="180" t="s">
        <v>1219</v>
      </c>
      <c r="B3822" s="186" t="str">
        <f>INDEX(Orçamentária!A:B,MATCH(Composições!A3822,Orçamentária!A:A,0),2)</f>
        <v>Granito Vermelho Brasília para soleira e peitoril</v>
      </c>
      <c r="C3822" s="41"/>
      <c r="D3822" s="26" t="str">
        <f>TRIM(INDEX(Orçamentária!C:C,MATCH(Composições!A3822,Orçamentária!A:A,0),1))</f>
        <v>m2</v>
      </c>
      <c r="E3822" s="27"/>
      <c r="F3822" s="49" t="s">
        <v>558</v>
      </c>
      <c r="G3822" s="28" t="str">
        <f>IF(ISNUMBER(F3822),E3822*F3822,"")</f>
        <v/>
      </c>
      <c r="H3822" s="29"/>
      <c r="I3822" s="30"/>
      <c r="J3822" s="155">
        <v>0</v>
      </c>
    </row>
    <row r="3823" spans="1:10" ht="15.75" hidden="1" thickBot="1" x14ac:dyDescent="0.3">
      <c r="A3823" s="181"/>
      <c r="B3823" s="202"/>
      <c r="C3823" s="32"/>
      <c r="D3823" s="32"/>
      <c r="E3823" s="33"/>
      <c r="F3823" s="54" t="s">
        <v>558</v>
      </c>
      <c r="G3823" s="54" t="str">
        <f>IF(ISNUMBER(F3823),E3823*F3823,"")</f>
        <v/>
      </c>
      <c r="H3823" s="73"/>
      <c r="I3823" s="74"/>
      <c r="J3823" s="155">
        <v>0</v>
      </c>
    </row>
    <row r="3824" spans="1:10" ht="26.25" hidden="1" thickBot="1" x14ac:dyDescent="0.3">
      <c r="A3824" s="181"/>
      <c r="B3824" s="202"/>
      <c r="C3824" s="36" t="s">
        <v>1220</v>
      </c>
      <c r="D3824" s="36" t="s">
        <v>93</v>
      </c>
      <c r="E3824" s="37">
        <f>ROUND(1/0.15,4)</f>
        <v>6.6666999999999996</v>
      </c>
      <c r="F3824" s="54" t="s">
        <v>558</v>
      </c>
      <c r="G3824" s="54" t="str">
        <f>IF(ISNUMBER(F3824),E3824*F3824,"")</f>
        <v/>
      </c>
      <c r="H3824" s="39">
        <f>SUM(G3824:G3827)</f>
        <v>110.69779715000001</v>
      </c>
      <c r="I3824" s="40"/>
      <c r="J3824" s="155">
        <v>0</v>
      </c>
    </row>
    <row r="3825" spans="1:10" ht="15.75" hidden="1" thickBot="1" x14ac:dyDescent="0.3">
      <c r="A3825" s="181"/>
      <c r="B3825" s="202"/>
      <c r="C3825" s="36" t="s">
        <v>3619</v>
      </c>
      <c r="D3825" s="36" t="s">
        <v>42</v>
      </c>
      <c r="E3825" s="37">
        <f>1.29/0.15</f>
        <v>8.6000000000000014</v>
      </c>
      <c r="F3825" s="54">
        <v>1.3109999999999999</v>
      </c>
      <c r="G3825" s="54">
        <f>IF(ISNUMBER(F3825),E3825*F3825,"")</f>
        <v>11.274600000000001</v>
      </c>
      <c r="H3825" s="73"/>
      <c r="I3825" s="74"/>
      <c r="J3825" s="155">
        <v>0</v>
      </c>
    </row>
    <row r="3826" spans="1:10" ht="15.75" hidden="1" thickBot="1" x14ac:dyDescent="0.3">
      <c r="A3826" s="181"/>
      <c r="B3826" s="202"/>
      <c r="C3826" s="36" t="s">
        <v>54</v>
      </c>
      <c r="D3826" s="36" t="s">
        <v>12</v>
      </c>
      <c r="E3826" s="37">
        <f>ROUND(0.547/0.15,4)</f>
        <v>3.6467000000000001</v>
      </c>
      <c r="F3826" s="54">
        <v>18.9145</v>
      </c>
      <c r="G3826" s="54">
        <f>IF(ISNUMBER(F3826),E3826*F3826,"")</f>
        <v>68.975507149999999</v>
      </c>
      <c r="H3826" s="73"/>
      <c r="I3826" s="74"/>
      <c r="J3826" s="155">
        <v>0</v>
      </c>
    </row>
    <row r="3827" spans="1:10" ht="15.75" hidden="1" thickBot="1" x14ac:dyDescent="0.3">
      <c r="A3827" s="181"/>
      <c r="B3827" s="202"/>
      <c r="C3827" s="36" t="s">
        <v>23</v>
      </c>
      <c r="D3827" s="36" t="s">
        <v>12</v>
      </c>
      <c r="E3827" s="37">
        <f>0.273/0.15</f>
        <v>1.8200000000000003</v>
      </c>
      <c r="F3827" s="54">
        <v>16.729499999999998</v>
      </c>
      <c r="G3827" s="54">
        <f>IF(ISNUMBER(F3827),E3827*F3827,"")</f>
        <v>30.447690000000001</v>
      </c>
      <c r="H3827" s="73"/>
      <c r="I3827" s="74"/>
      <c r="J3827" s="155">
        <v>0</v>
      </c>
    </row>
    <row r="3828" spans="1:10" ht="15.75" hidden="1" thickBot="1" x14ac:dyDescent="0.3">
      <c r="A3828" s="181"/>
      <c r="B3828" s="202"/>
      <c r="C3828" s="36"/>
      <c r="D3828" s="36"/>
      <c r="E3828" s="37"/>
      <c r="F3828" s="54" t="s">
        <v>558</v>
      </c>
      <c r="G3828" s="54" t="str">
        <f>IF(ISNUMBER(F3828),E3828*F3828,"")</f>
        <v/>
      </c>
      <c r="H3828" s="73"/>
      <c r="I3828" s="74"/>
      <c r="J3828" s="155">
        <v>0</v>
      </c>
    </row>
    <row r="3829" spans="1:10" ht="15.75" hidden="1" thickBot="1" x14ac:dyDescent="0.3">
      <c r="A3829" s="180" t="s">
        <v>1221</v>
      </c>
      <c r="B3829" s="186" t="str">
        <f>INDEX(Orçamentária!A:B,MATCH(Composições!A3829,Orçamentária!A:A,0),2)</f>
        <v>Luminária LED redonda de embutir</v>
      </c>
      <c r="C3829" s="41"/>
      <c r="D3829" s="26" t="str">
        <f>TRIM(INDEX(Orçamentária!C:C,MATCH(Composições!A3829,Orçamentária!A:A,0),1))</f>
        <v>un</v>
      </c>
      <c r="E3829" s="27"/>
      <c r="F3829" s="49" t="s">
        <v>558</v>
      </c>
      <c r="G3829" s="28" t="str">
        <f>IF(ISNUMBER(F3829),E3829*F3829,"")</f>
        <v/>
      </c>
      <c r="H3829" s="29"/>
      <c r="I3829" s="30"/>
      <c r="J3829" s="155">
        <v>0</v>
      </c>
    </row>
    <row r="3830" spans="1:10" ht="15.75" hidden="1" thickBot="1" x14ac:dyDescent="0.3">
      <c r="A3830" s="181"/>
      <c r="B3830" s="202"/>
      <c r="C3830" s="32"/>
      <c r="D3830" s="32"/>
      <c r="E3830" s="33"/>
      <c r="F3830" s="54" t="s">
        <v>558</v>
      </c>
      <c r="G3830" s="54" t="str">
        <f>IF(ISNUMBER(F3830),E3830*F3830,"")</f>
        <v/>
      </c>
      <c r="H3830" s="73"/>
      <c r="I3830" s="74"/>
      <c r="J3830" s="155">
        <v>0</v>
      </c>
    </row>
    <row r="3831" spans="1:10" ht="39" hidden="1" thickBot="1" x14ac:dyDescent="0.3">
      <c r="A3831" s="181"/>
      <c r="B3831" s="202"/>
      <c r="C3831" s="36" t="s">
        <v>1222</v>
      </c>
      <c r="D3831" s="36" t="s">
        <v>147</v>
      </c>
      <c r="E3831" s="37">
        <v>1</v>
      </c>
      <c r="F3831" s="54" t="s">
        <v>558</v>
      </c>
      <c r="G3831" s="54" t="str">
        <f>IF(ISNUMBER(F3831),E3831*F3831,"")</f>
        <v/>
      </c>
      <c r="H3831" s="39">
        <f>SUM(G3831:G3836)</f>
        <v>10.764858499999999</v>
      </c>
      <c r="I3831" s="40"/>
      <c r="J3831" s="155">
        <v>0</v>
      </c>
    </row>
    <row r="3832" spans="1:10" ht="26.25" hidden="1" thickBot="1" x14ac:dyDescent="0.3">
      <c r="A3832" s="181"/>
      <c r="B3832" s="202"/>
      <c r="C3832" s="36" t="s">
        <v>575</v>
      </c>
      <c r="D3832" s="36" t="s">
        <v>93</v>
      </c>
      <c r="E3832" s="37">
        <v>1.5</v>
      </c>
      <c r="F3832" s="54" t="s">
        <v>558</v>
      </c>
      <c r="G3832" s="54" t="str">
        <f>IF(ISNUMBER(F3832),E3832*F3832,"")</f>
        <v/>
      </c>
      <c r="H3832" s="73"/>
      <c r="I3832" s="74"/>
      <c r="J3832" s="155">
        <v>0</v>
      </c>
    </row>
    <row r="3833" spans="1:10" ht="15.75" hidden="1" thickBot="1" x14ac:dyDescent="0.3">
      <c r="A3833" s="181"/>
      <c r="B3833" s="202"/>
      <c r="C3833" s="36" t="s">
        <v>576</v>
      </c>
      <c r="D3833" s="36" t="s">
        <v>147</v>
      </c>
      <c r="E3833" s="37">
        <v>1</v>
      </c>
      <c r="F3833" s="54" t="s">
        <v>558</v>
      </c>
      <c r="G3833" s="54" t="str">
        <f>IF(ISNUMBER(F3833),E3833*F3833,"")</f>
        <v/>
      </c>
      <c r="H3833" s="73"/>
      <c r="I3833" s="74"/>
      <c r="J3833" s="155">
        <v>0</v>
      </c>
    </row>
    <row r="3834" spans="1:10" ht="15.75" hidden="1" thickBot="1" x14ac:dyDescent="0.3">
      <c r="A3834" s="181"/>
      <c r="B3834" s="202"/>
      <c r="C3834" s="36" t="s">
        <v>577</v>
      </c>
      <c r="D3834" s="36" t="s">
        <v>147</v>
      </c>
      <c r="E3834" s="37">
        <v>1</v>
      </c>
      <c r="F3834" s="54" t="s">
        <v>558</v>
      </c>
      <c r="G3834" s="54" t="str">
        <f>IF(ISNUMBER(F3834),E3834*F3834,"")</f>
        <v/>
      </c>
      <c r="H3834" s="73"/>
      <c r="I3834" s="74"/>
      <c r="J3834" s="155">
        <v>0</v>
      </c>
    </row>
    <row r="3835" spans="1:10" ht="15.75" hidden="1" thickBot="1" x14ac:dyDescent="0.3">
      <c r="A3835" s="181"/>
      <c r="B3835" s="202"/>
      <c r="C3835" s="36" t="s">
        <v>74</v>
      </c>
      <c r="D3835" s="36" t="s">
        <v>12</v>
      </c>
      <c r="E3835" s="37">
        <v>0.14799999999999999</v>
      </c>
      <c r="F3835" s="54">
        <v>17.802999999999997</v>
      </c>
      <c r="G3835" s="54">
        <f>IF(ISNUMBER(F3835),E3835*F3835,"")</f>
        <v>2.6348439999999993</v>
      </c>
      <c r="H3835" s="73"/>
      <c r="I3835" s="74"/>
      <c r="J3835" s="155">
        <v>0</v>
      </c>
    </row>
    <row r="3836" spans="1:10" ht="15.75" hidden="1" thickBot="1" x14ac:dyDescent="0.3">
      <c r="A3836" s="181"/>
      <c r="B3836" s="202"/>
      <c r="C3836" s="36" t="s">
        <v>30</v>
      </c>
      <c r="D3836" s="36" t="s">
        <v>12</v>
      </c>
      <c r="E3836" s="37">
        <v>0.35510000000000003</v>
      </c>
      <c r="F3836" s="54">
        <v>22.895</v>
      </c>
      <c r="G3836" s="54">
        <f>IF(ISNUMBER(F3836),E3836*F3836,"")</f>
        <v>8.1300144999999997</v>
      </c>
      <c r="H3836" s="73"/>
      <c r="I3836" s="74"/>
      <c r="J3836" s="155">
        <v>0</v>
      </c>
    </row>
    <row r="3837" spans="1:10" ht="15.75" hidden="1" thickBot="1" x14ac:dyDescent="0.3">
      <c r="A3837" s="181"/>
      <c r="B3837" s="202"/>
      <c r="C3837" s="36"/>
      <c r="D3837" s="47"/>
      <c r="E3837" s="37"/>
      <c r="F3837" s="54" t="s">
        <v>558</v>
      </c>
      <c r="G3837" s="54" t="str">
        <f>IF(ISNUMBER(F3837),E3837*F3837,"")</f>
        <v/>
      </c>
      <c r="H3837" s="73"/>
      <c r="I3837" s="74"/>
      <c r="J3837" s="155">
        <v>0</v>
      </c>
    </row>
    <row r="3838" spans="1:10" ht="15.75" hidden="1" thickBot="1" x14ac:dyDescent="0.3">
      <c r="A3838" s="180" t="s">
        <v>1223</v>
      </c>
      <c r="B3838" s="186" t="str">
        <f>INDEX(Orçamentária!A:B,MATCH(Composições!A3838,Orçamentária!A:A,0),2)</f>
        <v>Piso tátil de borracha</v>
      </c>
      <c r="C3838" s="41"/>
      <c r="D3838" s="26" t="str">
        <f>TRIM(INDEX(Orçamentária!C:C,MATCH(Composições!A3838,Orçamentária!A:A,0),1))</f>
        <v>m2</v>
      </c>
      <c r="E3838" s="27"/>
      <c r="F3838" s="49" t="s">
        <v>558</v>
      </c>
      <c r="G3838" s="28" t="str">
        <f>IF(ISNUMBER(F3838),E3838*F3838,"")</f>
        <v/>
      </c>
      <c r="H3838" s="29"/>
      <c r="I3838" s="30"/>
      <c r="J3838" s="155">
        <v>0</v>
      </c>
    </row>
    <row r="3839" spans="1:10" ht="15.75" hidden="1" thickBot="1" x14ac:dyDescent="0.3">
      <c r="A3839" s="181"/>
      <c r="B3839" s="202"/>
      <c r="C3839" s="32"/>
      <c r="D3839" s="32"/>
      <c r="E3839" s="33"/>
      <c r="F3839" s="54" t="s">
        <v>558</v>
      </c>
      <c r="G3839" s="54" t="str">
        <f>IF(ISNUMBER(F3839),E3839*F3839,"")</f>
        <v/>
      </c>
      <c r="H3839" s="73"/>
      <c r="I3839" s="74"/>
      <c r="J3839" s="155">
        <v>0</v>
      </c>
    </row>
    <row r="3840" spans="1:10" ht="15.75" hidden="1" thickBot="1" x14ac:dyDescent="0.3">
      <c r="A3840" s="181"/>
      <c r="B3840" s="202"/>
      <c r="C3840" s="36" t="s">
        <v>298</v>
      </c>
      <c r="D3840" s="36" t="s">
        <v>938</v>
      </c>
      <c r="E3840" s="37">
        <v>9.5000000000000001E-2</v>
      </c>
      <c r="F3840" s="54">
        <v>25.478999999999999</v>
      </c>
      <c r="G3840" s="54">
        <f>IF(ISNUMBER(F3840),E3840*F3840,"")</f>
        <v>2.4205049999999999</v>
      </c>
      <c r="H3840" s="39">
        <f>SUM(G3840:G3843)</f>
        <v>25.688688749999997</v>
      </c>
      <c r="I3840" s="40"/>
      <c r="J3840" s="155">
        <v>0</v>
      </c>
    </row>
    <row r="3841" spans="1:10" ht="26.25" hidden="1" thickBot="1" x14ac:dyDescent="0.3">
      <c r="A3841" s="181"/>
      <c r="B3841" s="202"/>
      <c r="C3841" s="36" t="s">
        <v>1224</v>
      </c>
      <c r="D3841" s="36" t="s">
        <v>1034</v>
      </c>
      <c r="E3841" s="37">
        <f>1*0.25*0.25</f>
        <v>6.25E-2</v>
      </c>
      <c r="F3841" s="54">
        <v>242.67749999999998</v>
      </c>
      <c r="G3841" s="54">
        <f>IF(ISNUMBER(F3841),E3841*F3841,"")</f>
        <v>15.167343749999999</v>
      </c>
      <c r="H3841" s="73"/>
      <c r="I3841" s="74"/>
      <c r="J3841" s="155">
        <v>0</v>
      </c>
    </row>
    <row r="3842" spans="1:10" ht="15.75" hidden="1" thickBot="1" x14ac:dyDescent="0.3">
      <c r="A3842" s="181"/>
      <c r="B3842" s="202"/>
      <c r="C3842" s="36" t="s">
        <v>750</v>
      </c>
      <c r="D3842" s="36" t="s">
        <v>742</v>
      </c>
      <c r="E3842" s="37">
        <v>0.26100000000000001</v>
      </c>
      <c r="F3842" s="54">
        <v>22.704999999999998</v>
      </c>
      <c r="G3842" s="54">
        <f>IF(ISNUMBER(F3842),E3842*F3842,"")</f>
        <v>5.926005</v>
      </c>
      <c r="H3842" s="73"/>
      <c r="I3842" s="74"/>
      <c r="J3842" s="155">
        <v>0</v>
      </c>
    </row>
    <row r="3843" spans="1:10" ht="15.75" hidden="1" thickBot="1" x14ac:dyDescent="0.3">
      <c r="A3843" s="181"/>
      <c r="B3843" s="202"/>
      <c r="C3843" s="36" t="s">
        <v>743</v>
      </c>
      <c r="D3843" s="36" t="s">
        <v>742</v>
      </c>
      <c r="E3843" s="37">
        <v>0.13</v>
      </c>
      <c r="F3843" s="54">
        <v>16.729499999999998</v>
      </c>
      <c r="G3843" s="54">
        <f>IF(ISNUMBER(F3843),E3843*F3843,"")</f>
        <v>2.1748349999999999</v>
      </c>
      <c r="H3843" s="73"/>
      <c r="I3843" s="74"/>
      <c r="J3843" s="155">
        <v>0</v>
      </c>
    </row>
    <row r="3844" spans="1:10" ht="15.75" hidden="1" thickBot="1" x14ac:dyDescent="0.3">
      <c r="A3844" s="181"/>
      <c r="B3844" s="202"/>
      <c r="C3844" s="55"/>
      <c r="D3844" s="55"/>
      <c r="E3844" s="66"/>
      <c r="F3844" s="76" t="s">
        <v>558</v>
      </c>
      <c r="G3844" s="76" t="str">
        <f>IF(ISNUMBER(F3844),E3844*F3844,"")</f>
        <v/>
      </c>
      <c r="H3844" s="77"/>
      <c r="I3844" s="74"/>
      <c r="J3844" s="155">
        <v>0</v>
      </c>
    </row>
    <row r="3845" spans="1:10" ht="15.75" hidden="1" thickBot="1" x14ac:dyDescent="0.3">
      <c r="A3845" s="180" t="s">
        <v>1225</v>
      </c>
      <c r="B3845" s="186" t="str">
        <f>INDEX(Orçamentária!A:B,MATCH(Composições!A3845,Orçamentária!A:A,0),2)</f>
        <v>Granito Vermelho Brasília 20 mm para divisória</v>
      </c>
      <c r="C3845" s="41"/>
      <c r="D3845" s="26" t="str">
        <f>TRIM(INDEX(Orçamentária!C:C,MATCH(Composições!A3845,Orçamentária!A:A,0),1))</f>
        <v>m2</v>
      </c>
      <c r="E3845" s="27"/>
      <c r="F3845" s="49" t="s">
        <v>558</v>
      </c>
      <c r="G3845" s="28" t="str">
        <f>IF(ISNUMBER(F3845),E3845*F3845,"")</f>
        <v/>
      </c>
      <c r="H3845" s="29"/>
      <c r="I3845" s="30"/>
      <c r="J3845" s="155">
        <v>0</v>
      </c>
    </row>
    <row r="3846" spans="1:10" ht="15.75" hidden="1" thickBot="1" x14ac:dyDescent="0.3">
      <c r="A3846" s="181"/>
      <c r="B3846" s="202"/>
      <c r="C3846" s="32"/>
      <c r="D3846" s="32"/>
      <c r="E3846" s="33"/>
      <c r="F3846" s="54" t="s">
        <v>558</v>
      </c>
      <c r="G3846" s="54" t="str">
        <f>IF(ISNUMBER(F3846),E3846*F3846,"")</f>
        <v/>
      </c>
      <c r="H3846" s="73"/>
      <c r="I3846" s="74"/>
      <c r="J3846" s="155">
        <v>0</v>
      </c>
    </row>
    <row r="3847" spans="1:10" ht="26.25" hidden="1" thickBot="1" x14ac:dyDescent="0.3">
      <c r="A3847" s="181"/>
      <c r="B3847" s="202"/>
      <c r="C3847" s="36" t="s">
        <v>815</v>
      </c>
      <c r="D3847" s="36" t="s">
        <v>938</v>
      </c>
      <c r="E3847" s="37">
        <v>0.53</v>
      </c>
      <c r="F3847" s="54">
        <v>40.403500000000001</v>
      </c>
      <c r="G3847" s="54">
        <f>IF(ISNUMBER(F3847),E3847*F3847,"")</f>
        <v>21.413855000000002</v>
      </c>
      <c r="H3847" s="39">
        <f>SUM(G3847:G3853)</f>
        <v>86.363872999999998</v>
      </c>
      <c r="I3847" s="40"/>
      <c r="J3847" s="155">
        <v>0</v>
      </c>
    </row>
    <row r="3848" spans="1:10" ht="39" hidden="1" thickBot="1" x14ac:dyDescent="0.3">
      <c r="A3848" s="181"/>
      <c r="B3848" s="202"/>
      <c r="C3848" s="36" t="s">
        <v>6492</v>
      </c>
      <c r="D3848" s="36" t="s">
        <v>1034</v>
      </c>
      <c r="E3848" s="37">
        <v>1.05</v>
      </c>
      <c r="F3848" s="54" t="s">
        <v>558</v>
      </c>
      <c r="G3848" s="54" t="str">
        <f>IF(ISNUMBER(F3848),E3848*F3848,"")</f>
        <v/>
      </c>
      <c r="H3848" s="73"/>
      <c r="I3848" s="74"/>
      <c r="J3848" s="155">
        <v>0</v>
      </c>
    </row>
    <row r="3849" spans="1:10" ht="15.75" hidden="1" thickBot="1" x14ac:dyDescent="0.3">
      <c r="A3849" s="181"/>
      <c r="B3849" s="202"/>
      <c r="C3849" s="36" t="s">
        <v>3599</v>
      </c>
      <c r="D3849" s="36" t="s">
        <v>938</v>
      </c>
      <c r="E3849" s="37">
        <v>0.97</v>
      </c>
      <c r="F3849" s="54">
        <v>1.5009999999999999</v>
      </c>
      <c r="G3849" s="54">
        <f>IF(ISNUMBER(F3849),E3849*F3849,"")</f>
        <v>1.4559699999999998</v>
      </c>
      <c r="H3849" s="73"/>
      <c r="I3849" s="74"/>
      <c r="J3849" s="155">
        <v>0</v>
      </c>
    </row>
    <row r="3850" spans="1:10" ht="15.75" hidden="1" thickBot="1" x14ac:dyDescent="0.3">
      <c r="A3850" s="181"/>
      <c r="B3850" s="202"/>
      <c r="C3850" s="36" t="s">
        <v>3311</v>
      </c>
      <c r="D3850" s="36" t="s">
        <v>742</v>
      </c>
      <c r="E3850" s="37">
        <v>1.405</v>
      </c>
      <c r="F3850" s="54">
        <v>18.9145</v>
      </c>
      <c r="G3850" s="54">
        <f>IF(ISNUMBER(F3850),E3850*F3850,"")</f>
        <v>26.574872500000001</v>
      </c>
      <c r="H3850" s="73"/>
      <c r="I3850" s="74"/>
      <c r="J3850" s="155">
        <v>0</v>
      </c>
    </row>
    <row r="3851" spans="1:10" ht="15.75" hidden="1" thickBot="1" x14ac:dyDescent="0.3">
      <c r="A3851" s="181"/>
      <c r="B3851" s="202"/>
      <c r="C3851" s="36" t="s">
        <v>743</v>
      </c>
      <c r="D3851" s="36" t="s">
        <v>742</v>
      </c>
      <c r="E3851" s="37">
        <v>0.70199999999999996</v>
      </c>
      <c r="F3851" s="54">
        <v>16.729499999999998</v>
      </c>
      <c r="G3851" s="54">
        <f>IF(ISNUMBER(F3851),E3851*F3851,"")</f>
        <v>11.744108999999998</v>
      </c>
      <c r="H3851" s="73"/>
      <c r="I3851" s="74"/>
      <c r="J3851" s="155">
        <v>0</v>
      </c>
    </row>
    <row r="3852" spans="1:10" ht="26.25" hidden="1" thickBot="1" x14ac:dyDescent="0.3">
      <c r="A3852" s="181"/>
      <c r="B3852" s="202"/>
      <c r="C3852" s="36" t="s">
        <v>1207</v>
      </c>
      <c r="D3852" s="36" t="s">
        <v>982</v>
      </c>
      <c r="E3852" s="37">
        <v>8.8999999999999996E-2</v>
      </c>
      <c r="F3852" s="54">
        <v>19.9025</v>
      </c>
      <c r="G3852" s="54">
        <f>IF(ISNUMBER(F3852),E3852*F3852,"")</f>
        <v>1.7713224999999999</v>
      </c>
      <c r="H3852" s="73"/>
      <c r="I3852" s="74"/>
      <c r="J3852" s="155">
        <v>0</v>
      </c>
    </row>
    <row r="3853" spans="1:10" ht="26.25" hidden="1" thickBot="1" x14ac:dyDescent="0.3">
      <c r="A3853" s="181"/>
      <c r="B3853" s="202"/>
      <c r="C3853" s="36" t="s">
        <v>1208</v>
      </c>
      <c r="D3853" s="36" t="s">
        <v>984</v>
      </c>
      <c r="E3853" s="37">
        <v>1.3160000000000001</v>
      </c>
      <c r="F3853" s="54">
        <v>17.783999999999999</v>
      </c>
      <c r="G3853" s="54">
        <f>IF(ISNUMBER(F3853),E3853*F3853,"")</f>
        <v>23.403744</v>
      </c>
      <c r="H3853" s="73"/>
      <c r="I3853" s="74"/>
      <c r="J3853" s="155">
        <v>0</v>
      </c>
    </row>
    <row r="3854" spans="1:10" ht="15.75" hidden="1" thickBot="1" x14ac:dyDescent="0.3">
      <c r="A3854" s="181"/>
      <c r="B3854" s="202"/>
      <c r="C3854" s="36"/>
      <c r="D3854" s="36"/>
      <c r="E3854" s="37"/>
      <c r="F3854" s="54" t="s">
        <v>558</v>
      </c>
      <c r="G3854" s="54" t="str">
        <f>IF(ISNUMBER(F3854),E3854*F3854,"")</f>
        <v/>
      </c>
      <c r="H3854" s="73"/>
      <c r="I3854" s="74"/>
      <c r="J3854" s="155">
        <v>0</v>
      </c>
    </row>
    <row r="3855" spans="1:10" ht="15.75" hidden="1" thickBot="1" x14ac:dyDescent="0.3">
      <c r="A3855" s="180" t="s">
        <v>1226</v>
      </c>
      <c r="B3855" s="186" t="str">
        <f>INDEX(Orçamentária!A:B,MATCH(Composições!A3855,Orçamentária!A:A,0),2)</f>
        <v>Tampa em ferro fundido 20x20 cm</v>
      </c>
      <c r="C3855" s="41"/>
      <c r="D3855" s="26" t="str">
        <f>TRIM(INDEX(Orçamentária!C:C,MATCH(Composições!A3855,Orçamentária!A:A,0),1))</f>
        <v>un</v>
      </c>
      <c r="E3855" s="27"/>
      <c r="F3855" s="49" t="s">
        <v>558</v>
      </c>
      <c r="G3855" s="28" t="str">
        <f>IF(ISNUMBER(F3855),E3855*F3855,"")</f>
        <v/>
      </c>
      <c r="H3855" s="29"/>
      <c r="I3855" s="30"/>
      <c r="J3855" s="155">
        <v>0</v>
      </c>
    </row>
    <row r="3856" spans="1:10" ht="15.75" hidden="1" thickBot="1" x14ac:dyDescent="0.3">
      <c r="A3856" s="181"/>
      <c r="B3856" s="202"/>
      <c r="C3856" s="32"/>
      <c r="D3856" s="32"/>
      <c r="E3856" s="33"/>
      <c r="F3856" s="54" t="s">
        <v>558</v>
      </c>
      <c r="G3856" s="54" t="str">
        <f>IF(ISNUMBER(F3856),E3856*F3856,"")</f>
        <v/>
      </c>
      <c r="H3856" s="73"/>
      <c r="I3856" s="74"/>
      <c r="J3856" s="155">
        <v>0</v>
      </c>
    </row>
    <row r="3857" spans="1:10" ht="26.25" hidden="1" thickBot="1" x14ac:dyDescent="0.3">
      <c r="A3857" s="181"/>
      <c r="B3857" s="202"/>
      <c r="C3857" s="36" t="s">
        <v>1227</v>
      </c>
      <c r="D3857" s="47" t="s">
        <v>292</v>
      </c>
      <c r="E3857" s="37">
        <v>1</v>
      </c>
      <c r="F3857" s="54">
        <v>98.971000000000004</v>
      </c>
      <c r="G3857" s="54">
        <f>IF(ISNUMBER(F3857),E3857*F3857,"")</f>
        <v>98.971000000000004</v>
      </c>
      <c r="H3857" s="39">
        <f>SUM(G3857:G3860)</f>
        <v>137.13419988030739</v>
      </c>
      <c r="I3857" s="40"/>
      <c r="J3857" s="155">
        <v>0</v>
      </c>
    </row>
    <row r="3858" spans="1:10" ht="26.25" hidden="1" thickBot="1" x14ac:dyDescent="0.3">
      <c r="A3858" s="181"/>
      <c r="B3858" s="202"/>
      <c r="C3858" s="36" t="s">
        <v>3305</v>
      </c>
      <c r="D3858" s="47" t="s">
        <v>122</v>
      </c>
      <c r="E3858" s="37">
        <v>4.4000000000000003E-3</v>
      </c>
      <c r="F3858" s="54">
        <v>453.32971143350005</v>
      </c>
      <c r="G3858" s="54">
        <f>IF(ISNUMBER(F3858),E3858*F3858,"")</f>
        <v>1.9946507303074004</v>
      </c>
      <c r="H3858" s="73"/>
      <c r="I3858" s="74"/>
      <c r="J3858" s="155">
        <v>0</v>
      </c>
    </row>
    <row r="3859" spans="1:10" ht="15.75" hidden="1" thickBot="1" x14ac:dyDescent="0.3">
      <c r="A3859" s="181"/>
      <c r="B3859" s="202"/>
      <c r="C3859" s="36" t="s">
        <v>22</v>
      </c>
      <c r="D3859" s="36" t="s">
        <v>12</v>
      </c>
      <c r="E3859" s="37">
        <v>1.0088999999999999</v>
      </c>
      <c r="F3859" s="54">
        <v>22.704999999999998</v>
      </c>
      <c r="G3859" s="54">
        <f>IF(ISNUMBER(F3859),E3859*F3859,"")</f>
        <v>22.907074499999997</v>
      </c>
      <c r="H3859" s="73"/>
      <c r="I3859" s="74"/>
      <c r="J3859" s="155">
        <v>0</v>
      </c>
    </row>
    <row r="3860" spans="1:10" ht="15.75" hidden="1" thickBot="1" x14ac:dyDescent="0.3">
      <c r="A3860" s="181"/>
      <c r="B3860" s="202"/>
      <c r="C3860" s="36" t="s">
        <v>23</v>
      </c>
      <c r="D3860" s="36" t="s">
        <v>12</v>
      </c>
      <c r="E3860" s="37">
        <v>0.79269999999999996</v>
      </c>
      <c r="F3860" s="54">
        <v>16.729499999999998</v>
      </c>
      <c r="G3860" s="54">
        <f>IF(ISNUMBER(F3860),E3860*F3860,"")</f>
        <v>13.261474649999998</v>
      </c>
      <c r="H3860" s="73"/>
      <c r="I3860" s="74"/>
      <c r="J3860" s="155">
        <v>0</v>
      </c>
    </row>
    <row r="3861" spans="1:10" ht="15.75" hidden="1" thickBot="1" x14ac:dyDescent="0.3">
      <c r="A3861" s="181"/>
      <c r="B3861" s="202"/>
      <c r="C3861" s="55"/>
      <c r="D3861" s="55"/>
      <c r="E3861" s="66"/>
      <c r="F3861" s="76" t="s">
        <v>558</v>
      </c>
      <c r="G3861" s="76" t="str">
        <f>IF(ISNUMBER(F3861),E3861*F3861,"")</f>
        <v/>
      </c>
      <c r="H3861" s="77"/>
      <c r="I3861" s="74"/>
      <c r="J3861" s="155">
        <v>0</v>
      </c>
    </row>
    <row r="3862" spans="1:10" ht="15.75" hidden="1" thickBot="1" x14ac:dyDescent="0.3">
      <c r="A3862" s="180" t="s">
        <v>1228</v>
      </c>
      <c r="B3862" s="186" t="str">
        <f>INDEX(Orçamentária!A:B,MATCH(Composições!A3862,Orçamentária!A:A,0),2)</f>
        <v>Cerâmica para revestimento de superfícies internas ou externas – Linha GAIL</v>
      </c>
      <c r="C3862" s="41"/>
      <c r="D3862" s="26" t="str">
        <f>TRIM(INDEX(Orçamentária!C:C,MATCH(Composições!A3862,Orçamentária!A:A,0),1))</f>
        <v>m2</v>
      </c>
      <c r="E3862" s="27"/>
      <c r="F3862" s="49" t="s">
        <v>558</v>
      </c>
      <c r="G3862" s="28" t="str">
        <f>IF(ISNUMBER(F3862),E3862*F3862,"")</f>
        <v/>
      </c>
      <c r="H3862" s="29"/>
      <c r="I3862" s="30"/>
      <c r="J3862" s="155">
        <v>0</v>
      </c>
    </row>
    <row r="3863" spans="1:10" ht="15.75" hidden="1" thickBot="1" x14ac:dyDescent="0.3">
      <c r="A3863" s="181"/>
      <c r="B3863" s="202"/>
      <c r="C3863" s="32"/>
      <c r="D3863" s="32"/>
      <c r="E3863" s="33"/>
      <c r="F3863" s="54" t="s">
        <v>558</v>
      </c>
      <c r="G3863" s="54" t="str">
        <f>IF(ISNUMBER(F3863),E3863*F3863,"")</f>
        <v/>
      </c>
      <c r="H3863" s="73"/>
      <c r="I3863" s="74"/>
      <c r="J3863" s="155">
        <v>0</v>
      </c>
    </row>
    <row r="3864" spans="1:10" ht="26.25" hidden="1" thickBot="1" x14ac:dyDescent="0.3">
      <c r="A3864" s="181"/>
      <c r="B3864" s="202"/>
      <c r="C3864" s="36" t="s">
        <v>1229</v>
      </c>
      <c r="D3864" s="36" t="s">
        <v>95</v>
      </c>
      <c r="E3864" s="37">
        <v>1.08</v>
      </c>
      <c r="F3864" s="54" t="s">
        <v>558</v>
      </c>
      <c r="G3864" s="54" t="str">
        <f>IF(ISNUMBER(F3864),E3864*F3864,"")</f>
        <v/>
      </c>
      <c r="H3864" s="39">
        <f>SUM(G3864:G3868)</f>
        <v>26.350909999999999</v>
      </c>
      <c r="I3864" s="40"/>
      <c r="J3864" s="155">
        <v>0</v>
      </c>
    </row>
    <row r="3865" spans="1:10" ht="15.75" hidden="1" thickBot="1" x14ac:dyDescent="0.3">
      <c r="A3865" s="181"/>
      <c r="B3865" s="202"/>
      <c r="C3865" s="36" t="s">
        <v>3620</v>
      </c>
      <c r="D3865" s="36" t="s">
        <v>42</v>
      </c>
      <c r="E3865" s="37">
        <v>6.14</v>
      </c>
      <c r="F3865" s="54">
        <v>0.78849999999999998</v>
      </c>
      <c r="G3865" s="54">
        <f>IF(ISNUMBER(F3865),E3865*F3865,"")</f>
        <v>4.8413899999999996</v>
      </c>
      <c r="H3865" s="73"/>
      <c r="I3865" s="74"/>
      <c r="J3865" s="155">
        <v>0</v>
      </c>
    </row>
    <row r="3866" spans="1:10" ht="15.75" hidden="1" thickBot="1" x14ac:dyDescent="0.3">
      <c r="A3866" s="181"/>
      <c r="B3866" s="202"/>
      <c r="C3866" s="36" t="s">
        <v>3618</v>
      </c>
      <c r="D3866" s="36" t="s">
        <v>42</v>
      </c>
      <c r="E3866" s="37">
        <v>0.22</v>
      </c>
      <c r="F3866" s="54">
        <v>2.508</v>
      </c>
      <c r="G3866" s="54">
        <f>IF(ISNUMBER(F3866),E3866*F3866,"")</f>
        <v>0.55176000000000003</v>
      </c>
      <c r="H3866" s="73"/>
      <c r="I3866" s="74"/>
      <c r="J3866" s="155">
        <v>0</v>
      </c>
    </row>
    <row r="3867" spans="1:10" ht="15.75" hidden="1" thickBot="1" x14ac:dyDescent="0.3">
      <c r="A3867" s="181"/>
      <c r="B3867" s="202"/>
      <c r="C3867" s="36" t="s">
        <v>36</v>
      </c>
      <c r="D3867" s="36" t="s">
        <v>12</v>
      </c>
      <c r="E3867" s="37">
        <v>0.66</v>
      </c>
      <c r="F3867" s="54">
        <v>22.628999999999998</v>
      </c>
      <c r="G3867" s="54">
        <f>IF(ISNUMBER(F3867),E3867*F3867,"")</f>
        <v>14.935139999999999</v>
      </c>
      <c r="H3867" s="73"/>
      <c r="I3867" s="74"/>
      <c r="J3867" s="155">
        <v>0</v>
      </c>
    </row>
    <row r="3868" spans="1:10" ht="15.75" hidden="1" thickBot="1" x14ac:dyDescent="0.3">
      <c r="A3868" s="181"/>
      <c r="B3868" s="202"/>
      <c r="C3868" s="36" t="s">
        <v>23</v>
      </c>
      <c r="D3868" s="36" t="s">
        <v>12</v>
      </c>
      <c r="E3868" s="37">
        <v>0.36</v>
      </c>
      <c r="F3868" s="54">
        <v>16.729499999999998</v>
      </c>
      <c r="G3868" s="54">
        <f>IF(ISNUMBER(F3868),E3868*F3868,"")</f>
        <v>6.022619999999999</v>
      </c>
      <c r="H3868" s="73"/>
      <c r="I3868" s="74"/>
      <c r="J3868" s="155">
        <v>0</v>
      </c>
    </row>
    <row r="3869" spans="1:10" ht="15.75" hidden="1" thickBot="1" x14ac:dyDescent="0.3">
      <c r="A3869" s="181"/>
      <c r="B3869" s="202"/>
      <c r="C3869" s="36"/>
      <c r="D3869" s="47"/>
      <c r="E3869" s="37"/>
      <c r="F3869" s="54" t="s">
        <v>558</v>
      </c>
      <c r="G3869" s="54" t="str">
        <f>IF(ISNUMBER(F3869),E3869*F3869,"")</f>
        <v/>
      </c>
      <c r="H3869" s="73"/>
      <c r="I3869" s="74"/>
      <c r="J3869" s="155">
        <v>0</v>
      </c>
    </row>
    <row r="3870" spans="1:10" ht="15.75" hidden="1" thickBot="1" x14ac:dyDescent="0.3">
      <c r="A3870" s="180" t="s">
        <v>1230</v>
      </c>
      <c r="B3870" s="186" t="str">
        <f>INDEX(Orçamentária!A:B,MATCH(Composições!A3870,Orçamentária!A:A,0),2)</f>
        <v>Aterro de vala com areia média e compactação mecanizada</v>
      </c>
      <c r="C3870" s="41"/>
      <c r="D3870" s="26" t="str">
        <f>TRIM(INDEX(Orçamentária!C:C,MATCH(Composições!A3870,Orçamentária!A:A,0),1))</f>
        <v>m3</v>
      </c>
      <c r="E3870" s="27"/>
      <c r="F3870" s="49" t="s">
        <v>558</v>
      </c>
      <c r="G3870" s="28" t="str">
        <f>IF(ISNUMBER(F3870),E3870*F3870,"")</f>
        <v/>
      </c>
      <c r="H3870" s="29"/>
      <c r="I3870" s="30"/>
      <c r="J3870" s="155">
        <v>0</v>
      </c>
    </row>
    <row r="3871" spans="1:10" ht="15.75" hidden="1" thickBot="1" x14ac:dyDescent="0.3">
      <c r="A3871" s="181"/>
      <c r="B3871" s="202"/>
      <c r="C3871" s="32"/>
      <c r="D3871" s="32"/>
      <c r="E3871" s="33"/>
      <c r="F3871" s="54" t="s">
        <v>558</v>
      </c>
      <c r="G3871" s="54" t="str">
        <f>IF(ISNUMBER(F3871),E3871*F3871,"")</f>
        <v/>
      </c>
      <c r="H3871" s="73"/>
      <c r="I3871" s="74"/>
      <c r="J3871" s="155">
        <v>0</v>
      </c>
    </row>
    <row r="3872" spans="1:10" ht="26.25" hidden="1" thickBot="1" x14ac:dyDescent="0.3">
      <c r="A3872" s="181"/>
      <c r="B3872" s="202"/>
      <c r="C3872" s="36" t="s">
        <v>1231</v>
      </c>
      <c r="D3872" s="47" t="s">
        <v>122</v>
      </c>
      <c r="E3872" s="37">
        <v>1.25</v>
      </c>
      <c r="F3872" s="54">
        <v>100.035</v>
      </c>
      <c r="G3872" s="54">
        <f>IF(ISNUMBER(F3872),E3872*F3872,"")</f>
        <v>125.04374999999999</v>
      </c>
      <c r="H3872" s="39">
        <f>SUM(G3872:G3879)</f>
        <v>206.66441787499994</v>
      </c>
      <c r="I3872" s="40"/>
      <c r="J3872" s="155">
        <v>0</v>
      </c>
    </row>
    <row r="3873" spans="1:10" ht="51.75" hidden="1" thickBot="1" x14ac:dyDescent="0.3">
      <c r="A3873" s="181"/>
      <c r="B3873" s="202"/>
      <c r="C3873" s="36" t="s">
        <v>987</v>
      </c>
      <c r="D3873" s="47" t="s">
        <v>982</v>
      </c>
      <c r="E3873" s="37">
        <v>6.0000000000000001E-3</v>
      </c>
      <c r="F3873" s="54">
        <v>214.0445</v>
      </c>
      <c r="G3873" s="54">
        <f>IF(ISNUMBER(F3873),E3873*F3873,"")</f>
        <v>1.284267</v>
      </c>
      <c r="H3873" s="73"/>
      <c r="I3873" s="74"/>
      <c r="J3873" s="155">
        <v>0</v>
      </c>
    </row>
    <row r="3874" spans="1:10" ht="51.75" hidden="1" thickBot="1" x14ac:dyDescent="0.3">
      <c r="A3874" s="181"/>
      <c r="B3874" s="202"/>
      <c r="C3874" s="36" t="s">
        <v>988</v>
      </c>
      <c r="D3874" s="36" t="s">
        <v>984</v>
      </c>
      <c r="E3874" s="37">
        <v>3.0000000000000001E-3</v>
      </c>
      <c r="F3874" s="54">
        <v>39.424999999999997</v>
      </c>
      <c r="G3874" s="54">
        <f>IF(ISNUMBER(F3874),E3874*F3874,"")</f>
        <v>0.11827499999999999</v>
      </c>
      <c r="H3874" s="73"/>
      <c r="I3874" s="74"/>
      <c r="J3874" s="155">
        <v>0</v>
      </c>
    </row>
    <row r="3875" spans="1:10" ht="15.75" hidden="1" thickBot="1" x14ac:dyDescent="0.3">
      <c r="A3875" s="181"/>
      <c r="B3875" s="202"/>
      <c r="C3875" s="36" t="s">
        <v>743</v>
      </c>
      <c r="D3875" s="36" t="s">
        <v>742</v>
      </c>
      <c r="E3875" s="37">
        <v>0.65900000000000003</v>
      </c>
      <c r="F3875" s="54">
        <v>16.729499999999998</v>
      </c>
      <c r="G3875" s="54">
        <f>IF(ISNUMBER(F3875),E3875*F3875,"")</f>
        <v>11.0247405</v>
      </c>
      <c r="H3875" s="73"/>
      <c r="I3875" s="74"/>
      <c r="J3875" s="155">
        <v>0</v>
      </c>
    </row>
    <row r="3876" spans="1:10" ht="39" hidden="1" thickBot="1" x14ac:dyDescent="0.3">
      <c r="A3876" s="181"/>
      <c r="B3876" s="202"/>
      <c r="C3876" s="36" t="s">
        <v>981</v>
      </c>
      <c r="D3876" s="47" t="s">
        <v>982</v>
      </c>
      <c r="E3876" s="37">
        <v>0.27400000000000002</v>
      </c>
      <c r="F3876" s="54">
        <v>25.402999999999999</v>
      </c>
      <c r="G3876" s="54">
        <f>IF(ISNUMBER(F3876),E3876*F3876,"")</f>
        <v>6.9604220000000003</v>
      </c>
      <c r="H3876" s="73"/>
      <c r="I3876" s="74"/>
      <c r="J3876" s="155">
        <v>0</v>
      </c>
    </row>
    <row r="3877" spans="1:10" ht="39" hidden="1" thickBot="1" x14ac:dyDescent="0.3">
      <c r="A3877" s="181"/>
      <c r="B3877" s="202"/>
      <c r="C3877" s="36" t="s">
        <v>983</v>
      </c>
      <c r="D3877" s="47" t="s">
        <v>984</v>
      </c>
      <c r="E3877" s="37">
        <v>0.254</v>
      </c>
      <c r="F3877" s="54">
        <v>18.439499999999999</v>
      </c>
      <c r="G3877" s="54">
        <f>IF(ISNUMBER(F3877),E3877*F3877,"")</f>
        <v>4.6836329999999995</v>
      </c>
      <c r="H3877" s="73"/>
      <c r="I3877" s="74"/>
      <c r="J3877" s="155">
        <v>0</v>
      </c>
    </row>
    <row r="3878" spans="1:10" ht="51.75" hidden="1" thickBot="1" x14ac:dyDescent="0.3">
      <c r="A3878" s="181"/>
      <c r="B3878" s="202"/>
      <c r="C3878" s="36" t="s">
        <v>3617</v>
      </c>
      <c r="D3878" s="36" t="s">
        <v>110</v>
      </c>
      <c r="E3878" s="37">
        <f>1*E3872</f>
        <v>1.25</v>
      </c>
      <c r="F3878" s="34">
        <v>6.0418992999999999</v>
      </c>
      <c r="G3878" s="34">
        <f>IF(ISNUMBER(F3878),E3878*F3878,"")</f>
        <v>7.552374125</v>
      </c>
      <c r="H3878" s="35"/>
      <c r="I3878" s="31"/>
      <c r="J3878" s="155">
        <v>0</v>
      </c>
    </row>
    <row r="3879" spans="1:10" ht="39" hidden="1" thickBot="1" x14ac:dyDescent="0.3">
      <c r="A3879" s="181"/>
      <c r="B3879" s="202"/>
      <c r="C3879" s="36" t="s">
        <v>123</v>
      </c>
      <c r="D3879" s="47" t="s">
        <v>124</v>
      </c>
      <c r="E3879" s="37">
        <f>E3872*20</f>
        <v>25</v>
      </c>
      <c r="F3879" s="54">
        <v>1.9998782499999996</v>
      </c>
      <c r="G3879" s="54">
        <f>IF(ISNUMBER(F3879),E3879*F3879,"")</f>
        <v>49.99695624999999</v>
      </c>
      <c r="H3879" s="73"/>
      <c r="I3879" s="74"/>
      <c r="J3879" s="155">
        <v>0</v>
      </c>
    </row>
    <row r="3880" spans="1:10" ht="15.75" hidden="1" thickBot="1" x14ac:dyDescent="0.3">
      <c r="A3880" s="181"/>
      <c r="B3880" s="202"/>
      <c r="C3880" s="51"/>
      <c r="D3880" s="47"/>
      <c r="E3880" s="37"/>
      <c r="F3880" s="54" t="s">
        <v>558</v>
      </c>
      <c r="G3880" s="54" t="str">
        <f>IF(ISNUMBER(F3880),E3880*F3880,"")</f>
        <v/>
      </c>
      <c r="H3880" s="73"/>
      <c r="I3880" s="74"/>
      <c r="J3880" s="155">
        <v>0</v>
      </c>
    </row>
    <row r="3881" spans="1:10" ht="15.75" hidden="1" thickBot="1" x14ac:dyDescent="0.3">
      <c r="A3881" s="181"/>
      <c r="B3881" s="202"/>
      <c r="C3881" s="48" t="s">
        <v>794</v>
      </c>
      <c r="D3881" s="47"/>
      <c r="E3881" s="37"/>
      <c r="F3881" s="54" t="s">
        <v>558</v>
      </c>
      <c r="G3881" s="54" t="str">
        <f>IF(ISNUMBER(F3881),E3881*F3881,"")</f>
        <v/>
      </c>
      <c r="H3881" s="73"/>
      <c r="I3881" s="74"/>
      <c r="J3881" s="155">
        <v>0</v>
      </c>
    </row>
    <row r="3882" spans="1:10" ht="15.75" hidden="1" thickBot="1" x14ac:dyDescent="0.3">
      <c r="A3882" s="181"/>
      <c r="B3882" s="202"/>
      <c r="C3882" s="55"/>
      <c r="D3882" s="55"/>
      <c r="E3882" s="66"/>
      <c r="F3882" s="76" t="s">
        <v>558</v>
      </c>
      <c r="G3882" s="76" t="str">
        <f>IF(ISNUMBER(F3882),E3882*F3882,"")</f>
        <v/>
      </c>
      <c r="H3882" s="77"/>
      <c r="I3882" s="74"/>
      <c r="J3882" s="155">
        <v>0</v>
      </c>
    </row>
    <row r="3883" spans="1:10" ht="15.75" hidden="1" thickBot="1" x14ac:dyDescent="0.3">
      <c r="A3883" s="180" t="s">
        <v>1232</v>
      </c>
      <c r="B3883" s="186" t="str">
        <f>INDEX(Orçamentária!A:B,MATCH(Composições!A3883,Orçamentária!A:A,0),2)</f>
        <v>Guarda-corpo panorâmico</v>
      </c>
      <c r="C3883" s="41"/>
      <c r="D3883" s="26" t="str">
        <f>TRIM(INDEX(Orçamentária!C:C,MATCH(Composições!A3883,Orçamentária!A:A,0),1))</f>
        <v>m</v>
      </c>
      <c r="E3883" s="27"/>
      <c r="F3883" s="49" t="s">
        <v>558</v>
      </c>
      <c r="G3883" s="28" t="str">
        <f>IF(ISNUMBER(F3883),E3883*F3883,"")</f>
        <v/>
      </c>
      <c r="H3883" s="29"/>
      <c r="I3883" s="30"/>
      <c r="J3883" s="155">
        <v>0</v>
      </c>
    </row>
    <row r="3884" spans="1:10" ht="15.75" hidden="1" thickBot="1" x14ac:dyDescent="0.3">
      <c r="A3884" s="181"/>
      <c r="B3884" s="202"/>
      <c r="C3884" s="32"/>
      <c r="D3884" s="32"/>
      <c r="E3884" s="33"/>
      <c r="F3884" s="54" t="s">
        <v>558</v>
      </c>
      <c r="G3884" s="54" t="str">
        <f>IF(ISNUMBER(F3884),E3884*F3884,"")</f>
        <v/>
      </c>
      <c r="H3884" s="73"/>
      <c r="I3884" s="74"/>
      <c r="J3884" s="155">
        <v>0</v>
      </c>
    </row>
    <row r="3885" spans="1:10" ht="15.75" hidden="1" thickBot="1" x14ac:dyDescent="0.3">
      <c r="A3885" s="181"/>
      <c r="B3885" s="202"/>
      <c r="C3885" s="36" t="s">
        <v>1233</v>
      </c>
      <c r="D3885" s="47" t="s">
        <v>938</v>
      </c>
      <c r="E3885" s="37">
        <v>1.4</v>
      </c>
      <c r="F3885" s="54">
        <v>11.02</v>
      </c>
      <c r="G3885" s="54">
        <f>IF(ISNUMBER(F3885),E3885*F3885,"")</f>
        <v>15.427999999999999</v>
      </c>
      <c r="H3885" s="39">
        <f>SUM(G3885:G3894)</f>
        <v>704.95870999999988</v>
      </c>
      <c r="I3885" s="40"/>
      <c r="J3885" s="155">
        <v>0</v>
      </c>
    </row>
    <row r="3886" spans="1:10" ht="15.75" hidden="1" thickBot="1" x14ac:dyDescent="0.3">
      <c r="A3886" s="181"/>
      <c r="B3886" s="202"/>
      <c r="C3886" s="36" t="s">
        <v>1234</v>
      </c>
      <c r="D3886" s="47" t="s">
        <v>938</v>
      </c>
      <c r="E3886" s="37">
        <v>3.0000000000000001E-3</v>
      </c>
      <c r="F3886" s="54">
        <v>18.1355</v>
      </c>
      <c r="G3886" s="54">
        <f>IF(ISNUMBER(F3886),E3886*F3886,"")</f>
        <v>5.4406500000000003E-2</v>
      </c>
      <c r="H3886" s="73"/>
      <c r="I3886" s="74"/>
      <c r="J3886" s="155">
        <v>0</v>
      </c>
    </row>
    <row r="3887" spans="1:10" ht="26.25" hidden="1" thickBot="1" x14ac:dyDescent="0.3">
      <c r="A3887" s="181"/>
      <c r="B3887" s="202"/>
      <c r="C3887" s="36" t="s">
        <v>1079</v>
      </c>
      <c r="D3887" s="36" t="s">
        <v>292</v>
      </c>
      <c r="E3887" s="37">
        <v>3.3330000000000002</v>
      </c>
      <c r="F3887" s="54">
        <v>1.4915</v>
      </c>
      <c r="G3887" s="54">
        <f>IF(ISNUMBER(F3887),E3887*F3887,"")</f>
        <v>4.9711695000000002</v>
      </c>
      <c r="H3887" s="73"/>
      <c r="I3887" s="74"/>
      <c r="J3887" s="155">
        <v>0</v>
      </c>
    </row>
    <row r="3888" spans="1:10" ht="39" hidden="1" thickBot="1" x14ac:dyDescent="0.3">
      <c r="A3888" s="181"/>
      <c r="B3888" s="202"/>
      <c r="C3888" s="36" t="s">
        <v>1235</v>
      </c>
      <c r="D3888" s="36" t="s">
        <v>292</v>
      </c>
      <c r="E3888" s="37">
        <v>5</v>
      </c>
      <c r="F3888" s="54">
        <v>0.27549999999999997</v>
      </c>
      <c r="G3888" s="54">
        <f>IF(ISNUMBER(F3888),E3888*F3888,"")</f>
        <v>1.3774999999999999</v>
      </c>
      <c r="H3888" s="73"/>
      <c r="I3888" s="74"/>
      <c r="J3888" s="155">
        <v>0</v>
      </c>
    </row>
    <row r="3889" spans="1:10" ht="26.25" hidden="1" thickBot="1" x14ac:dyDescent="0.3">
      <c r="A3889" s="181"/>
      <c r="B3889" s="202"/>
      <c r="C3889" s="36" t="s">
        <v>1236</v>
      </c>
      <c r="D3889" s="36" t="s">
        <v>513</v>
      </c>
      <c r="E3889" s="37">
        <v>3.149</v>
      </c>
      <c r="F3889" s="54">
        <v>12.635</v>
      </c>
      <c r="G3889" s="54">
        <f>IF(ISNUMBER(F3889),E3889*F3889,"")</f>
        <v>39.787615000000002</v>
      </c>
      <c r="H3889" s="73"/>
      <c r="I3889" s="74"/>
      <c r="J3889" s="155">
        <v>0</v>
      </c>
    </row>
    <row r="3890" spans="1:10" ht="15.75" hidden="1" thickBot="1" x14ac:dyDescent="0.3">
      <c r="A3890" s="181"/>
      <c r="B3890" s="202"/>
      <c r="C3890" s="36" t="s">
        <v>874</v>
      </c>
      <c r="D3890" s="36" t="s">
        <v>938</v>
      </c>
      <c r="E3890" s="37">
        <v>3.4089999999999998</v>
      </c>
      <c r="F3890" s="54">
        <v>38.341999999999999</v>
      </c>
      <c r="G3890" s="54">
        <f>IF(ISNUMBER(F3890),E3890*F3890,"")</f>
        <v>130.70787799999999</v>
      </c>
      <c r="H3890" s="73"/>
      <c r="I3890" s="74"/>
      <c r="J3890" s="155">
        <v>0</v>
      </c>
    </row>
    <row r="3891" spans="1:10" ht="26.25" hidden="1" thickBot="1" x14ac:dyDescent="0.3">
      <c r="A3891" s="181"/>
      <c r="B3891" s="202"/>
      <c r="C3891" s="36" t="s">
        <v>1237</v>
      </c>
      <c r="D3891" s="36" t="s">
        <v>1034</v>
      </c>
      <c r="E3891" s="37">
        <v>0.998</v>
      </c>
      <c r="F3891" s="54">
        <v>369.83499999999998</v>
      </c>
      <c r="G3891" s="54">
        <f>IF(ISNUMBER(F3891),E3891*F3891,"")</f>
        <v>369.09532999999999</v>
      </c>
      <c r="H3891" s="73"/>
      <c r="I3891" s="74"/>
      <c r="J3891" s="155">
        <v>0</v>
      </c>
    </row>
    <row r="3892" spans="1:10" ht="15.75" hidden="1" thickBot="1" x14ac:dyDescent="0.3">
      <c r="A3892" s="181"/>
      <c r="B3892" s="202"/>
      <c r="C3892" s="36" t="s">
        <v>1175</v>
      </c>
      <c r="D3892" s="47" t="s">
        <v>292</v>
      </c>
      <c r="E3892" s="37">
        <v>0.85499999999999998</v>
      </c>
      <c r="F3892" s="54">
        <v>20.196999999999999</v>
      </c>
      <c r="G3892" s="54">
        <f>IF(ISNUMBER(F3892),E3892*F3892,"")</f>
        <v>17.268435</v>
      </c>
      <c r="H3892" s="73"/>
      <c r="I3892" s="74"/>
      <c r="J3892" s="155">
        <v>0</v>
      </c>
    </row>
    <row r="3893" spans="1:10" ht="15.75" hidden="1" thickBot="1" x14ac:dyDescent="0.3">
      <c r="A3893" s="181"/>
      <c r="B3893" s="202"/>
      <c r="C3893" s="36" t="s">
        <v>827</v>
      </c>
      <c r="D3893" s="47" t="s">
        <v>742</v>
      </c>
      <c r="E3893" s="37">
        <v>2.754</v>
      </c>
      <c r="F3893" s="54">
        <v>18.344499999999996</v>
      </c>
      <c r="G3893" s="54">
        <f>IF(ISNUMBER(F3893),E3893*F3893,"")</f>
        <v>50.520752999999992</v>
      </c>
      <c r="H3893" s="73"/>
      <c r="I3893" s="74"/>
      <c r="J3893" s="155">
        <v>0</v>
      </c>
    </row>
    <row r="3894" spans="1:10" ht="15.75" hidden="1" thickBot="1" x14ac:dyDescent="0.3">
      <c r="A3894" s="181"/>
      <c r="B3894" s="202"/>
      <c r="C3894" s="36" t="s">
        <v>1238</v>
      </c>
      <c r="D3894" s="47" t="s">
        <v>742</v>
      </c>
      <c r="E3894" s="37">
        <v>3.3530000000000002</v>
      </c>
      <c r="F3894" s="54">
        <v>22.591000000000001</v>
      </c>
      <c r="G3894" s="54">
        <f>IF(ISNUMBER(F3894),E3894*F3894,"")</f>
        <v>75.747623000000004</v>
      </c>
      <c r="H3894" s="73"/>
      <c r="I3894" s="74"/>
      <c r="J3894" s="155">
        <v>0</v>
      </c>
    </row>
    <row r="3895" spans="1:10" ht="15.75" hidden="1" thickBot="1" x14ac:dyDescent="0.3">
      <c r="A3895" s="182"/>
      <c r="B3895" s="188"/>
      <c r="C3895" s="55"/>
      <c r="D3895" s="55"/>
      <c r="E3895" s="66"/>
      <c r="F3895" s="76" t="s">
        <v>558</v>
      </c>
      <c r="G3895" s="76" t="str">
        <f>IF(ISNUMBER(F3895),E3895*F3895,"")</f>
        <v/>
      </c>
      <c r="H3895" s="77"/>
      <c r="I3895" s="74"/>
      <c r="J3895" s="155">
        <v>0</v>
      </c>
    </row>
    <row r="3896" spans="1:10" ht="15.75" hidden="1" thickBot="1" x14ac:dyDescent="0.3">
      <c r="A3896" s="180" t="s">
        <v>1239</v>
      </c>
      <c r="B3896" s="186" t="str">
        <f>INDEX(Orçamentária!A:B,MATCH(Composições!A3896,Orçamentária!A:A,0),2)</f>
        <v>Perfil “U” em aço 25 x 25mm</v>
      </c>
      <c r="C3896" s="41"/>
      <c r="D3896" s="26" t="str">
        <f>TRIM(INDEX(Orçamentária!C:C,MATCH(Composições!A3896,Orçamentária!A:A,0),1))</f>
        <v>m</v>
      </c>
      <c r="E3896" s="27"/>
      <c r="F3896" s="42" t="s">
        <v>558</v>
      </c>
      <c r="G3896" s="28" t="str">
        <f>IF(ISNUMBER(F3896),E3896*F3896,"")</f>
        <v/>
      </c>
      <c r="H3896" s="29"/>
      <c r="I3896" s="30"/>
      <c r="J3896" s="155">
        <v>0</v>
      </c>
    </row>
    <row r="3897" spans="1:10" ht="15.75" hidden="1" thickBot="1" x14ac:dyDescent="0.3">
      <c r="A3897" s="181"/>
      <c r="B3897" s="202"/>
      <c r="C3897" s="32"/>
      <c r="D3897" s="32"/>
      <c r="E3897" s="33"/>
      <c r="F3897" s="43" t="s">
        <v>558</v>
      </c>
      <c r="G3897" s="31" t="str">
        <f>IF(ISNUMBER(F3897),E3897*F3897,"")</f>
        <v/>
      </c>
      <c r="H3897" s="35"/>
      <c r="I3897" s="31"/>
      <c r="J3897" s="155">
        <v>0</v>
      </c>
    </row>
    <row r="3898" spans="1:10" ht="15.75" hidden="1" thickBot="1" x14ac:dyDescent="0.3">
      <c r="A3898" s="181"/>
      <c r="B3898" s="202"/>
      <c r="C3898" s="36" t="s">
        <v>68</v>
      </c>
      <c r="D3898" s="47" t="s">
        <v>12</v>
      </c>
      <c r="E3898" s="37">
        <f>1/10</f>
        <v>0.1</v>
      </c>
      <c r="F3898" s="31">
        <v>21.080500000000001</v>
      </c>
      <c r="G3898" s="34">
        <f>IF(ISNUMBER(F3898),E3898*F3898,"")</f>
        <v>2.10805</v>
      </c>
      <c r="H3898" s="39">
        <f>SUM(G3898:G3899)</f>
        <v>2.10805</v>
      </c>
      <c r="I3898" s="40"/>
      <c r="J3898" s="155">
        <v>0</v>
      </c>
    </row>
    <row r="3899" spans="1:10" ht="15.75" hidden="1" thickBot="1" x14ac:dyDescent="0.3">
      <c r="A3899" s="181"/>
      <c r="B3899" s="202"/>
      <c r="C3899" s="36" t="s">
        <v>1240</v>
      </c>
      <c r="D3899" s="47" t="s">
        <v>93</v>
      </c>
      <c r="E3899" s="37">
        <v>1.05</v>
      </c>
      <c r="F3899" s="34" t="s">
        <v>558</v>
      </c>
      <c r="G3899" s="34" t="str">
        <f>IF(ISNUMBER(F3899),E3899*F3899,"")</f>
        <v/>
      </c>
      <c r="H3899" s="35"/>
      <c r="I3899" s="31"/>
      <c r="J3899" s="155">
        <v>0</v>
      </c>
    </row>
    <row r="3900" spans="1:10" ht="15.75" hidden="1" thickBot="1" x14ac:dyDescent="0.3">
      <c r="A3900" s="182"/>
      <c r="B3900" s="188"/>
      <c r="C3900" s="36"/>
      <c r="D3900" s="47"/>
      <c r="E3900" s="37"/>
      <c r="F3900" s="34" t="s">
        <v>558</v>
      </c>
      <c r="G3900" s="34" t="str">
        <f>IF(ISNUMBER(F3900),E3900*F3900,"")</f>
        <v/>
      </c>
      <c r="H3900" s="35"/>
      <c r="I3900" s="31"/>
      <c r="J3900" s="155">
        <v>0</v>
      </c>
    </row>
    <row r="3901" spans="1:10" ht="15.75" hidden="1" thickBot="1" x14ac:dyDescent="0.3">
      <c r="A3901" s="180" t="s">
        <v>1241</v>
      </c>
      <c r="B3901" s="186" t="str">
        <f>INDEX(Orçamentária!A:B,MATCH(Composições!A3901,Orçamentária!A:A,0),2)</f>
        <v>Alimentação para mão-de-obra indireta</v>
      </c>
      <c r="C3901" s="41"/>
      <c r="D3901" s="26" t="str">
        <f>TRIM(INDEX(Orçamentária!C:C,MATCH(Composições!A3901,Orçamentária!A:A,0),1))</f>
        <v>h</v>
      </c>
      <c r="E3901" s="27"/>
      <c r="F3901" s="49" t="s">
        <v>558</v>
      </c>
      <c r="G3901" s="28" t="str">
        <f>IF(ISNUMBER(F3901),E3901*F3901,"")</f>
        <v/>
      </c>
      <c r="H3901" s="29"/>
      <c r="I3901" s="30"/>
      <c r="J3901" s="155">
        <v>0</v>
      </c>
    </row>
    <row r="3902" spans="1:10" ht="15.75" hidden="1" thickBot="1" x14ac:dyDescent="0.3">
      <c r="A3902" s="181"/>
      <c r="B3902" s="202"/>
      <c r="C3902" s="32"/>
      <c r="D3902" s="32"/>
      <c r="E3902" s="33"/>
      <c r="F3902" s="54" t="s">
        <v>558</v>
      </c>
      <c r="G3902" s="54" t="str">
        <f>IF(ISNUMBER(F3902),E3902*F3902,"")</f>
        <v/>
      </c>
      <c r="H3902" s="73"/>
      <c r="I3902" s="74"/>
      <c r="J3902" s="155">
        <v>0</v>
      </c>
    </row>
    <row r="3903" spans="1:10" ht="15.75" hidden="1" thickBot="1" x14ac:dyDescent="0.3">
      <c r="A3903" s="181"/>
      <c r="B3903" s="202"/>
      <c r="C3903" s="36" t="s">
        <v>1242</v>
      </c>
      <c r="D3903" s="36" t="s">
        <v>12</v>
      </c>
      <c r="E3903" s="37">
        <v>1</v>
      </c>
      <c r="F3903" s="54">
        <v>2.4889999999999999</v>
      </c>
      <c r="G3903" s="54">
        <f>IF(ISNUMBER(F3903),E3903*F3903,"")</f>
        <v>2.4889999999999999</v>
      </c>
      <c r="H3903" s="39">
        <f>SUM(G3903:G3903)</f>
        <v>2.4889999999999999</v>
      </c>
      <c r="I3903" s="40"/>
      <c r="J3903" s="155">
        <v>0</v>
      </c>
    </row>
    <row r="3904" spans="1:10" ht="15.75" hidden="1" thickBot="1" x14ac:dyDescent="0.3">
      <c r="A3904" s="181"/>
      <c r="B3904" s="202"/>
      <c r="C3904" s="55"/>
      <c r="D3904" s="55"/>
      <c r="E3904" s="66"/>
      <c r="F3904" s="76" t="s">
        <v>558</v>
      </c>
      <c r="G3904" s="76" t="str">
        <f>IF(ISNUMBER(F3904),E3904*F3904,"")</f>
        <v/>
      </c>
      <c r="H3904" s="77"/>
      <c r="I3904" s="74"/>
      <c r="J3904" s="155">
        <v>0</v>
      </c>
    </row>
    <row r="3905" spans="1:10" ht="15.75" hidden="1" thickBot="1" x14ac:dyDescent="0.3">
      <c r="A3905" s="180" t="s">
        <v>1243</v>
      </c>
      <c r="B3905" s="186" t="str">
        <f>INDEX(Orçamentária!A:B,MATCH(Composições!A3905,Orçamentária!A:A,0),2)</f>
        <v>Transporte para mão-de-obra indireta</v>
      </c>
      <c r="C3905" s="41"/>
      <c r="D3905" s="26" t="str">
        <f>TRIM(INDEX(Orçamentária!C:C,MATCH(Composições!A3905,Orçamentária!A:A,0),1))</f>
        <v>h</v>
      </c>
      <c r="E3905" s="27"/>
      <c r="F3905" s="49" t="s">
        <v>558</v>
      </c>
      <c r="G3905" s="28" t="str">
        <f>IF(ISNUMBER(F3905),E3905*F3905,"")</f>
        <v/>
      </c>
      <c r="H3905" s="29"/>
      <c r="I3905" s="30"/>
      <c r="J3905" s="155">
        <v>0</v>
      </c>
    </row>
    <row r="3906" spans="1:10" ht="15.75" hidden="1" thickBot="1" x14ac:dyDescent="0.3">
      <c r="A3906" s="181"/>
      <c r="B3906" s="202"/>
      <c r="C3906" s="32"/>
      <c r="D3906" s="32"/>
      <c r="E3906" s="33"/>
      <c r="F3906" s="54" t="s">
        <v>558</v>
      </c>
      <c r="G3906" s="54" t="str">
        <f>IF(ISNUMBER(F3906),E3906*F3906,"")</f>
        <v/>
      </c>
      <c r="H3906" s="73"/>
      <c r="I3906" s="74"/>
      <c r="J3906" s="155">
        <v>0</v>
      </c>
    </row>
    <row r="3907" spans="1:10" ht="15.75" hidden="1" thickBot="1" x14ac:dyDescent="0.3">
      <c r="A3907" s="181"/>
      <c r="B3907" s="202"/>
      <c r="C3907" s="36" t="s">
        <v>1244</v>
      </c>
      <c r="D3907" s="36" t="s">
        <v>742</v>
      </c>
      <c r="E3907" s="37">
        <v>1.05</v>
      </c>
      <c r="F3907" s="54">
        <v>1.292</v>
      </c>
      <c r="G3907" s="54">
        <f>IF(ISNUMBER(F3907),E3907*F3907,"")</f>
        <v>1.3566</v>
      </c>
      <c r="H3907" s="39">
        <f>SUM(G3907:G3907)</f>
        <v>1.3566</v>
      </c>
      <c r="I3907" s="40"/>
      <c r="J3907" s="155">
        <v>0</v>
      </c>
    </row>
    <row r="3908" spans="1:10" ht="15.75" hidden="1" thickBot="1" x14ac:dyDescent="0.3">
      <c r="A3908" s="182"/>
      <c r="B3908" s="188"/>
      <c r="C3908" s="55"/>
      <c r="D3908" s="55"/>
      <c r="E3908" s="66"/>
      <c r="F3908" s="76" t="s">
        <v>558</v>
      </c>
      <c r="G3908" s="76" t="str">
        <f>IF(ISNUMBER(F3908),E3908*F3908,"")</f>
        <v/>
      </c>
      <c r="H3908" s="77"/>
      <c r="I3908" s="74"/>
      <c r="J3908" s="155">
        <v>0</v>
      </c>
    </row>
    <row r="3909" spans="1:10" ht="15.75" hidden="1" thickBot="1" x14ac:dyDescent="0.3">
      <c r="A3909" s="180" t="s">
        <v>1245</v>
      </c>
      <c r="B3909" s="186" t="str">
        <f>INDEX(Orçamentária!A:B,MATCH(Composições!A3909,Orçamentária!A:A,0),2)</f>
        <v>Cotovelo de cobre de 1 3/8”</v>
      </c>
      <c r="C3909" s="41"/>
      <c r="D3909" s="26" t="str">
        <f>TRIM(INDEX(Orçamentária!C:C,MATCH(Composições!A3909,Orçamentária!A:A,0),1))</f>
        <v>un</v>
      </c>
      <c r="E3909" s="27"/>
      <c r="F3909" s="49" t="s">
        <v>558</v>
      </c>
      <c r="G3909" s="28" t="str">
        <f>IF(ISNUMBER(F3909),E3909*F3909,"")</f>
        <v/>
      </c>
      <c r="H3909" s="29"/>
      <c r="I3909" s="30"/>
      <c r="J3909" s="155">
        <v>0</v>
      </c>
    </row>
    <row r="3910" spans="1:10" ht="15.75" hidden="1" thickBot="1" x14ac:dyDescent="0.3">
      <c r="A3910" s="181"/>
      <c r="B3910" s="202"/>
      <c r="C3910" s="32"/>
      <c r="D3910" s="32"/>
      <c r="E3910" s="33"/>
      <c r="F3910" s="54" t="s">
        <v>558</v>
      </c>
      <c r="G3910" s="54" t="str">
        <f>IF(ISNUMBER(F3910),E3910*F3910,"")</f>
        <v/>
      </c>
      <c r="H3910" s="73"/>
      <c r="I3910" s="74"/>
      <c r="J3910" s="155">
        <v>0</v>
      </c>
    </row>
    <row r="3911" spans="1:10" ht="26.25" hidden="1" thickBot="1" x14ac:dyDescent="0.3">
      <c r="A3911" s="181"/>
      <c r="B3911" s="202"/>
      <c r="C3911" s="36" t="s">
        <v>1246</v>
      </c>
      <c r="D3911" s="47" t="s">
        <v>292</v>
      </c>
      <c r="E3911" s="37">
        <v>1</v>
      </c>
      <c r="F3911" s="54">
        <v>38.864499999999992</v>
      </c>
      <c r="G3911" s="54">
        <f>IF(ISNUMBER(F3911),E3911*F3911,"")</f>
        <v>38.864499999999992</v>
      </c>
      <c r="H3911" s="39">
        <f>SUM(G3911:G3916)</f>
        <v>47.269036</v>
      </c>
      <c r="I3911" s="40"/>
      <c r="J3911" s="155">
        <v>0</v>
      </c>
    </row>
    <row r="3912" spans="1:10" ht="26.25" hidden="1" thickBot="1" x14ac:dyDescent="0.3">
      <c r="A3912" s="181"/>
      <c r="B3912" s="202"/>
      <c r="C3912" s="36" t="s">
        <v>1247</v>
      </c>
      <c r="D3912" s="47" t="s">
        <v>292</v>
      </c>
      <c r="E3912" s="37">
        <v>8.3999999999999995E-3</v>
      </c>
      <c r="F3912" s="54">
        <v>287.06150000000002</v>
      </c>
      <c r="G3912" s="54">
        <f>IF(ISNUMBER(F3912),E3912*F3912,"")</f>
        <v>2.4113166000000001</v>
      </c>
      <c r="H3912" s="73"/>
      <c r="I3912" s="74"/>
      <c r="J3912" s="155">
        <v>0</v>
      </c>
    </row>
    <row r="3913" spans="1:10" ht="15.75" hidden="1" thickBot="1" x14ac:dyDescent="0.3">
      <c r="A3913" s="181"/>
      <c r="B3913" s="202"/>
      <c r="C3913" s="36" t="s">
        <v>1248</v>
      </c>
      <c r="D3913" s="36" t="s">
        <v>292</v>
      </c>
      <c r="E3913" s="37">
        <v>5.9400000000000001E-2</v>
      </c>
      <c r="F3913" s="54">
        <v>2.09</v>
      </c>
      <c r="G3913" s="54">
        <f>IF(ISNUMBER(F3913),E3913*F3913,"")</f>
        <v>0.12414599999999999</v>
      </c>
      <c r="H3913" s="73"/>
      <c r="I3913" s="74"/>
      <c r="J3913" s="155">
        <v>0</v>
      </c>
    </row>
    <row r="3914" spans="1:10" ht="26.25" hidden="1" thickBot="1" x14ac:dyDescent="0.3">
      <c r="A3914" s="181"/>
      <c r="B3914" s="202"/>
      <c r="C3914" s="36" t="s">
        <v>1249</v>
      </c>
      <c r="D3914" s="36" t="s">
        <v>292</v>
      </c>
      <c r="E3914" s="37">
        <v>1.0800000000000001E-2</v>
      </c>
      <c r="F3914" s="54">
        <v>52.6205</v>
      </c>
      <c r="G3914" s="54">
        <f>IF(ISNUMBER(F3914),E3914*F3914,"")</f>
        <v>0.56830140000000007</v>
      </c>
      <c r="H3914" s="73"/>
      <c r="I3914" s="74"/>
      <c r="J3914" s="155">
        <v>0</v>
      </c>
    </row>
    <row r="3915" spans="1:10" ht="26.25" hidden="1" thickBot="1" x14ac:dyDescent="0.3">
      <c r="A3915" s="181"/>
      <c r="B3915" s="202"/>
      <c r="C3915" s="36" t="s">
        <v>993</v>
      </c>
      <c r="D3915" s="36" t="s">
        <v>742</v>
      </c>
      <c r="E3915" s="37">
        <v>0.13400000000000001</v>
      </c>
      <c r="F3915" s="54">
        <v>17.3185</v>
      </c>
      <c r="G3915" s="54">
        <f>IF(ISNUMBER(F3915),E3915*F3915,"")</f>
        <v>2.3206790000000002</v>
      </c>
      <c r="H3915" s="73"/>
      <c r="I3915" s="74"/>
      <c r="J3915" s="155">
        <v>0</v>
      </c>
    </row>
    <row r="3916" spans="1:10" ht="26.25" hidden="1" thickBot="1" x14ac:dyDescent="0.3">
      <c r="A3916" s="181"/>
      <c r="B3916" s="202"/>
      <c r="C3916" s="36" t="s">
        <v>994</v>
      </c>
      <c r="D3916" s="36" t="s">
        <v>742</v>
      </c>
      <c r="E3916" s="37">
        <v>0.13400000000000001</v>
      </c>
      <c r="F3916" s="54">
        <v>22.2395</v>
      </c>
      <c r="G3916" s="54">
        <f>IF(ISNUMBER(F3916),E3916*F3916,"")</f>
        <v>2.9800930000000001</v>
      </c>
      <c r="H3916" s="73"/>
      <c r="I3916" s="74"/>
      <c r="J3916" s="155">
        <v>0</v>
      </c>
    </row>
    <row r="3917" spans="1:10" ht="15.75" hidden="1" thickBot="1" x14ac:dyDescent="0.3">
      <c r="A3917" s="182"/>
      <c r="B3917" s="188"/>
      <c r="C3917" s="55"/>
      <c r="D3917" s="55"/>
      <c r="E3917" s="66"/>
      <c r="F3917" s="76" t="s">
        <v>558</v>
      </c>
      <c r="G3917" s="76" t="str">
        <f>IF(ISNUMBER(F3917),E3917*F3917,"")</f>
        <v/>
      </c>
      <c r="H3917" s="77"/>
      <c r="I3917" s="74"/>
      <c r="J3917" s="155">
        <v>0</v>
      </c>
    </row>
    <row r="3918" spans="1:10" ht="15.75" hidden="1" thickBot="1" x14ac:dyDescent="0.3">
      <c r="A3918" s="180" t="s">
        <v>1250</v>
      </c>
      <c r="B3918" s="186" t="str">
        <f>INDEX(Orçamentária!A:B,MATCH(Composições!A3918,Orçamentária!A:A,0),2)</f>
        <v>Cotovelo de cobre de 1 5/8”</v>
      </c>
      <c r="C3918" s="41"/>
      <c r="D3918" s="26" t="str">
        <f>TRIM(INDEX(Orçamentária!C:C,MATCH(Composições!A3918,Orçamentária!A:A,0),1))</f>
        <v>un</v>
      </c>
      <c r="E3918" s="27"/>
      <c r="F3918" s="49" t="s">
        <v>558</v>
      </c>
      <c r="G3918" s="28" t="str">
        <f>IF(ISNUMBER(F3918),E3918*F3918,"")</f>
        <v/>
      </c>
      <c r="H3918" s="29"/>
      <c r="I3918" s="30"/>
      <c r="J3918" s="155">
        <v>0</v>
      </c>
    </row>
    <row r="3919" spans="1:10" ht="15.75" hidden="1" thickBot="1" x14ac:dyDescent="0.3">
      <c r="A3919" s="181"/>
      <c r="B3919" s="202"/>
      <c r="C3919" s="32"/>
      <c r="D3919" s="32"/>
      <c r="E3919" s="33"/>
      <c r="F3919" s="54" t="s">
        <v>558</v>
      </c>
      <c r="G3919" s="54" t="str">
        <f>IF(ISNUMBER(F3919),E3919*F3919,"")</f>
        <v/>
      </c>
      <c r="H3919" s="73"/>
      <c r="I3919" s="74"/>
      <c r="J3919" s="155">
        <v>0</v>
      </c>
    </row>
    <row r="3920" spans="1:10" ht="26.25" hidden="1" thickBot="1" x14ac:dyDescent="0.3">
      <c r="A3920" s="181"/>
      <c r="B3920" s="202"/>
      <c r="C3920" s="36" t="s">
        <v>1251</v>
      </c>
      <c r="D3920" s="47" t="s">
        <v>292</v>
      </c>
      <c r="E3920" s="37">
        <v>1</v>
      </c>
      <c r="F3920" s="54">
        <v>59.640999999999998</v>
      </c>
      <c r="G3920" s="54">
        <f>IF(ISNUMBER(F3920),E3920*F3920,"")</f>
        <v>59.640999999999998</v>
      </c>
      <c r="H3920" s="39">
        <f>SUM(G3920:G3925)</f>
        <v>72.174618850000002</v>
      </c>
      <c r="I3920" s="40"/>
      <c r="J3920" s="155">
        <v>0</v>
      </c>
    </row>
    <row r="3921" spans="1:10" ht="26.25" hidden="1" thickBot="1" x14ac:dyDescent="0.3">
      <c r="A3921" s="181"/>
      <c r="B3921" s="202"/>
      <c r="C3921" s="36" t="s">
        <v>1247</v>
      </c>
      <c r="D3921" s="47" t="s">
        <v>292</v>
      </c>
      <c r="E3921" s="37">
        <v>1.7600000000000001E-2</v>
      </c>
      <c r="F3921" s="54">
        <v>287.06150000000002</v>
      </c>
      <c r="G3921" s="54">
        <f>IF(ISNUMBER(F3921),E3921*F3921,"")</f>
        <v>5.0522824000000011</v>
      </c>
      <c r="H3921" s="73"/>
      <c r="I3921" s="74"/>
      <c r="J3921" s="155">
        <v>0</v>
      </c>
    </row>
    <row r="3922" spans="1:10" ht="15.75" hidden="1" thickBot="1" x14ac:dyDescent="0.3">
      <c r="A3922" s="181"/>
      <c r="B3922" s="202"/>
      <c r="C3922" s="36" t="s">
        <v>1248</v>
      </c>
      <c r="D3922" s="36" t="s">
        <v>292</v>
      </c>
      <c r="E3922" s="37">
        <v>6.93E-2</v>
      </c>
      <c r="F3922" s="54">
        <v>2.09</v>
      </c>
      <c r="G3922" s="54">
        <f>IF(ISNUMBER(F3922),E3922*F3922,"")</f>
        <v>0.14483699999999999</v>
      </c>
      <c r="H3922" s="73"/>
      <c r="I3922" s="74"/>
      <c r="J3922" s="155">
        <v>0</v>
      </c>
    </row>
    <row r="3923" spans="1:10" ht="26.25" hidden="1" thickBot="1" x14ac:dyDescent="0.3">
      <c r="A3923" s="181"/>
      <c r="B3923" s="202"/>
      <c r="C3923" s="36" t="s">
        <v>1249</v>
      </c>
      <c r="D3923" s="36" t="s">
        <v>292</v>
      </c>
      <c r="E3923" s="37">
        <v>2.29E-2</v>
      </c>
      <c r="F3923" s="54">
        <v>52.6205</v>
      </c>
      <c r="G3923" s="54">
        <f>IF(ISNUMBER(F3923),E3923*F3923,"")</f>
        <v>1.2050094499999999</v>
      </c>
      <c r="H3923" s="73"/>
      <c r="I3923" s="74"/>
      <c r="J3923" s="155">
        <v>0</v>
      </c>
    </row>
    <row r="3924" spans="1:10" ht="26.25" hidden="1" thickBot="1" x14ac:dyDescent="0.3">
      <c r="A3924" s="181"/>
      <c r="B3924" s="202"/>
      <c r="C3924" s="36" t="s">
        <v>993</v>
      </c>
      <c r="D3924" s="36" t="s">
        <v>742</v>
      </c>
      <c r="E3924" s="37">
        <v>0.155</v>
      </c>
      <c r="F3924" s="54">
        <v>17.3185</v>
      </c>
      <c r="G3924" s="54">
        <f>IF(ISNUMBER(F3924),E3924*F3924,"")</f>
        <v>2.6843675</v>
      </c>
      <c r="H3924" s="73"/>
      <c r="I3924" s="74"/>
      <c r="J3924" s="155">
        <v>0</v>
      </c>
    </row>
    <row r="3925" spans="1:10" ht="26.25" hidden="1" thickBot="1" x14ac:dyDescent="0.3">
      <c r="A3925" s="181"/>
      <c r="B3925" s="202"/>
      <c r="C3925" s="36" t="s">
        <v>994</v>
      </c>
      <c r="D3925" s="36" t="s">
        <v>742</v>
      </c>
      <c r="E3925" s="37">
        <v>0.155</v>
      </c>
      <c r="F3925" s="54">
        <v>22.2395</v>
      </c>
      <c r="G3925" s="54">
        <f>IF(ISNUMBER(F3925),E3925*F3925,"")</f>
        <v>3.4471224999999999</v>
      </c>
      <c r="H3925" s="73"/>
      <c r="I3925" s="74"/>
      <c r="J3925" s="155">
        <v>0</v>
      </c>
    </row>
    <row r="3926" spans="1:10" ht="15.75" hidden="1" thickBot="1" x14ac:dyDescent="0.3">
      <c r="A3926" s="182"/>
      <c r="B3926" s="188"/>
      <c r="C3926" s="55"/>
      <c r="D3926" s="55"/>
      <c r="E3926" s="66"/>
      <c r="F3926" s="76" t="s">
        <v>558</v>
      </c>
      <c r="G3926" s="76" t="str">
        <f>IF(ISNUMBER(F3926),E3926*F3926,"")</f>
        <v/>
      </c>
      <c r="H3926" s="77"/>
      <c r="I3926" s="74"/>
      <c r="J3926" s="155">
        <v>0</v>
      </c>
    </row>
    <row r="3927" spans="1:10" ht="15.75" hidden="1" thickBot="1" x14ac:dyDescent="0.3">
      <c r="A3927" s="180" t="s">
        <v>1252</v>
      </c>
      <c r="B3927" s="186" t="str">
        <f>INDEX(Orçamentária!A:B,MATCH(Composições!A3927,Orçamentária!A:A,0),2)</f>
        <v>Cotovelo de cobre de 7/8”</v>
      </c>
      <c r="C3927" s="41"/>
      <c r="D3927" s="26" t="str">
        <f>TRIM(INDEX(Orçamentária!C:C,MATCH(Composições!A3927,Orçamentária!A:A,0),1))</f>
        <v>un</v>
      </c>
      <c r="E3927" s="27"/>
      <c r="F3927" s="49" t="s">
        <v>558</v>
      </c>
      <c r="G3927" s="28" t="str">
        <f>IF(ISNUMBER(F3927),E3927*F3927,"")</f>
        <v/>
      </c>
      <c r="H3927" s="29"/>
      <c r="I3927" s="30"/>
      <c r="J3927" s="155">
        <v>0</v>
      </c>
    </row>
    <row r="3928" spans="1:10" ht="15.75" hidden="1" thickBot="1" x14ac:dyDescent="0.3">
      <c r="A3928" s="181"/>
      <c r="B3928" s="202"/>
      <c r="C3928" s="32"/>
      <c r="D3928" s="32"/>
      <c r="E3928" s="33"/>
      <c r="F3928" s="54" t="s">
        <v>558</v>
      </c>
      <c r="G3928" s="54" t="str">
        <f>IF(ISNUMBER(F3928),E3928*F3928,"")</f>
        <v/>
      </c>
      <c r="H3928" s="73"/>
      <c r="I3928" s="74"/>
      <c r="J3928" s="155">
        <v>0</v>
      </c>
    </row>
    <row r="3929" spans="1:10" ht="26.25" hidden="1" thickBot="1" x14ac:dyDescent="0.3">
      <c r="A3929" s="181"/>
      <c r="B3929" s="202"/>
      <c r="C3929" s="36" t="s">
        <v>1253</v>
      </c>
      <c r="D3929" s="47" t="s">
        <v>292</v>
      </c>
      <c r="E3929" s="37">
        <v>1</v>
      </c>
      <c r="F3929" s="54">
        <v>11.513999999999999</v>
      </c>
      <c r="G3929" s="54">
        <f>IF(ISNUMBER(F3929),E3929*F3929,"")</f>
        <v>11.513999999999999</v>
      </c>
      <c r="H3929" s="39">
        <f>SUM(G3929:G3934)</f>
        <v>17.111260349999998</v>
      </c>
      <c r="I3929" s="40"/>
      <c r="J3929" s="155">
        <v>0</v>
      </c>
    </row>
    <row r="3930" spans="1:10" ht="26.25" hidden="1" thickBot="1" x14ac:dyDescent="0.3">
      <c r="A3930" s="181"/>
      <c r="B3930" s="202"/>
      <c r="C3930" s="36" t="s">
        <v>1247</v>
      </c>
      <c r="D3930" s="47" t="s">
        <v>292</v>
      </c>
      <c r="E3930" s="37">
        <v>4.7999999999999996E-3</v>
      </c>
      <c r="F3930" s="54">
        <v>287.06150000000002</v>
      </c>
      <c r="G3930" s="54">
        <f>IF(ISNUMBER(F3930),E3930*F3930,"")</f>
        <v>1.3778952</v>
      </c>
      <c r="H3930" s="73"/>
      <c r="I3930" s="74"/>
      <c r="J3930" s="155">
        <v>0</v>
      </c>
    </row>
    <row r="3931" spans="1:10" ht="15.75" hidden="1" thickBot="1" x14ac:dyDescent="0.3">
      <c r="A3931" s="181"/>
      <c r="B3931" s="202"/>
      <c r="C3931" s="36" t="s">
        <v>1248</v>
      </c>
      <c r="D3931" s="36" t="s">
        <v>292</v>
      </c>
      <c r="E3931" s="37">
        <v>4.3200000000000002E-2</v>
      </c>
      <c r="F3931" s="54">
        <v>2.09</v>
      </c>
      <c r="G3931" s="54">
        <f>IF(ISNUMBER(F3931),E3931*F3931,"")</f>
        <v>9.0287999999999993E-2</v>
      </c>
      <c r="H3931" s="73"/>
      <c r="I3931" s="74"/>
      <c r="J3931" s="155">
        <v>0</v>
      </c>
    </row>
    <row r="3932" spans="1:10" ht="26.25" hidden="1" thickBot="1" x14ac:dyDescent="0.3">
      <c r="A3932" s="181"/>
      <c r="B3932" s="202"/>
      <c r="C3932" s="36" t="s">
        <v>1249</v>
      </c>
      <c r="D3932" s="36" t="s">
        <v>292</v>
      </c>
      <c r="E3932" s="37">
        <v>6.3E-3</v>
      </c>
      <c r="F3932" s="54">
        <v>52.6205</v>
      </c>
      <c r="G3932" s="54">
        <f>IF(ISNUMBER(F3932),E3932*F3932,"")</f>
        <v>0.33150914999999997</v>
      </c>
      <c r="H3932" s="73"/>
      <c r="I3932" s="74"/>
      <c r="J3932" s="155">
        <v>0</v>
      </c>
    </row>
    <row r="3933" spans="1:10" ht="26.25" hidden="1" thickBot="1" x14ac:dyDescent="0.3">
      <c r="A3933" s="181"/>
      <c r="B3933" s="202"/>
      <c r="C3933" s="36" t="s">
        <v>993</v>
      </c>
      <c r="D3933" s="36" t="s">
        <v>742</v>
      </c>
      <c r="E3933" s="37">
        <v>9.6000000000000002E-2</v>
      </c>
      <c r="F3933" s="54">
        <v>17.3185</v>
      </c>
      <c r="G3933" s="54">
        <f>IF(ISNUMBER(F3933),E3933*F3933,"")</f>
        <v>1.6625760000000001</v>
      </c>
      <c r="H3933" s="73"/>
      <c r="I3933" s="74"/>
      <c r="J3933" s="155">
        <v>0</v>
      </c>
    </row>
    <row r="3934" spans="1:10" ht="26.25" hidden="1" thickBot="1" x14ac:dyDescent="0.3">
      <c r="A3934" s="181"/>
      <c r="B3934" s="202"/>
      <c r="C3934" s="36" t="s">
        <v>994</v>
      </c>
      <c r="D3934" s="36" t="s">
        <v>742</v>
      </c>
      <c r="E3934" s="37">
        <v>9.6000000000000002E-2</v>
      </c>
      <c r="F3934" s="54">
        <v>22.2395</v>
      </c>
      <c r="G3934" s="54">
        <f>IF(ISNUMBER(F3934),E3934*F3934,"")</f>
        <v>2.134992</v>
      </c>
      <c r="H3934" s="73"/>
      <c r="I3934" s="74"/>
      <c r="J3934" s="155">
        <v>0</v>
      </c>
    </row>
    <row r="3935" spans="1:10" ht="15.75" hidden="1" thickBot="1" x14ac:dyDescent="0.3">
      <c r="A3935" s="182"/>
      <c r="B3935" s="188"/>
      <c r="C3935" s="55"/>
      <c r="D3935" s="55"/>
      <c r="E3935" s="66"/>
      <c r="F3935" s="76" t="s">
        <v>558</v>
      </c>
      <c r="G3935" s="76" t="str">
        <f>IF(ISNUMBER(F3935),E3935*F3935,"")</f>
        <v/>
      </c>
      <c r="H3935" s="77"/>
      <c r="I3935" s="74"/>
      <c r="J3935" s="155">
        <v>0</v>
      </c>
    </row>
    <row r="3936" spans="1:10" ht="15.75" hidden="1" thickBot="1" x14ac:dyDescent="0.3">
      <c r="A3936" s="180" t="s">
        <v>1254</v>
      </c>
      <c r="B3936" s="186" t="str">
        <f>INDEX(Orçamentária!A:B,MATCH(Composições!A3936,Orçamentária!A:A,0),2)</f>
        <v>Luva de cobre de 1 3/8”</v>
      </c>
      <c r="C3936" s="41"/>
      <c r="D3936" s="26" t="str">
        <f>TRIM(INDEX(Orçamentária!C:C,MATCH(Composições!A3936,Orçamentária!A:A,0),1))</f>
        <v>un</v>
      </c>
      <c r="E3936" s="27"/>
      <c r="F3936" s="49" t="s">
        <v>558</v>
      </c>
      <c r="G3936" s="28" t="str">
        <f>IF(ISNUMBER(F3936),E3936*F3936,"")</f>
        <v/>
      </c>
      <c r="H3936" s="29"/>
      <c r="I3936" s="30"/>
      <c r="J3936" s="155">
        <v>0</v>
      </c>
    </row>
    <row r="3937" spans="1:10" ht="15.75" hidden="1" thickBot="1" x14ac:dyDescent="0.3">
      <c r="A3937" s="181"/>
      <c r="B3937" s="202"/>
      <c r="C3937" s="32"/>
      <c r="D3937" s="32"/>
      <c r="E3937" s="33"/>
      <c r="F3937" s="54" t="s">
        <v>558</v>
      </c>
      <c r="G3937" s="54" t="str">
        <f>IF(ISNUMBER(F3937),E3937*F3937,"")</f>
        <v/>
      </c>
      <c r="H3937" s="73"/>
      <c r="I3937" s="74"/>
      <c r="J3937" s="155">
        <v>0</v>
      </c>
    </row>
    <row r="3938" spans="1:10" ht="26.25" hidden="1" thickBot="1" x14ac:dyDescent="0.3">
      <c r="A3938" s="181"/>
      <c r="B3938" s="202"/>
      <c r="C3938" s="36" t="s">
        <v>1255</v>
      </c>
      <c r="D3938" s="47" t="s">
        <v>292</v>
      </c>
      <c r="E3938" s="37">
        <v>1</v>
      </c>
      <c r="F3938" s="54">
        <v>24.139499999999998</v>
      </c>
      <c r="G3938" s="54">
        <f>IF(ISNUMBER(F3938),E3938*F3938,"")</f>
        <v>24.139499999999998</v>
      </c>
      <c r="H3938" s="39">
        <f>SUM(G3938:G3943)</f>
        <v>30.763925999999994</v>
      </c>
      <c r="I3938" s="40"/>
      <c r="J3938" s="155">
        <v>0</v>
      </c>
    </row>
    <row r="3939" spans="1:10" ht="26.25" hidden="1" thickBot="1" x14ac:dyDescent="0.3">
      <c r="A3939" s="181"/>
      <c r="B3939" s="202"/>
      <c r="C3939" s="36" t="s">
        <v>1247</v>
      </c>
      <c r="D3939" s="47" t="s">
        <v>292</v>
      </c>
      <c r="E3939" s="37">
        <v>8.3999999999999995E-3</v>
      </c>
      <c r="F3939" s="54">
        <v>287.06150000000002</v>
      </c>
      <c r="G3939" s="54">
        <f>IF(ISNUMBER(F3939),E3939*F3939,"")</f>
        <v>2.4113166000000001</v>
      </c>
      <c r="H3939" s="73"/>
      <c r="I3939" s="74"/>
      <c r="J3939" s="155">
        <v>0</v>
      </c>
    </row>
    <row r="3940" spans="1:10" ht="15.75" hidden="1" thickBot="1" x14ac:dyDescent="0.3">
      <c r="A3940" s="181"/>
      <c r="B3940" s="202"/>
      <c r="C3940" s="36" t="s">
        <v>1248</v>
      </c>
      <c r="D3940" s="36" t="s">
        <v>292</v>
      </c>
      <c r="E3940" s="37">
        <v>5.9400000000000001E-2</v>
      </c>
      <c r="F3940" s="54">
        <v>2.09</v>
      </c>
      <c r="G3940" s="54">
        <f>IF(ISNUMBER(F3940),E3940*F3940,"")</f>
        <v>0.12414599999999999</v>
      </c>
      <c r="H3940" s="73"/>
      <c r="I3940" s="74"/>
      <c r="J3940" s="155">
        <v>0</v>
      </c>
    </row>
    <row r="3941" spans="1:10" ht="26.25" hidden="1" thickBot="1" x14ac:dyDescent="0.3">
      <c r="A3941" s="181"/>
      <c r="B3941" s="202"/>
      <c r="C3941" s="36" t="s">
        <v>1249</v>
      </c>
      <c r="D3941" s="36" t="s">
        <v>292</v>
      </c>
      <c r="E3941" s="37">
        <v>1.0800000000000001E-2</v>
      </c>
      <c r="F3941" s="54">
        <v>52.6205</v>
      </c>
      <c r="G3941" s="54">
        <f>IF(ISNUMBER(F3941),E3941*F3941,"")</f>
        <v>0.56830140000000007</v>
      </c>
      <c r="H3941" s="73"/>
      <c r="I3941" s="74"/>
      <c r="J3941" s="155">
        <v>0</v>
      </c>
    </row>
    <row r="3942" spans="1:10" ht="26.25" hidden="1" thickBot="1" x14ac:dyDescent="0.3">
      <c r="A3942" s="181"/>
      <c r="B3942" s="202"/>
      <c r="C3942" s="36" t="s">
        <v>993</v>
      </c>
      <c r="D3942" s="36" t="s">
        <v>742</v>
      </c>
      <c r="E3942" s="37">
        <v>8.8999999999999996E-2</v>
      </c>
      <c r="F3942" s="54">
        <v>17.3185</v>
      </c>
      <c r="G3942" s="54">
        <f>IF(ISNUMBER(F3942),E3942*F3942,"")</f>
        <v>1.5413465</v>
      </c>
      <c r="H3942" s="73"/>
      <c r="I3942" s="74"/>
      <c r="J3942" s="155">
        <v>0</v>
      </c>
    </row>
    <row r="3943" spans="1:10" ht="26.25" hidden="1" thickBot="1" x14ac:dyDescent="0.3">
      <c r="A3943" s="181"/>
      <c r="B3943" s="202"/>
      <c r="C3943" s="36" t="s">
        <v>994</v>
      </c>
      <c r="D3943" s="36" t="s">
        <v>742</v>
      </c>
      <c r="E3943" s="37">
        <v>8.8999999999999996E-2</v>
      </c>
      <c r="F3943" s="54">
        <v>22.2395</v>
      </c>
      <c r="G3943" s="54">
        <f>IF(ISNUMBER(F3943),E3943*F3943,"")</f>
        <v>1.9793154999999998</v>
      </c>
      <c r="H3943" s="73"/>
      <c r="I3943" s="74"/>
      <c r="J3943" s="155">
        <v>0</v>
      </c>
    </row>
    <row r="3944" spans="1:10" ht="15.75" hidden="1" thickBot="1" x14ac:dyDescent="0.3">
      <c r="A3944" s="182"/>
      <c r="B3944" s="188"/>
      <c r="C3944" s="55"/>
      <c r="D3944" s="55"/>
      <c r="E3944" s="66"/>
      <c r="F3944" s="76" t="s">
        <v>558</v>
      </c>
      <c r="G3944" s="76" t="str">
        <f>IF(ISNUMBER(F3944),E3944*F3944,"")</f>
        <v/>
      </c>
      <c r="H3944" s="77"/>
      <c r="I3944" s="74"/>
      <c r="J3944" s="155">
        <v>0</v>
      </c>
    </row>
    <row r="3945" spans="1:10" ht="15.75" hidden="1" thickBot="1" x14ac:dyDescent="0.3">
      <c r="A3945" s="180" t="s">
        <v>1256</v>
      </c>
      <c r="B3945" s="186" t="str">
        <f>INDEX(Orçamentária!A:B,MATCH(Composições!A3945,Orçamentária!A:A,0),2)</f>
        <v>Luva de cobre de 1 5/8”</v>
      </c>
      <c r="C3945" s="41"/>
      <c r="D3945" s="26" t="str">
        <f>TRIM(INDEX(Orçamentária!C:C,MATCH(Composições!A3945,Orçamentária!A:A,0),1))</f>
        <v>un</v>
      </c>
      <c r="E3945" s="27"/>
      <c r="F3945" s="49" t="s">
        <v>558</v>
      </c>
      <c r="G3945" s="28" t="str">
        <f>IF(ISNUMBER(F3945),E3945*F3945,"")</f>
        <v/>
      </c>
      <c r="H3945" s="29"/>
      <c r="I3945" s="30"/>
      <c r="J3945" s="155">
        <v>0</v>
      </c>
    </row>
    <row r="3946" spans="1:10" ht="15.75" hidden="1" thickBot="1" x14ac:dyDescent="0.3">
      <c r="A3946" s="181"/>
      <c r="B3946" s="202"/>
      <c r="C3946" s="32"/>
      <c r="D3946" s="32"/>
      <c r="E3946" s="33"/>
      <c r="F3946" s="54" t="s">
        <v>558</v>
      </c>
      <c r="G3946" s="54" t="str">
        <f>IF(ISNUMBER(F3946),E3946*F3946,"")</f>
        <v/>
      </c>
      <c r="H3946" s="73"/>
      <c r="I3946" s="74"/>
      <c r="J3946" s="155">
        <v>0</v>
      </c>
    </row>
    <row r="3947" spans="1:10" ht="26.25" hidden="1" thickBot="1" x14ac:dyDescent="0.3">
      <c r="A3947" s="181"/>
      <c r="B3947" s="202"/>
      <c r="C3947" s="36" t="s">
        <v>1257</v>
      </c>
      <c r="D3947" s="47" t="s">
        <v>292</v>
      </c>
      <c r="E3947" s="37">
        <v>1</v>
      </c>
      <c r="F3947" s="54">
        <v>30.618499999999994</v>
      </c>
      <c r="G3947" s="54">
        <f>IF(ISNUMBER(F3947),E3947*F3947,"")</f>
        <v>30.618499999999994</v>
      </c>
      <c r="H3947" s="39">
        <f>SUM(G3947:G3952)</f>
        <v>41.095102849999996</v>
      </c>
      <c r="I3947" s="40"/>
      <c r="J3947" s="155">
        <v>0</v>
      </c>
    </row>
    <row r="3948" spans="1:10" ht="26.25" hidden="1" thickBot="1" x14ac:dyDescent="0.3">
      <c r="A3948" s="181"/>
      <c r="B3948" s="202"/>
      <c r="C3948" s="36" t="s">
        <v>1247</v>
      </c>
      <c r="D3948" s="47" t="s">
        <v>292</v>
      </c>
      <c r="E3948" s="37">
        <v>1.7600000000000001E-2</v>
      </c>
      <c r="F3948" s="54">
        <v>287.06150000000002</v>
      </c>
      <c r="G3948" s="54">
        <f>IF(ISNUMBER(F3948),E3948*F3948,"")</f>
        <v>5.0522824000000011</v>
      </c>
      <c r="H3948" s="73"/>
      <c r="I3948" s="74"/>
      <c r="J3948" s="155">
        <v>0</v>
      </c>
    </row>
    <row r="3949" spans="1:10" ht="15.75" hidden="1" thickBot="1" x14ac:dyDescent="0.3">
      <c r="A3949" s="181"/>
      <c r="B3949" s="202"/>
      <c r="C3949" s="36" t="s">
        <v>1248</v>
      </c>
      <c r="D3949" s="36" t="s">
        <v>292</v>
      </c>
      <c r="E3949" s="37">
        <v>6.93E-2</v>
      </c>
      <c r="F3949" s="54">
        <v>2.09</v>
      </c>
      <c r="G3949" s="54">
        <f>IF(ISNUMBER(F3949),E3949*F3949,"")</f>
        <v>0.14483699999999999</v>
      </c>
      <c r="H3949" s="73"/>
      <c r="I3949" s="74"/>
      <c r="J3949" s="155">
        <v>0</v>
      </c>
    </row>
    <row r="3950" spans="1:10" ht="26.25" hidden="1" thickBot="1" x14ac:dyDescent="0.3">
      <c r="A3950" s="181"/>
      <c r="B3950" s="202"/>
      <c r="C3950" s="36" t="s">
        <v>1249</v>
      </c>
      <c r="D3950" s="36" t="s">
        <v>292</v>
      </c>
      <c r="E3950" s="37">
        <v>2.29E-2</v>
      </c>
      <c r="F3950" s="54">
        <v>52.6205</v>
      </c>
      <c r="G3950" s="54">
        <f>IF(ISNUMBER(F3950),E3950*F3950,"")</f>
        <v>1.2050094499999999</v>
      </c>
      <c r="H3950" s="73"/>
      <c r="I3950" s="74"/>
      <c r="J3950" s="155">
        <v>0</v>
      </c>
    </row>
    <row r="3951" spans="1:10" ht="26.25" hidden="1" thickBot="1" x14ac:dyDescent="0.3">
      <c r="A3951" s="181"/>
      <c r="B3951" s="202"/>
      <c r="C3951" s="36" t="s">
        <v>993</v>
      </c>
      <c r="D3951" s="36" t="s">
        <v>742</v>
      </c>
      <c r="E3951" s="37">
        <v>0.10299999999999999</v>
      </c>
      <c r="F3951" s="54">
        <v>17.3185</v>
      </c>
      <c r="G3951" s="54">
        <f>IF(ISNUMBER(F3951),E3951*F3951,"")</f>
        <v>1.7838054999999999</v>
      </c>
      <c r="H3951" s="73"/>
      <c r="I3951" s="74"/>
      <c r="J3951" s="155">
        <v>0</v>
      </c>
    </row>
    <row r="3952" spans="1:10" ht="26.25" hidden="1" thickBot="1" x14ac:dyDescent="0.3">
      <c r="A3952" s="181"/>
      <c r="B3952" s="202"/>
      <c r="C3952" s="36" t="s">
        <v>994</v>
      </c>
      <c r="D3952" s="36" t="s">
        <v>742</v>
      </c>
      <c r="E3952" s="37">
        <v>0.10299999999999999</v>
      </c>
      <c r="F3952" s="54">
        <v>22.2395</v>
      </c>
      <c r="G3952" s="54">
        <f>IF(ISNUMBER(F3952),E3952*F3952,"")</f>
        <v>2.2906684999999998</v>
      </c>
      <c r="H3952" s="73"/>
      <c r="I3952" s="74"/>
      <c r="J3952" s="155">
        <v>0</v>
      </c>
    </row>
    <row r="3953" spans="1:10" ht="15.75" hidden="1" thickBot="1" x14ac:dyDescent="0.3">
      <c r="A3953" s="182"/>
      <c r="B3953" s="188"/>
      <c r="C3953" s="55"/>
      <c r="D3953" s="55"/>
      <c r="E3953" s="66"/>
      <c r="F3953" s="76" t="s">
        <v>558</v>
      </c>
      <c r="G3953" s="76" t="str">
        <f>IF(ISNUMBER(F3953),E3953*F3953,"")</f>
        <v/>
      </c>
      <c r="H3953" s="77"/>
      <c r="I3953" s="74"/>
      <c r="J3953" s="155">
        <v>0</v>
      </c>
    </row>
    <row r="3954" spans="1:10" ht="15.75" hidden="1" thickBot="1" x14ac:dyDescent="0.3">
      <c r="A3954" s="180" t="s">
        <v>1258</v>
      </c>
      <c r="B3954" s="186" t="str">
        <f>INDEX(Orçamentária!A:B,MATCH(Composições!A3954,Orçamentária!A:A,0),2)</f>
        <v>Luva de cobre de 7/8”</v>
      </c>
      <c r="C3954" s="41"/>
      <c r="D3954" s="26" t="str">
        <f>TRIM(INDEX(Orçamentária!C:C,MATCH(Composições!A3954,Orçamentária!A:A,0),1))</f>
        <v>un</v>
      </c>
      <c r="E3954" s="27"/>
      <c r="F3954" s="49" t="s">
        <v>558</v>
      </c>
      <c r="G3954" s="28" t="str">
        <f>IF(ISNUMBER(F3954),E3954*F3954,"")</f>
        <v/>
      </c>
      <c r="H3954" s="29"/>
      <c r="I3954" s="30"/>
      <c r="J3954" s="155">
        <v>0</v>
      </c>
    </row>
    <row r="3955" spans="1:10" ht="15.75" hidden="1" thickBot="1" x14ac:dyDescent="0.3">
      <c r="A3955" s="181"/>
      <c r="B3955" s="202"/>
      <c r="C3955" s="32"/>
      <c r="D3955" s="32"/>
      <c r="E3955" s="33"/>
      <c r="F3955" s="54" t="s">
        <v>558</v>
      </c>
      <c r="G3955" s="54" t="str">
        <f>IF(ISNUMBER(F3955),E3955*F3955,"")</f>
        <v/>
      </c>
      <c r="H3955" s="73"/>
      <c r="I3955" s="74"/>
      <c r="J3955" s="155">
        <v>0</v>
      </c>
    </row>
    <row r="3956" spans="1:10" ht="26.25" hidden="1" thickBot="1" x14ac:dyDescent="0.3">
      <c r="A3956" s="181"/>
      <c r="B3956" s="202"/>
      <c r="C3956" s="36" t="s">
        <v>1259</v>
      </c>
      <c r="D3956" s="47" t="s">
        <v>292</v>
      </c>
      <c r="E3956" s="37">
        <v>1</v>
      </c>
      <c r="F3956" s="54">
        <v>5.4530000000000003</v>
      </c>
      <c r="G3956" s="54">
        <f>IF(ISNUMBER(F3956),E3956*F3956,"")</f>
        <v>5.4530000000000003</v>
      </c>
      <c r="H3956" s="39">
        <f>SUM(G3956:G3961)</f>
        <v>9.7844043500000009</v>
      </c>
      <c r="I3956" s="40"/>
      <c r="J3956" s="155">
        <v>0</v>
      </c>
    </row>
    <row r="3957" spans="1:10" ht="26.25" hidden="1" thickBot="1" x14ac:dyDescent="0.3">
      <c r="A3957" s="181"/>
      <c r="B3957" s="202"/>
      <c r="C3957" s="36" t="s">
        <v>1247</v>
      </c>
      <c r="D3957" s="47" t="s">
        <v>292</v>
      </c>
      <c r="E3957" s="37">
        <v>4.7999999999999996E-3</v>
      </c>
      <c r="F3957" s="54">
        <v>287.06150000000002</v>
      </c>
      <c r="G3957" s="54">
        <f>IF(ISNUMBER(F3957),E3957*F3957,"")</f>
        <v>1.3778952</v>
      </c>
      <c r="H3957" s="73"/>
      <c r="I3957" s="74"/>
      <c r="J3957" s="155">
        <v>0</v>
      </c>
    </row>
    <row r="3958" spans="1:10" ht="15.75" hidden="1" thickBot="1" x14ac:dyDescent="0.3">
      <c r="A3958" s="181"/>
      <c r="B3958" s="202"/>
      <c r="C3958" s="36" t="s">
        <v>1248</v>
      </c>
      <c r="D3958" s="36" t="s">
        <v>292</v>
      </c>
      <c r="E3958" s="37">
        <v>4.3200000000000002E-2</v>
      </c>
      <c r="F3958" s="54">
        <v>2.09</v>
      </c>
      <c r="G3958" s="54">
        <f>IF(ISNUMBER(F3958),E3958*F3958,"")</f>
        <v>9.0287999999999993E-2</v>
      </c>
      <c r="H3958" s="73"/>
      <c r="I3958" s="74"/>
      <c r="J3958" s="155">
        <v>0</v>
      </c>
    </row>
    <row r="3959" spans="1:10" ht="26.25" hidden="1" thickBot="1" x14ac:dyDescent="0.3">
      <c r="A3959" s="181"/>
      <c r="B3959" s="202"/>
      <c r="C3959" s="36" t="s">
        <v>1249</v>
      </c>
      <c r="D3959" s="36" t="s">
        <v>292</v>
      </c>
      <c r="E3959" s="37">
        <v>6.3E-3</v>
      </c>
      <c r="F3959" s="54">
        <v>52.6205</v>
      </c>
      <c r="G3959" s="54">
        <f>IF(ISNUMBER(F3959),E3959*F3959,"")</f>
        <v>0.33150914999999997</v>
      </c>
      <c r="H3959" s="73"/>
      <c r="I3959" s="74"/>
      <c r="J3959" s="155">
        <v>0</v>
      </c>
    </row>
    <row r="3960" spans="1:10" ht="26.25" hidden="1" thickBot="1" x14ac:dyDescent="0.3">
      <c r="A3960" s="181"/>
      <c r="B3960" s="202"/>
      <c r="C3960" s="36" t="s">
        <v>993</v>
      </c>
      <c r="D3960" s="36" t="s">
        <v>742</v>
      </c>
      <c r="E3960" s="37">
        <v>6.4000000000000001E-2</v>
      </c>
      <c r="F3960" s="54">
        <v>17.3185</v>
      </c>
      <c r="G3960" s="54">
        <f>IF(ISNUMBER(F3960),E3960*F3960,"")</f>
        <v>1.108384</v>
      </c>
      <c r="H3960" s="73"/>
      <c r="I3960" s="74"/>
      <c r="J3960" s="155">
        <v>0</v>
      </c>
    </row>
    <row r="3961" spans="1:10" ht="26.25" hidden="1" thickBot="1" x14ac:dyDescent="0.3">
      <c r="A3961" s="181"/>
      <c r="B3961" s="202"/>
      <c r="C3961" s="36" t="s">
        <v>994</v>
      </c>
      <c r="D3961" s="36" t="s">
        <v>742</v>
      </c>
      <c r="E3961" s="37">
        <v>6.4000000000000001E-2</v>
      </c>
      <c r="F3961" s="54">
        <v>22.2395</v>
      </c>
      <c r="G3961" s="54">
        <f>IF(ISNUMBER(F3961),E3961*F3961,"")</f>
        <v>1.4233279999999999</v>
      </c>
      <c r="H3961" s="73"/>
      <c r="I3961" s="74"/>
      <c r="J3961" s="155">
        <v>0</v>
      </c>
    </row>
    <row r="3962" spans="1:10" ht="15.75" hidden="1" thickBot="1" x14ac:dyDescent="0.3">
      <c r="A3962" s="182"/>
      <c r="B3962" s="188"/>
      <c r="C3962" s="55"/>
      <c r="D3962" s="55"/>
      <c r="E3962" s="66"/>
      <c r="F3962" s="76" t="s">
        <v>558</v>
      </c>
      <c r="G3962" s="76" t="str">
        <f>IF(ISNUMBER(F3962),E3962*F3962,"")</f>
        <v/>
      </c>
      <c r="H3962" s="77"/>
      <c r="I3962" s="74"/>
      <c r="J3962" s="155">
        <v>0</v>
      </c>
    </row>
    <row r="3963" spans="1:10" ht="15.75" hidden="1" thickBot="1" x14ac:dyDescent="0.3">
      <c r="A3963" s="180" t="s">
        <v>1260</v>
      </c>
      <c r="B3963" s="186" t="str">
        <f>INDEX(Orçamentária!A:B,MATCH(Composições!A3963,Orçamentária!A:A,0),2)</f>
        <v>Tubo de cobre de 1 3/8”</v>
      </c>
      <c r="C3963" s="41"/>
      <c r="D3963" s="26" t="str">
        <f>TRIM(INDEX(Orçamentária!C:C,MATCH(Composições!A3963,Orçamentária!A:A,0),1))</f>
        <v>m</v>
      </c>
      <c r="E3963" s="27"/>
      <c r="F3963" s="49" t="s">
        <v>558</v>
      </c>
      <c r="G3963" s="28" t="str">
        <f>IF(ISNUMBER(F3963),E3963*F3963,"")</f>
        <v/>
      </c>
      <c r="H3963" s="29"/>
      <c r="I3963" s="30"/>
      <c r="J3963" s="155">
        <v>0</v>
      </c>
    </row>
    <row r="3964" spans="1:10" ht="15.75" hidden="1" thickBot="1" x14ac:dyDescent="0.3">
      <c r="A3964" s="181"/>
      <c r="B3964" s="202"/>
      <c r="C3964" s="32"/>
      <c r="D3964" s="32"/>
      <c r="E3964" s="33"/>
      <c r="F3964" s="54" t="s">
        <v>558</v>
      </c>
      <c r="G3964" s="54" t="str">
        <f>IF(ISNUMBER(F3964),E3964*F3964,"")</f>
        <v/>
      </c>
      <c r="H3964" s="73"/>
      <c r="I3964" s="74"/>
      <c r="J3964" s="155">
        <v>0</v>
      </c>
    </row>
    <row r="3965" spans="1:10" ht="39" hidden="1" thickBot="1" x14ac:dyDescent="0.3">
      <c r="A3965" s="181"/>
      <c r="B3965" s="202"/>
      <c r="C3965" s="36" t="s">
        <v>1261</v>
      </c>
      <c r="D3965" s="36" t="s">
        <v>513</v>
      </c>
      <c r="E3965" s="37">
        <v>1.0210999999999999</v>
      </c>
      <c r="F3965" s="54">
        <v>146.13849999999999</v>
      </c>
      <c r="G3965" s="54">
        <f>IF(ISNUMBER(F3965),E3965*F3965,"")</f>
        <v>149.22202234999997</v>
      </c>
      <c r="H3965" s="39">
        <f>SUM(G3965:G3967)</f>
        <v>151.83285034999997</v>
      </c>
      <c r="I3965" s="40"/>
      <c r="J3965" s="155">
        <v>0</v>
      </c>
    </row>
    <row r="3966" spans="1:10" ht="26.25" hidden="1" thickBot="1" x14ac:dyDescent="0.3">
      <c r="A3966" s="181"/>
      <c r="B3966" s="202"/>
      <c r="C3966" s="36" t="s">
        <v>993</v>
      </c>
      <c r="D3966" s="36" t="s">
        <v>742</v>
      </c>
      <c r="E3966" s="37">
        <v>6.6000000000000003E-2</v>
      </c>
      <c r="F3966" s="54">
        <v>17.3185</v>
      </c>
      <c r="G3966" s="54">
        <f>IF(ISNUMBER(F3966),E3966*F3966,"")</f>
        <v>1.1430210000000001</v>
      </c>
      <c r="H3966" s="73"/>
      <c r="I3966" s="74"/>
      <c r="J3966" s="155">
        <v>0</v>
      </c>
    </row>
    <row r="3967" spans="1:10" ht="26.25" hidden="1" thickBot="1" x14ac:dyDescent="0.3">
      <c r="A3967" s="181"/>
      <c r="B3967" s="202"/>
      <c r="C3967" s="36" t="s">
        <v>994</v>
      </c>
      <c r="D3967" s="36" t="s">
        <v>742</v>
      </c>
      <c r="E3967" s="37">
        <v>6.6000000000000003E-2</v>
      </c>
      <c r="F3967" s="54">
        <v>22.2395</v>
      </c>
      <c r="G3967" s="54">
        <f>IF(ISNUMBER(F3967),E3967*F3967,"")</f>
        <v>1.4678070000000001</v>
      </c>
      <c r="H3967" s="73"/>
      <c r="I3967" s="74"/>
      <c r="J3967" s="155">
        <v>0</v>
      </c>
    </row>
    <row r="3968" spans="1:10" ht="15.75" hidden="1" thickBot="1" x14ac:dyDescent="0.3">
      <c r="A3968" s="181"/>
      <c r="B3968" s="202"/>
      <c r="C3968" s="55"/>
      <c r="D3968" s="55"/>
      <c r="E3968" s="66"/>
      <c r="F3968" s="76" t="s">
        <v>558</v>
      </c>
      <c r="G3968" s="76" t="str">
        <f>IF(ISNUMBER(F3968),E3968*F3968,"")</f>
        <v/>
      </c>
      <c r="H3968" s="77"/>
      <c r="I3968" s="74"/>
      <c r="J3968" s="155">
        <v>0</v>
      </c>
    </row>
    <row r="3969" spans="1:10" ht="15.75" hidden="1" thickBot="1" x14ac:dyDescent="0.3">
      <c r="A3969" s="180" t="s">
        <v>1262</v>
      </c>
      <c r="B3969" s="186" t="str">
        <f>INDEX(Orçamentária!A:B,MATCH(Composições!A3969,Orçamentária!A:A,0),2)</f>
        <v>Tubo de cobre de 1 5/8”</v>
      </c>
      <c r="C3969" s="41"/>
      <c r="D3969" s="26" t="str">
        <f>TRIM(INDEX(Orçamentária!C:C,MATCH(Composições!A3969,Orçamentária!A:A,0),1))</f>
        <v>m</v>
      </c>
      <c r="E3969" s="27"/>
      <c r="F3969" s="49" t="s">
        <v>558</v>
      </c>
      <c r="G3969" s="28" t="str">
        <f>IF(ISNUMBER(F3969),E3969*F3969,"")</f>
        <v/>
      </c>
      <c r="H3969" s="29"/>
      <c r="I3969" s="30"/>
      <c r="J3969" s="155">
        <v>0</v>
      </c>
    </row>
    <row r="3970" spans="1:10" ht="15.75" hidden="1" thickBot="1" x14ac:dyDescent="0.3">
      <c r="A3970" s="181"/>
      <c r="B3970" s="202"/>
      <c r="C3970" s="32"/>
      <c r="D3970" s="32"/>
      <c r="E3970" s="33"/>
      <c r="F3970" s="54" t="s">
        <v>558</v>
      </c>
      <c r="G3970" s="54" t="str">
        <f>IF(ISNUMBER(F3970),E3970*F3970,"")</f>
        <v/>
      </c>
      <c r="H3970" s="73"/>
      <c r="I3970" s="74"/>
      <c r="J3970" s="155">
        <v>0</v>
      </c>
    </row>
    <row r="3971" spans="1:10" ht="39" hidden="1" thickBot="1" x14ac:dyDescent="0.3">
      <c r="A3971" s="181"/>
      <c r="B3971" s="202"/>
      <c r="C3971" s="36" t="s">
        <v>1263</v>
      </c>
      <c r="D3971" s="36" t="s">
        <v>513</v>
      </c>
      <c r="E3971" s="37">
        <v>1.0210999999999999</v>
      </c>
      <c r="F3971" s="54">
        <v>175.82599999999999</v>
      </c>
      <c r="G3971" s="54">
        <f>IF(ISNUMBER(F3971),E3971*F3971,"")</f>
        <v>179.53592859999998</v>
      </c>
      <c r="H3971" s="39">
        <f>SUM(G3971:G3973)</f>
        <v>182.54233659999997</v>
      </c>
      <c r="I3971" s="40"/>
      <c r="J3971" s="155">
        <v>0</v>
      </c>
    </row>
    <row r="3972" spans="1:10" ht="26.25" hidden="1" thickBot="1" x14ac:dyDescent="0.3">
      <c r="A3972" s="181"/>
      <c r="B3972" s="202"/>
      <c r="C3972" s="36" t="s">
        <v>993</v>
      </c>
      <c r="D3972" s="36" t="s">
        <v>742</v>
      </c>
      <c r="E3972" s="37">
        <v>7.5999999999999998E-2</v>
      </c>
      <c r="F3972" s="54">
        <v>17.3185</v>
      </c>
      <c r="G3972" s="54">
        <f>IF(ISNUMBER(F3972),E3972*F3972,"")</f>
        <v>1.316206</v>
      </c>
      <c r="H3972" s="73"/>
      <c r="I3972" s="74"/>
      <c r="J3972" s="155">
        <v>0</v>
      </c>
    </row>
    <row r="3973" spans="1:10" ht="26.25" hidden="1" thickBot="1" x14ac:dyDescent="0.3">
      <c r="A3973" s="181"/>
      <c r="B3973" s="202"/>
      <c r="C3973" s="36" t="s">
        <v>994</v>
      </c>
      <c r="D3973" s="36" t="s">
        <v>742</v>
      </c>
      <c r="E3973" s="37">
        <v>7.5999999999999998E-2</v>
      </c>
      <c r="F3973" s="54">
        <v>22.2395</v>
      </c>
      <c r="G3973" s="54">
        <f>IF(ISNUMBER(F3973),E3973*F3973,"")</f>
        <v>1.690202</v>
      </c>
      <c r="H3973" s="73"/>
      <c r="I3973" s="74"/>
      <c r="J3973" s="155">
        <v>0</v>
      </c>
    </row>
    <row r="3974" spans="1:10" ht="15.75" hidden="1" thickBot="1" x14ac:dyDescent="0.3">
      <c r="A3974" s="181"/>
      <c r="B3974" s="202"/>
      <c r="C3974" s="55"/>
      <c r="D3974" s="55"/>
      <c r="E3974" s="66"/>
      <c r="F3974" s="76" t="s">
        <v>558</v>
      </c>
      <c r="G3974" s="76" t="str">
        <f>IF(ISNUMBER(F3974),E3974*F3974,"")</f>
        <v/>
      </c>
      <c r="H3974" s="77"/>
      <c r="I3974" s="74"/>
      <c r="J3974" s="155">
        <v>0</v>
      </c>
    </row>
    <row r="3975" spans="1:10" ht="15.75" hidden="1" thickBot="1" x14ac:dyDescent="0.3">
      <c r="A3975" s="180" t="s">
        <v>1264</v>
      </c>
      <c r="B3975" s="186" t="str">
        <f>INDEX(Orçamentária!A:B,MATCH(Composições!A3975,Orçamentária!A:A,0),2)</f>
        <v>Eletroduto flexível metálico com capa de PVC 1 1/2"</v>
      </c>
      <c r="C3975" s="41"/>
      <c r="D3975" s="26" t="str">
        <f>TRIM(INDEX(Orçamentária!C:C,MATCH(Composições!A3975,Orçamentária!A:A,0),1))</f>
        <v>m</v>
      </c>
      <c r="E3975" s="27"/>
      <c r="F3975" s="49" t="s">
        <v>558</v>
      </c>
      <c r="G3975" s="28" t="str">
        <f>IF(ISNUMBER(F3975),E3975*F3975,"")</f>
        <v/>
      </c>
      <c r="H3975" s="29"/>
      <c r="I3975" s="30"/>
      <c r="J3975" s="155">
        <v>0</v>
      </c>
    </row>
    <row r="3976" spans="1:10" ht="15.75" hidden="1" thickBot="1" x14ac:dyDescent="0.3">
      <c r="A3976" s="181"/>
      <c r="B3976" s="202"/>
      <c r="C3976" s="32"/>
      <c r="D3976" s="32"/>
      <c r="E3976" s="33"/>
      <c r="F3976" s="54" t="s">
        <v>558</v>
      </c>
      <c r="G3976" s="54" t="str">
        <f>IF(ISNUMBER(F3976),E3976*F3976,"")</f>
        <v/>
      </c>
      <c r="H3976" s="73"/>
      <c r="I3976" s="74"/>
      <c r="J3976" s="155">
        <v>0</v>
      </c>
    </row>
    <row r="3977" spans="1:10" ht="39" hidden="1" thickBot="1" x14ac:dyDescent="0.3">
      <c r="A3977" s="181"/>
      <c r="B3977" s="202"/>
      <c r="C3977" s="36" t="s">
        <v>1265</v>
      </c>
      <c r="D3977" s="47" t="s">
        <v>513</v>
      </c>
      <c r="E3977" s="37">
        <v>1.1000000000000001</v>
      </c>
      <c r="F3977" s="54">
        <v>25.9255</v>
      </c>
      <c r="G3977" s="54">
        <f>IF(ISNUMBER(F3977),E3977*F3977,"")</f>
        <v>28.518050000000002</v>
      </c>
      <c r="H3977" s="39">
        <f>SUM(G3977:G3980)</f>
        <v>33.899524500000005</v>
      </c>
      <c r="I3977" s="40"/>
      <c r="J3977" s="155">
        <v>0</v>
      </c>
    </row>
    <row r="3978" spans="1:10" ht="26.25" hidden="1" thickBot="1" x14ac:dyDescent="0.3">
      <c r="A3978" s="181"/>
      <c r="B3978" s="202"/>
      <c r="C3978" s="36" t="s">
        <v>3598</v>
      </c>
      <c r="D3978" s="47" t="s">
        <v>938</v>
      </c>
      <c r="E3978" s="37">
        <v>2.3E-3</v>
      </c>
      <c r="F3978" s="54">
        <v>21.754999999999999</v>
      </c>
      <c r="G3978" s="54">
        <f>IF(ISNUMBER(F3978),E3978*F3978,"")</f>
        <v>5.0036499999999998E-2</v>
      </c>
      <c r="H3978" s="73"/>
      <c r="I3978" s="74"/>
      <c r="J3978" s="155">
        <v>0</v>
      </c>
    </row>
    <row r="3979" spans="1:10" ht="15.75" hidden="1" thickBot="1" x14ac:dyDescent="0.3">
      <c r="A3979" s="181"/>
      <c r="B3979" s="202"/>
      <c r="C3979" s="36" t="s">
        <v>1213</v>
      </c>
      <c r="D3979" s="36" t="s">
        <v>742</v>
      </c>
      <c r="E3979" s="37">
        <v>0.13100000000000001</v>
      </c>
      <c r="F3979" s="54">
        <v>17.802999999999997</v>
      </c>
      <c r="G3979" s="54">
        <f>IF(ISNUMBER(F3979),E3979*F3979,"")</f>
        <v>2.3321929999999997</v>
      </c>
      <c r="H3979" s="73"/>
      <c r="I3979" s="74"/>
      <c r="J3979" s="155">
        <v>0</v>
      </c>
    </row>
    <row r="3980" spans="1:10" ht="15.75" hidden="1" thickBot="1" x14ac:dyDescent="0.3">
      <c r="A3980" s="181"/>
      <c r="B3980" s="202"/>
      <c r="C3980" s="36" t="s">
        <v>1214</v>
      </c>
      <c r="D3980" s="36" t="s">
        <v>742</v>
      </c>
      <c r="E3980" s="37">
        <v>0.13100000000000001</v>
      </c>
      <c r="F3980" s="54">
        <v>22.895</v>
      </c>
      <c r="G3980" s="54">
        <f>IF(ISNUMBER(F3980),E3980*F3980,"")</f>
        <v>2.9992450000000002</v>
      </c>
      <c r="H3980" s="73"/>
      <c r="I3980" s="74"/>
      <c r="J3980" s="155">
        <v>0</v>
      </c>
    </row>
    <row r="3981" spans="1:10" ht="15.75" hidden="1" thickBot="1" x14ac:dyDescent="0.3">
      <c r="A3981" s="181"/>
      <c r="B3981" s="202"/>
      <c r="C3981" s="55"/>
      <c r="D3981" s="55"/>
      <c r="E3981" s="66"/>
      <c r="F3981" s="76" t="s">
        <v>558</v>
      </c>
      <c r="G3981" s="76" t="str">
        <f>IF(ISNUMBER(F3981),E3981*F3981,"")</f>
        <v/>
      </c>
      <c r="H3981" s="77"/>
      <c r="I3981" s="74"/>
      <c r="J3981" s="155">
        <v>0</v>
      </c>
    </row>
    <row r="3982" spans="1:10" ht="15.75" hidden="1" thickBot="1" x14ac:dyDescent="0.3">
      <c r="A3982" s="180" t="s">
        <v>1266</v>
      </c>
      <c r="B3982" s="186" t="str">
        <f>INDEX(Orçamentária!A:B,MATCH(Composições!A3982,Orçamentária!A:A,0),2)</f>
        <v>Técnico(a) em Edificações - Planejamento de Manutenção</v>
      </c>
      <c r="C3982" s="41"/>
      <c r="D3982" s="26" t="str">
        <f>TRIM(INDEX(Orçamentária!C:C,MATCH(Composições!A3982,Orçamentária!A:A,0),1))</f>
        <v>Profissional</v>
      </c>
      <c r="E3982" s="27"/>
      <c r="F3982" s="49" t="s">
        <v>558</v>
      </c>
      <c r="G3982" s="28" t="str">
        <f>IF(ISNUMBER(F3982),E3982*F3982,"")</f>
        <v/>
      </c>
      <c r="H3982" s="29"/>
      <c r="I3982" s="30"/>
      <c r="J3982" s="155">
        <v>0</v>
      </c>
    </row>
    <row r="3983" spans="1:10" ht="15.75" hidden="1" thickBot="1" x14ac:dyDescent="0.3">
      <c r="A3983" s="181"/>
      <c r="B3983" s="202"/>
      <c r="C3983" s="32"/>
      <c r="D3983" s="32"/>
      <c r="E3983" s="33"/>
      <c r="F3983" s="54" t="s">
        <v>558</v>
      </c>
      <c r="G3983" s="54" t="str">
        <f>IF(ISNUMBER(F3983),E3983*F3983,"")</f>
        <v/>
      </c>
      <c r="H3983" s="73"/>
      <c r="I3983" s="74"/>
      <c r="J3983" s="155">
        <v>0</v>
      </c>
    </row>
    <row r="3984" spans="1:10" ht="15.75" hidden="1" thickBot="1" x14ac:dyDescent="0.3">
      <c r="A3984" s="181"/>
      <c r="B3984" s="202"/>
      <c r="C3984" s="36" t="s">
        <v>1267</v>
      </c>
      <c r="D3984" s="47" t="s">
        <v>12</v>
      </c>
      <c r="E3984" s="37">
        <f>ROUND(1/(1+72.54%),2)</f>
        <v>0.57999999999999996</v>
      </c>
      <c r="F3984" s="54">
        <v>3076.8694999999998</v>
      </c>
      <c r="G3984" s="54">
        <f>IF(ISNUMBER(F3984),E3984*F3984,"")</f>
        <v>1784.5843099999997</v>
      </c>
      <c r="H3984" s="39">
        <f>SUM(G3984:G3984)</f>
        <v>1784.5843099999997</v>
      </c>
      <c r="I3984" s="40"/>
      <c r="J3984" s="155">
        <v>0</v>
      </c>
    </row>
    <row r="3985" spans="1:10" ht="15.75" hidden="1" thickBot="1" x14ac:dyDescent="0.3">
      <c r="A3985" s="181"/>
      <c r="B3985" s="202"/>
      <c r="C3985" s="36"/>
      <c r="D3985" s="47"/>
      <c r="E3985" s="37"/>
      <c r="F3985" s="54" t="s">
        <v>558</v>
      </c>
      <c r="G3985" s="54" t="str">
        <f>IF(ISNUMBER(F3985),E3985*F3985,"")</f>
        <v/>
      </c>
      <c r="H3985" s="73"/>
      <c r="I3985" s="74"/>
      <c r="J3985" s="155">
        <v>0</v>
      </c>
    </row>
    <row r="3986" spans="1:10" ht="26.25" hidden="1" thickBot="1" x14ac:dyDescent="0.3">
      <c r="A3986" s="181"/>
      <c r="B3986" s="202"/>
      <c r="C3986" s="48" t="s">
        <v>820</v>
      </c>
      <c r="D3986" s="47"/>
      <c r="E3986" s="37"/>
      <c r="F3986" s="54" t="s">
        <v>558</v>
      </c>
      <c r="G3986" s="54" t="str">
        <f>IF(ISNUMBER(F3986),E3986*F3986,"")</f>
        <v/>
      </c>
      <c r="H3986" s="73"/>
      <c r="I3986" s="74"/>
      <c r="J3986" s="155">
        <v>0</v>
      </c>
    </row>
    <row r="3987" spans="1:10" ht="15.75" hidden="1" thickBot="1" x14ac:dyDescent="0.3">
      <c r="A3987" s="181"/>
      <c r="B3987" s="202"/>
      <c r="C3987" s="55"/>
      <c r="D3987" s="55"/>
      <c r="E3987" s="66"/>
      <c r="F3987" s="76" t="s">
        <v>558</v>
      </c>
      <c r="G3987" s="76" t="str">
        <f>IF(ISNUMBER(F3987),E3987*F3987,"")</f>
        <v/>
      </c>
      <c r="H3987" s="77"/>
      <c r="I3987" s="74"/>
      <c r="J3987" s="155">
        <v>0</v>
      </c>
    </row>
    <row r="3988" spans="1:10" ht="15.75" hidden="1" thickBot="1" x14ac:dyDescent="0.3">
      <c r="A3988" s="180" t="s">
        <v>1268</v>
      </c>
      <c r="B3988" s="186" t="str">
        <f>INDEX(Orçamentária!A:B,MATCH(Composições!A3988,Orçamentária!A:A,0),2)</f>
        <v>Projeto de Impermeabilização</v>
      </c>
      <c r="C3988" s="41"/>
      <c r="D3988" s="26" t="str">
        <f>TRIM(INDEX(Orçamentária!C:C,MATCH(Composições!A3988,Orçamentária!A:A,0),1))</f>
        <v>m2</v>
      </c>
      <c r="E3988" s="27"/>
      <c r="F3988" s="49" t="s">
        <v>558</v>
      </c>
      <c r="G3988" s="28" t="str">
        <f>IF(ISNUMBER(F3988),E3988*F3988,"")</f>
        <v/>
      </c>
      <c r="H3988" s="29"/>
      <c r="I3988" s="30"/>
      <c r="J3988" s="155">
        <v>0</v>
      </c>
    </row>
    <row r="3989" spans="1:10" ht="15.75" hidden="1" thickBot="1" x14ac:dyDescent="0.3">
      <c r="A3989" s="181"/>
      <c r="B3989" s="202"/>
      <c r="C3989" s="32"/>
      <c r="D3989" s="32"/>
      <c r="E3989" s="33"/>
      <c r="F3989" s="54" t="s">
        <v>558</v>
      </c>
      <c r="G3989" s="54" t="str">
        <f>IF(ISNUMBER(F3989),E3989*F3989,"")</f>
        <v/>
      </c>
      <c r="H3989" s="73"/>
      <c r="I3989" s="74"/>
      <c r="J3989" s="155">
        <v>0</v>
      </c>
    </row>
    <row r="3990" spans="1:10" ht="15.75" hidden="1" thickBot="1" x14ac:dyDescent="0.3">
      <c r="A3990" s="181"/>
      <c r="B3990" s="202"/>
      <c r="C3990" s="36" t="s">
        <v>1269</v>
      </c>
      <c r="D3990" s="47" t="s">
        <v>12</v>
      </c>
      <c r="E3990" s="37">
        <f>ROUND(1/10,4)</f>
        <v>0.1</v>
      </c>
      <c r="F3990" s="54">
        <v>100.6525</v>
      </c>
      <c r="G3990" s="54">
        <f>IF(ISNUMBER(F3990),E3990*F3990,"")</f>
        <v>10.065250000000001</v>
      </c>
      <c r="H3990" s="39">
        <f>SUM(G3990:G3990)</f>
        <v>10.065250000000001</v>
      </c>
      <c r="I3990" s="40"/>
      <c r="J3990" s="155">
        <v>0</v>
      </c>
    </row>
    <row r="3991" spans="1:10" ht="15.75" hidden="1" thickBot="1" x14ac:dyDescent="0.3">
      <c r="A3991" s="181"/>
      <c r="B3991" s="202"/>
      <c r="C3991" s="36"/>
      <c r="D3991" s="47"/>
      <c r="E3991" s="37"/>
      <c r="F3991" s="54" t="s">
        <v>558</v>
      </c>
      <c r="G3991" s="54" t="str">
        <f>IF(ISNUMBER(F3991),E3991*F3991,"")</f>
        <v/>
      </c>
      <c r="H3991" s="73"/>
      <c r="I3991" s="74"/>
      <c r="J3991" s="155">
        <v>0</v>
      </c>
    </row>
    <row r="3992" spans="1:10" ht="15.75" hidden="1" thickBot="1" x14ac:dyDescent="0.3">
      <c r="A3992" s="180" t="s">
        <v>1270</v>
      </c>
      <c r="B3992" s="186" t="str">
        <f>INDEX(Orçamentária!A:B,MATCH(Composições!A3992,Orçamentária!A:A,0),2)</f>
        <v>Laminado decorativo de alta pressão (LDAP)</v>
      </c>
      <c r="C3992" s="41"/>
      <c r="D3992" s="26" t="str">
        <f>TRIM(INDEX(Orçamentária!C:C,MATCH(Composições!A3992,Orçamentária!A:A,0),1))</f>
        <v>m2</v>
      </c>
      <c r="E3992" s="27"/>
      <c r="F3992" s="49" t="s">
        <v>558</v>
      </c>
      <c r="G3992" s="28" t="str">
        <f>IF(ISNUMBER(F3992),E3992*F3992,"")</f>
        <v/>
      </c>
      <c r="H3992" s="29"/>
      <c r="I3992" s="30"/>
      <c r="J3992" s="155">
        <v>0</v>
      </c>
    </row>
    <row r="3993" spans="1:10" ht="15.75" hidden="1" thickBot="1" x14ac:dyDescent="0.3">
      <c r="A3993" s="181"/>
      <c r="B3993" s="202"/>
      <c r="C3993" s="32"/>
      <c r="D3993" s="32"/>
      <c r="E3993" s="33"/>
      <c r="F3993" s="54" t="s">
        <v>558</v>
      </c>
      <c r="G3993" s="54" t="str">
        <f>IF(ISNUMBER(F3993),E3993*F3993,"")</f>
        <v/>
      </c>
      <c r="H3993" s="73"/>
      <c r="I3993" s="74"/>
      <c r="J3993" s="155">
        <v>0</v>
      </c>
    </row>
    <row r="3994" spans="1:10" ht="15.75" hidden="1" thickBot="1" x14ac:dyDescent="0.3">
      <c r="A3994" s="181"/>
      <c r="B3994" s="202"/>
      <c r="C3994" s="36" t="s">
        <v>23</v>
      </c>
      <c r="D3994" s="47" t="s">
        <v>12</v>
      </c>
      <c r="E3994" s="37">
        <v>0.18</v>
      </c>
      <c r="F3994" s="54">
        <v>16.729499999999998</v>
      </c>
      <c r="G3994" s="54">
        <f>IF(ISNUMBER(F3994),E3994*F3994,"")</f>
        <v>3.0113099999999995</v>
      </c>
      <c r="H3994" s="39">
        <f>SUM(G3994:G3997)</f>
        <v>42.218189999999993</v>
      </c>
      <c r="I3994" s="40"/>
      <c r="J3994" s="155">
        <v>0</v>
      </c>
    </row>
    <row r="3995" spans="1:10" ht="15.75" hidden="1" thickBot="1" x14ac:dyDescent="0.3">
      <c r="A3995" s="181"/>
      <c r="B3995" s="202"/>
      <c r="C3995" s="36" t="s">
        <v>1271</v>
      </c>
      <c r="D3995" s="47" t="s">
        <v>12</v>
      </c>
      <c r="E3995" s="37">
        <v>0.18</v>
      </c>
      <c r="F3995" s="54">
        <v>26.295999999999999</v>
      </c>
      <c r="G3995" s="54">
        <f>IF(ISNUMBER(F3995),E3995*F3995,"")</f>
        <v>4.7332799999999997</v>
      </c>
      <c r="H3995" s="73"/>
      <c r="I3995" s="74"/>
      <c r="J3995" s="155">
        <v>0</v>
      </c>
    </row>
    <row r="3996" spans="1:10" ht="15.75" hidden="1" thickBot="1" x14ac:dyDescent="0.3">
      <c r="A3996" s="181"/>
      <c r="B3996" s="202"/>
      <c r="C3996" s="36" t="s">
        <v>244</v>
      </c>
      <c r="D3996" s="36" t="s">
        <v>42</v>
      </c>
      <c r="E3996" s="37">
        <v>0.9</v>
      </c>
      <c r="F3996" s="54">
        <v>38.303999999999995</v>
      </c>
      <c r="G3996" s="54">
        <f>IF(ISNUMBER(F3996),E3996*F3996,"")</f>
        <v>34.473599999999998</v>
      </c>
      <c r="H3996" s="73"/>
      <c r="I3996" s="74"/>
      <c r="J3996" s="155">
        <v>0</v>
      </c>
    </row>
    <row r="3997" spans="1:10" ht="15.75" hidden="1" thickBot="1" x14ac:dyDescent="0.3">
      <c r="A3997" s="181"/>
      <c r="B3997" s="202"/>
      <c r="C3997" s="36" t="s">
        <v>1272</v>
      </c>
      <c r="D3997" s="36" t="s">
        <v>95</v>
      </c>
      <c r="E3997" s="37">
        <v>1.05</v>
      </c>
      <c r="F3997" s="54">
        <v>0</v>
      </c>
      <c r="G3997" s="54">
        <f>IF(ISNUMBER(F3997),E3997*F3997,"")</f>
        <v>0</v>
      </c>
      <c r="H3997" s="73"/>
      <c r="I3997" s="74"/>
      <c r="J3997" s="155">
        <v>0</v>
      </c>
    </row>
    <row r="3998" spans="1:10" ht="15.75" hidden="1" thickBot="1" x14ac:dyDescent="0.3">
      <c r="A3998" s="181"/>
      <c r="B3998" s="202"/>
      <c r="C3998" s="55"/>
      <c r="D3998" s="55"/>
      <c r="E3998" s="66"/>
      <c r="F3998" s="76" t="s">
        <v>558</v>
      </c>
      <c r="G3998" s="76" t="str">
        <f>IF(ISNUMBER(F3998),E3998*F3998,"")</f>
        <v/>
      </c>
      <c r="H3998" s="77"/>
      <c r="I3998" s="74"/>
      <c r="J3998" s="155">
        <v>0</v>
      </c>
    </row>
    <row r="3999" spans="1:10" ht="15.75" hidden="1" thickBot="1" x14ac:dyDescent="0.3">
      <c r="A3999" s="180" t="s">
        <v>1273</v>
      </c>
      <c r="B3999" s="186" t="str">
        <f>INDEX(Orçamentária!A:B,MATCH(Composições!A3999,Orçamentária!A:A,0),2)</f>
        <v>Granito Preto Absoluto para revestimento de superfícies internas e externas – Linha Administrativa</v>
      </c>
      <c r="C3999" s="41"/>
      <c r="D3999" s="26" t="str">
        <f>TRIM(INDEX(Orçamentária!C:C,MATCH(Composições!A3999,Orçamentária!A:A,0),1))</f>
        <v>m2</v>
      </c>
      <c r="E3999" s="27"/>
      <c r="F3999" s="42" t="s">
        <v>558</v>
      </c>
      <c r="G3999" s="28" t="str">
        <f>IF(ISNUMBER(F3999),E3999*F3999,"")</f>
        <v/>
      </c>
      <c r="H3999" s="29"/>
      <c r="I3999" s="30"/>
      <c r="J3999" s="155">
        <v>0</v>
      </c>
    </row>
    <row r="4000" spans="1:10" ht="15.75" hidden="1" thickBot="1" x14ac:dyDescent="0.3">
      <c r="A4000" s="200"/>
      <c r="B4000" s="202"/>
      <c r="C4000" s="32"/>
      <c r="D4000" s="32"/>
      <c r="E4000" s="33"/>
      <c r="F4000" s="43" t="s">
        <v>558</v>
      </c>
      <c r="G4000" s="31" t="str">
        <f>IF(ISNUMBER(F4000),E4000*F4000,"")</f>
        <v/>
      </c>
      <c r="H4000" s="35"/>
      <c r="I4000" s="31"/>
      <c r="J4000" s="155">
        <v>0</v>
      </c>
    </row>
    <row r="4001" spans="1:10" ht="15.75" hidden="1" thickBot="1" x14ac:dyDescent="0.3">
      <c r="A4001" s="200"/>
      <c r="B4001" s="202"/>
      <c r="C4001" s="36" t="s">
        <v>3619</v>
      </c>
      <c r="D4001" s="36" t="s">
        <v>42</v>
      </c>
      <c r="E4001" s="37">
        <v>8.6199999999999992</v>
      </c>
      <c r="F4001" s="34">
        <v>1.3109999999999999</v>
      </c>
      <c r="G4001" s="34">
        <f>IF(ISNUMBER(F4001),E4001*F4001,"")</f>
        <v>11.300819999999998</v>
      </c>
      <c r="H4001" s="39">
        <f>SUM(G4001:G4005)</f>
        <v>44.059688999999999</v>
      </c>
      <c r="I4001" s="40"/>
      <c r="J4001" s="155">
        <v>0</v>
      </c>
    </row>
    <row r="4002" spans="1:10" ht="15.75" hidden="1" thickBot="1" x14ac:dyDescent="0.3">
      <c r="A4002" s="200"/>
      <c r="B4002" s="202"/>
      <c r="C4002" s="36" t="s">
        <v>54</v>
      </c>
      <c r="D4002" s="36" t="s">
        <v>12</v>
      </c>
      <c r="E4002" s="37">
        <v>1.1879999999999999</v>
      </c>
      <c r="F4002" s="31">
        <v>18.9145</v>
      </c>
      <c r="G4002" s="34">
        <f>IF(ISNUMBER(F4002),E4002*F4002,"")</f>
        <v>22.470426</v>
      </c>
      <c r="H4002" s="35"/>
      <c r="I4002" s="31"/>
      <c r="J4002" s="155">
        <v>0</v>
      </c>
    </row>
    <row r="4003" spans="1:10" ht="15.75" hidden="1" thickBot="1" x14ac:dyDescent="0.3">
      <c r="A4003" s="200"/>
      <c r="B4003" s="202"/>
      <c r="C4003" s="36" t="s">
        <v>23</v>
      </c>
      <c r="D4003" s="36" t="s">
        <v>12</v>
      </c>
      <c r="E4003" s="37">
        <v>0.59399999999999997</v>
      </c>
      <c r="F4003" s="31">
        <v>16.729499999999998</v>
      </c>
      <c r="G4003" s="34">
        <f>IF(ISNUMBER(F4003),E4003*F4003,"")</f>
        <v>9.9373229999999992</v>
      </c>
      <c r="H4003" s="35"/>
      <c r="I4003" s="31"/>
      <c r="J4003" s="155">
        <v>0</v>
      </c>
    </row>
    <row r="4004" spans="1:10" ht="15.75" hidden="1" thickBot="1" x14ac:dyDescent="0.3">
      <c r="A4004" s="200"/>
      <c r="B4004" s="202"/>
      <c r="C4004" s="36" t="s">
        <v>3618</v>
      </c>
      <c r="D4004" s="36" t="s">
        <v>42</v>
      </c>
      <c r="E4004" s="37">
        <v>0.14000000000000001</v>
      </c>
      <c r="F4004" s="34">
        <v>2.508</v>
      </c>
      <c r="G4004" s="34">
        <f>IF(ISNUMBER(F4004),E4004*F4004,"")</f>
        <v>0.35112000000000004</v>
      </c>
      <c r="H4004" s="35"/>
      <c r="I4004" s="31"/>
      <c r="J4004" s="155">
        <v>0</v>
      </c>
    </row>
    <row r="4005" spans="1:10" ht="15.75" hidden="1" thickBot="1" x14ac:dyDescent="0.3">
      <c r="A4005" s="200"/>
      <c r="B4005" s="202"/>
      <c r="C4005" s="36" t="s">
        <v>1274</v>
      </c>
      <c r="D4005" s="36" t="s">
        <v>95</v>
      </c>
      <c r="E4005" s="37">
        <v>1.1599999999999999</v>
      </c>
      <c r="F4005" s="34" t="s">
        <v>558</v>
      </c>
      <c r="G4005" s="54" t="str">
        <f>IF(ISNUMBER(F4005),E4005*F4005,"")</f>
        <v/>
      </c>
      <c r="H4005" s="35"/>
      <c r="I4005" s="31"/>
      <c r="J4005" s="155">
        <v>0</v>
      </c>
    </row>
    <row r="4006" spans="1:10" ht="15.75" hidden="1" thickBot="1" x14ac:dyDescent="0.3">
      <c r="A4006" s="201"/>
      <c r="B4006" s="188"/>
      <c r="C4006" s="36"/>
      <c r="D4006" s="36"/>
      <c r="E4006" s="37"/>
      <c r="F4006" s="31" t="s">
        <v>558</v>
      </c>
      <c r="G4006" s="31" t="str">
        <f>IF(ISNUMBER(F4006),E4006*F4006,"")</f>
        <v/>
      </c>
      <c r="H4006" s="35"/>
      <c r="I4006" s="31"/>
      <c r="J4006" s="155">
        <v>0</v>
      </c>
    </row>
    <row r="4007" spans="1:10" ht="15.75" hidden="1" thickBot="1" x14ac:dyDescent="0.3">
      <c r="A4007" s="180" t="s">
        <v>1275</v>
      </c>
      <c r="B4007" s="186" t="str">
        <f>INDEX(Orçamentária!A:B,MATCH(Composições!A4007,Orçamentária!A:A,0),2)</f>
        <v>Granito Arabesco para revestimento de superfícies internas e externas – Linha Administrativa</v>
      </c>
      <c r="C4007" s="41"/>
      <c r="D4007" s="26" t="str">
        <f>TRIM(INDEX(Orçamentária!C:C,MATCH(Composições!A4007,Orçamentária!A:A,0),1))</f>
        <v>m2</v>
      </c>
      <c r="E4007" s="27"/>
      <c r="F4007" s="42" t="s">
        <v>558</v>
      </c>
      <c r="G4007" s="28" t="str">
        <f>IF(ISNUMBER(F4007),E4007*F4007,"")</f>
        <v/>
      </c>
      <c r="H4007" s="29"/>
      <c r="I4007" s="30"/>
      <c r="J4007" s="155">
        <v>0</v>
      </c>
    </row>
    <row r="4008" spans="1:10" ht="15.75" hidden="1" thickBot="1" x14ac:dyDescent="0.3">
      <c r="A4008" s="200"/>
      <c r="B4008" s="202"/>
      <c r="C4008" s="32"/>
      <c r="D4008" s="32"/>
      <c r="E4008" s="33"/>
      <c r="F4008" s="43" t="s">
        <v>558</v>
      </c>
      <c r="G4008" s="31" t="str">
        <f>IF(ISNUMBER(F4008),E4008*F4008,"")</f>
        <v/>
      </c>
      <c r="H4008" s="35"/>
      <c r="I4008" s="31"/>
      <c r="J4008" s="155">
        <v>0</v>
      </c>
    </row>
    <row r="4009" spans="1:10" ht="15.75" hidden="1" thickBot="1" x14ac:dyDescent="0.3">
      <c r="A4009" s="200"/>
      <c r="B4009" s="202"/>
      <c r="C4009" s="36" t="s">
        <v>3619</v>
      </c>
      <c r="D4009" s="36" t="s">
        <v>42</v>
      </c>
      <c r="E4009" s="37">
        <v>8.6199999999999992</v>
      </c>
      <c r="F4009" s="34">
        <v>1.3109999999999999</v>
      </c>
      <c r="G4009" s="34">
        <f>IF(ISNUMBER(F4009),E4009*F4009,"")</f>
        <v>11.300819999999998</v>
      </c>
      <c r="H4009" s="39">
        <f>SUM(G4009:G4013)</f>
        <v>44.059688999999999</v>
      </c>
      <c r="I4009" s="40"/>
      <c r="J4009" s="155">
        <v>0</v>
      </c>
    </row>
    <row r="4010" spans="1:10" ht="15.75" hidden="1" thickBot="1" x14ac:dyDescent="0.3">
      <c r="A4010" s="200"/>
      <c r="B4010" s="202"/>
      <c r="C4010" s="36" t="s">
        <v>54</v>
      </c>
      <c r="D4010" s="36" t="s">
        <v>12</v>
      </c>
      <c r="E4010" s="37">
        <v>1.1879999999999999</v>
      </c>
      <c r="F4010" s="31">
        <v>18.9145</v>
      </c>
      <c r="G4010" s="34">
        <f>IF(ISNUMBER(F4010),E4010*F4010,"")</f>
        <v>22.470426</v>
      </c>
      <c r="H4010" s="35"/>
      <c r="I4010" s="31"/>
      <c r="J4010" s="155">
        <v>0</v>
      </c>
    </row>
    <row r="4011" spans="1:10" ht="15.75" hidden="1" thickBot="1" x14ac:dyDescent="0.3">
      <c r="A4011" s="200"/>
      <c r="B4011" s="202"/>
      <c r="C4011" s="36" t="s">
        <v>23</v>
      </c>
      <c r="D4011" s="36" t="s">
        <v>12</v>
      </c>
      <c r="E4011" s="37">
        <v>0.59399999999999997</v>
      </c>
      <c r="F4011" s="31">
        <v>16.729499999999998</v>
      </c>
      <c r="G4011" s="34">
        <f>IF(ISNUMBER(F4011),E4011*F4011,"")</f>
        <v>9.9373229999999992</v>
      </c>
      <c r="H4011" s="35"/>
      <c r="I4011" s="31"/>
      <c r="J4011" s="155">
        <v>0</v>
      </c>
    </row>
    <row r="4012" spans="1:10" ht="15.75" hidden="1" thickBot="1" x14ac:dyDescent="0.3">
      <c r="A4012" s="200"/>
      <c r="B4012" s="202"/>
      <c r="C4012" s="36" t="s">
        <v>3618</v>
      </c>
      <c r="D4012" s="36" t="s">
        <v>42</v>
      </c>
      <c r="E4012" s="37">
        <v>0.14000000000000001</v>
      </c>
      <c r="F4012" s="34">
        <v>2.508</v>
      </c>
      <c r="G4012" s="34">
        <f>IF(ISNUMBER(F4012),E4012*F4012,"")</f>
        <v>0.35112000000000004</v>
      </c>
      <c r="H4012" s="35"/>
      <c r="I4012" s="31"/>
      <c r="J4012" s="155">
        <v>0</v>
      </c>
    </row>
    <row r="4013" spans="1:10" ht="15.75" hidden="1" thickBot="1" x14ac:dyDescent="0.3">
      <c r="A4013" s="200"/>
      <c r="B4013" s="202"/>
      <c r="C4013" s="36" t="s">
        <v>1276</v>
      </c>
      <c r="D4013" s="36" t="s">
        <v>95</v>
      </c>
      <c r="E4013" s="37">
        <v>1.1599999999999999</v>
      </c>
      <c r="F4013" s="34" t="s">
        <v>558</v>
      </c>
      <c r="G4013" s="54" t="str">
        <f>IF(ISNUMBER(F4013),E4013*F4013,"")</f>
        <v/>
      </c>
      <c r="H4013" s="35"/>
      <c r="I4013" s="31"/>
      <c r="J4013" s="155">
        <v>0</v>
      </c>
    </row>
    <row r="4014" spans="1:10" ht="15.75" hidden="1" thickBot="1" x14ac:dyDescent="0.3">
      <c r="A4014" s="201"/>
      <c r="B4014" s="188"/>
      <c r="C4014" s="36"/>
      <c r="D4014" s="36"/>
      <c r="E4014" s="37"/>
      <c r="F4014" s="31" t="s">
        <v>558</v>
      </c>
      <c r="G4014" s="31" t="str">
        <f>IF(ISNUMBER(F4014),E4014*F4014,"")</f>
        <v/>
      </c>
      <c r="H4014" s="35"/>
      <c r="I4014" s="31"/>
      <c r="J4014" s="155">
        <v>0</v>
      </c>
    </row>
    <row r="4015" spans="1:10" ht="15.75" hidden="1" thickBot="1" x14ac:dyDescent="0.3">
      <c r="A4015" s="180" t="s">
        <v>1277</v>
      </c>
      <c r="B4015" s="186" t="str">
        <f>INDEX(Orçamentária!A:B,MATCH(Composições!A4015,Orçamentária!A:A,0),2)</f>
        <v>Porcelanato para revestimento de superfícies internas e externas – Linha Residencial</v>
      </c>
      <c r="C4015" s="41"/>
      <c r="D4015" s="26" t="str">
        <f>TRIM(INDEX(Orçamentária!C:C,MATCH(Composições!A4015,Orçamentária!A:A,0),1))</f>
        <v>m2</v>
      </c>
      <c r="E4015" s="27"/>
      <c r="F4015" s="49" t="s">
        <v>558</v>
      </c>
      <c r="G4015" s="28" t="str">
        <f>IF(ISNUMBER(F4015),E4015*F4015,"")</f>
        <v/>
      </c>
      <c r="H4015" s="29"/>
      <c r="I4015" s="30"/>
      <c r="J4015" s="155">
        <v>0</v>
      </c>
    </row>
    <row r="4016" spans="1:10" ht="15.75" hidden="1" thickBot="1" x14ac:dyDescent="0.3">
      <c r="A4016" s="181"/>
      <c r="B4016" s="202"/>
      <c r="C4016" s="32"/>
      <c r="D4016" s="32"/>
      <c r="E4016" s="33"/>
      <c r="F4016" s="54" t="s">
        <v>558</v>
      </c>
      <c r="G4016" s="54" t="str">
        <f>IF(ISNUMBER(F4016),E4016*F4016,"")</f>
        <v/>
      </c>
      <c r="H4016" s="73"/>
      <c r="I4016" s="74"/>
      <c r="J4016" s="155">
        <v>0</v>
      </c>
    </row>
    <row r="4017" spans="1:10" ht="26.25" hidden="1" thickBot="1" x14ac:dyDescent="0.3">
      <c r="A4017" s="181"/>
      <c r="B4017" s="202"/>
      <c r="C4017" s="36" t="s">
        <v>1278</v>
      </c>
      <c r="D4017" s="36" t="s">
        <v>1034</v>
      </c>
      <c r="E4017" s="37">
        <v>1.07</v>
      </c>
      <c r="F4017" s="54">
        <v>56.524999999999999</v>
      </c>
      <c r="G4017" s="54">
        <f>IF(ISNUMBER(F4017),E4017*F4017,"")</f>
        <v>60.481750000000005</v>
      </c>
      <c r="H4017" s="39">
        <f>SUM(G4017:G4021)</f>
        <v>90.370554999999996</v>
      </c>
      <c r="I4017" s="40"/>
      <c r="J4017" s="155">
        <v>0</v>
      </c>
    </row>
    <row r="4018" spans="1:10" ht="15.75" hidden="1" thickBot="1" x14ac:dyDescent="0.3">
      <c r="A4018" s="181"/>
      <c r="B4018" s="202"/>
      <c r="C4018" s="36" t="s">
        <v>3618</v>
      </c>
      <c r="D4018" s="36" t="s">
        <v>938</v>
      </c>
      <c r="E4018" s="37">
        <v>0.24</v>
      </c>
      <c r="F4018" s="54">
        <v>2.508</v>
      </c>
      <c r="G4018" s="54">
        <f>IF(ISNUMBER(F4018),E4018*F4018,"")</f>
        <v>0.60192000000000001</v>
      </c>
      <c r="H4018" s="73"/>
      <c r="I4018" s="74"/>
      <c r="J4018" s="155">
        <v>0</v>
      </c>
    </row>
    <row r="4019" spans="1:10" ht="15.75" hidden="1" thickBot="1" x14ac:dyDescent="0.3">
      <c r="A4019" s="181"/>
      <c r="B4019" s="202"/>
      <c r="C4019" s="36" t="s">
        <v>3619</v>
      </c>
      <c r="D4019" s="36" t="s">
        <v>938</v>
      </c>
      <c r="E4019" s="37">
        <v>8.6199999999999992</v>
      </c>
      <c r="F4019" s="54">
        <v>1.3109999999999999</v>
      </c>
      <c r="G4019" s="54">
        <f>IF(ISNUMBER(F4019),E4019*F4019,"")</f>
        <v>11.300819999999998</v>
      </c>
      <c r="H4019" s="73"/>
      <c r="I4019" s="74"/>
      <c r="J4019" s="155">
        <v>0</v>
      </c>
    </row>
    <row r="4020" spans="1:10" ht="15.75" hidden="1" thickBot="1" x14ac:dyDescent="0.3">
      <c r="A4020" s="181"/>
      <c r="B4020" s="202"/>
      <c r="C4020" s="36" t="s">
        <v>1279</v>
      </c>
      <c r="D4020" s="36" t="s">
        <v>742</v>
      </c>
      <c r="E4020" s="37">
        <v>0.61</v>
      </c>
      <c r="F4020" s="54">
        <v>22.628999999999998</v>
      </c>
      <c r="G4020" s="54">
        <f>IF(ISNUMBER(F4020),E4020*F4020,"")</f>
        <v>13.803689999999998</v>
      </c>
      <c r="H4020" s="73"/>
      <c r="I4020" s="74"/>
      <c r="J4020" s="155">
        <v>0</v>
      </c>
    </row>
    <row r="4021" spans="1:10" ht="15.75" hidden="1" thickBot="1" x14ac:dyDescent="0.3">
      <c r="A4021" s="181"/>
      <c r="B4021" s="202"/>
      <c r="C4021" s="36" t="s">
        <v>743</v>
      </c>
      <c r="D4021" s="36" t="s">
        <v>742</v>
      </c>
      <c r="E4021" s="37">
        <v>0.25</v>
      </c>
      <c r="F4021" s="54">
        <v>16.729499999999998</v>
      </c>
      <c r="G4021" s="54">
        <f>IF(ISNUMBER(F4021),E4021*F4021,"")</f>
        <v>4.1823749999999995</v>
      </c>
      <c r="H4021" s="73"/>
      <c r="I4021" s="74"/>
      <c r="J4021" s="155">
        <v>0</v>
      </c>
    </row>
    <row r="4022" spans="1:10" ht="15.75" hidden="1" thickBot="1" x14ac:dyDescent="0.3">
      <c r="A4022" s="181"/>
      <c r="B4022" s="202"/>
      <c r="C4022" s="36"/>
      <c r="D4022" s="47"/>
      <c r="E4022" s="37"/>
      <c r="F4022" s="54" t="s">
        <v>558</v>
      </c>
      <c r="G4022" s="54" t="str">
        <f>IF(ISNUMBER(F4022),E4022*F4022,"")</f>
        <v/>
      </c>
      <c r="H4022" s="73"/>
      <c r="I4022" s="74"/>
      <c r="J4022" s="155">
        <v>0</v>
      </c>
    </row>
    <row r="4023" spans="1:10" ht="15.75" hidden="1" thickBot="1" x14ac:dyDescent="0.3">
      <c r="A4023" s="180" t="s">
        <v>1280</v>
      </c>
      <c r="B4023" s="186" t="str">
        <f>INDEX(Orçamentária!A:B,MATCH(Composições!A4023,Orçamentária!A:A,0),2)</f>
        <v>Granitina para revestimento de pisos</v>
      </c>
      <c r="C4023" s="41"/>
      <c r="D4023" s="26" t="str">
        <f>TRIM(INDEX(Orçamentária!C:C,MATCH(Composições!A4023,Orçamentária!A:A,0),1))</f>
        <v>m2</v>
      </c>
      <c r="E4023" s="27"/>
      <c r="F4023" s="49" t="s">
        <v>558</v>
      </c>
      <c r="G4023" s="28" t="str">
        <f>IF(ISNUMBER(F4023),E4023*F4023,"")</f>
        <v/>
      </c>
      <c r="H4023" s="29"/>
      <c r="I4023" s="30"/>
      <c r="J4023" s="155">
        <v>0</v>
      </c>
    </row>
    <row r="4024" spans="1:10" ht="15.75" hidden="1" thickBot="1" x14ac:dyDescent="0.3">
      <c r="A4024" s="181"/>
      <c r="B4024" s="202"/>
      <c r="C4024" s="32"/>
      <c r="D4024" s="32"/>
      <c r="E4024" s="33"/>
      <c r="F4024" s="54" t="s">
        <v>558</v>
      </c>
      <c r="G4024" s="54" t="str">
        <f>IF(ISNUMBER(F4024),E4024*F4024,"")</f>
        <v/>
      </c>
      <c r="H4024" s="73"/>
      <c r="I4024" s="74"/>
      <c r="J4024" s="155">
        <v>0</v>
      </c>
    </row>
    <row r="4025" spans="1:10" ht="26.25" hidden="1" thickBot="1" x14ac:dyDescent="0.3">
      <c r="A4025" s="181"/>
      <c r="B4025" s="202"/>
      <c r="C4025" s="36" t="s">
        <v>1281</v>
      </c>
      <c r="D4025" s="36" t="s">
        <v>513</v>
      </c>
      <c r="E4025" s="37">
        <v>1.67</v>
      </c>
      <c r="F4025" s="54">
        <v>1.2635000000000001</v>
      </c>
      <c r="G4025" s="54">
        <f>IF(ISNUMBER(F4025),E4025*F4025,"")</f>
        <v>2.1100449999999999</v>
      </c>
      <c r="H4025" s="39">
        <f>SUM(G4025:G4031)</f>
        <v>37.688181930842099</v>
      </c>
      <c r="I4025" s="40"/>
      <c r="J4025" s="155">
        <v>0</v>
      </c>
    </row>
    <row r="4026" spans="1:10" ht="39" hidden="1" thickBot="1" x14ac:dyDescent="0.3">
      <c r="A4026" s="181"/>
      <c r="B4026" s="202"/>
      <c r="C4026" s="36" t="s">
        <v>3406</v>
      </c>
      <c r="D4026" s="36" t="s">
        <v>938</v>
      </c>
      <c r="E4026" s="37">
        <v>23.24</v>
      </c>
      <c r="F4026" s="54">
        <v>0.34199999999999997</v>
      </c>
      <c r="G4026" s="54">
        <f>IF(ISNUMBER(F4026),E4026*F4026,"")</f>
        <v>7.9480799999999991</v>
      </c>
      <c r="H4026" s="73"/>
      <c r="I4026" s="74"/>
      <c r="J4026" s="155">
        <v>0</v>
      </c>
    </row>
    <row r="4027" spans="1:10" ht="39" hidden="1" thickBot="1" x14ac:dyDescent="0.3">
      <c r="A4027" s="181"/>
      <c r="B4027" s="202"/>
      <c r="C4027" s="36" t="s">
        <v>3302</v>
      </c>
      <c r="D4027" s="36" t="s">
        <v>122</v>
      </c>
      <c r="E4027" s="37">
        <v>1.66E-2</v>
      </c>
      <c r="F4027" s="54">
        <v>604.91309824350014</v>
      </c>
      <c r="G4027" s="54">
        <f>IF(ISNUMBER(F4027),E4027*F4027,"")</f>
        <v>10.041557430842103</v>
      </c>
      <c r="H4027" s="73"/>
      <c r="I4027" s="74"/>
      <c r="J4027" s="155">
        <v>0</v>
      </c>
    </row>
    <row r="4028" spans="1:10" ht="15.75" hidden="1" thickBot="1" x14ac:dyDescent="0.3">
      <c r="A4028" s="181"/>
      <c r="B4028" s="202"/>
      <c r="C4028" s="36" t="s">
        <v>750</v>
      </c>
      <c r="D4028" s="36" t="s">
        <v>742</v>
      </c>
      <c r="E4028" s="37">
        <v>0.55100000000000005</v>
      </c>
      <c r="F4028" s="54">
        <v>22.704999999999998</v>
      </c>
      <c r="G4028" s="54">
        <f>IF(ISNUMBER(F4028),E4028*F4028,"")</f>
        <v>12.510455</v>
      </c>
      <c r="H4028" s="73"/>
      <c r="I4028" s="74"/>
      <c r="J4028" s="155">
        <v>0</v>
      </c>
    </row>
    <row r="4029" spans="1:10" ht="15.75" hidden="1" thickBot="1" x14ac:dyDescent="0.3">
      <c r="A4029" s="181"/>
      <c r="B4029" s="202"/>
      <c r="C4029" s="36" t="s">
        <v>743</v>
      </c>
      <c r="D4029" s="36" t="s">
        <v>742</v>
      </c>
      <c r="E4029" s="37">
        <v>0.27500000000000002</v>
      </c>
      <c r="F4029" s="54">
        <v>16.729499999999998</v>
      </c>
      <c r="G4029" s="54">
        <f>IF(ISNUMBER(F4029),E4029*F4029,"")</f>
        <v>4.6006124999999995</v>
      </c>
      <c r="H4029" s="73"/>
      <c r="I4029" s="74"/>
      <c r="J4029" s="155">
        <v>0</v>
      </c>
    </row>
    <row r="4030" spans="1:10" ht="26.25" hidden="1" thickBot="1" x14ac:dyDescent="0.3">
      <c r="A4030" s="181"/>
      <c r="B4030" s="202"/>
      <c r="C4030" s="36" t="s">
        <v>1161</v>
      </c>
      <c r="D4030" s="36" t="s">
        <v>982</v>
      </c>
      <c r="E4030" s="37">
        <v>0.123</v>
      </c>
      <c r="F4030" s="54">
        <v>2.3939999999999997</v>
      </c>
      <c r="G4030" s="54">
        <f>IF(ISNUMBER(F4030),E4030*F4030,"")</f>
        <v>0.29446199999999995</v>
      </c>
      <c r="H4030" s="73"/>
      <c r="I4030" s="74"/>
      <c r="J4030" s="155">
        <v>0</v>
      </c>
    </row>
    <row r="4031" spans="1:10" ht="26.25" hidden="1" thickBot="1" x14ac:dyDescent="0.3">
      <c r="A4031" s="181"/>
      <c r="B4031" s="202"/>
      <c r="C4031" s="36" t="s">
        <v>1162</v>
      </c>
      <c r="D4031" s="36" t="s">
        <v>984</v>
      </c>
      <c r="E4031" s="37">
        <v>0.42799999999999999</v>
      </c>
      <c r="F4031" s="54">
        <v>0.42749999999999999</v>
      </c>
      <c r="G4031" s="54">
        <f>IF(ISNUMBER(F4031),E4031*F4031,"")</f>
        <v>0.18296999999999999</v>
      </c>
      <c r="H4031" s="73"/>
      <c r="I4031" s="74"/>
      <c r="J4031" s="155">
        <v>0</v>
      </c>
    </row>
    <row r="4032" spans="1:10" ht="15.75" hidden="1" thickBot="1" x14ac:dyDescent="0.3">
      <c r="A4032" s="181"/>
      <c r="B4032" s="202"/>
      <c r="C4032" s="36"/>
      <c r="D4032" s="47"/>
      <c r="E4032" s="37"/>
      <c r="F4032" s="54" t="s">
        <v>558</v>
      </c>
      <c r="G4032" s="54" t="str">
        <f>IF(ISNUMBER(F4032),E4032*F4032,"")</f>
        <v/>
      </c>
      <c r="H4032" s="73"/>
      <c r="I4032" s="74"/>
      <c r="J4032" s="155">
        <v>0</v>
      </c>
    </row>
    <row r="4033" spans="1:10" ht="15.75" hidden="1" thickBot="1" x14ac:dyDescent="0.3">
      <c r="A4033" s="180" t="s">
        <v>1282</v>
      </c>
      <c r="B4033" s="186" t="str">
        <f>INDEX(Orçamentária!A:B,MATCH(Composições!A4033,Orçamentária!A:A,0),2)</f>
        <v>Piso vinílico flexível em manta</v>
      </c>
      <c r="C4033" s="41"/>
      <c r="D4033" s="26" t="str">
        <f>TRIM(INDEX(Orçamentária!C:C,MATCH(Composições!A4033,Orçamentária!A:A,0),1))</f>
        <v>m2</v>
      </c>
      <c r="E4033" s="27"/>
      <c r="F4033" s="49" t="s">
        <v>558</v>
      </c>
      <c r="G4033" s="28" t="str">
        <f>IF(ISNUMBER(F4033),E4033*F4033,"")</f>
        <v/>
      </c>
      <c r="H4033" s="29"/>
      <c r="I4033" s="30"/>
      <c r="J4033" s="155">
        <v>0</v>
      </c>
    </row>
    <row r="4034" spans="1:10" ht="15.75" hidden="1" thickBot="1" x14ac:dyDescent="0.3">
      <c r="A4034" s="181"/>
      <c r="B4034" s="202"/>
      <c r="C4034" s="32"/>
      <c r="D4034" s="32"/>
      <c r="E4034" s="33"/>
      <c r="F4034" s="54" t="s">
        <v>558</v>
      </c>
      <c r="G4034" s="54" t="str">
        <f>IF(ISNUMBER(F4034),E4034*F4034,"")</f>
        <v/>
      </c>
      <c r="H4034" s="73"/>
      <c r="I4034" s="74"/>
      <c r="J4034" s="155">
        <v>0</v>
      </c>
    </row>
    <row r="4035" spans="1:10" ht="15.75" hidden="1" thickBot="1" x14ac:dyDescent="0.3">
      <c r="A4035" s="181"/>
      <c r="B4035" s="202"/>
      <c r="C4035" s="36" t="s">
        <v>1283</v>
      </c>
      <c r="D4035" s="47" t="s">
        <v>95</v>
      </c>
      <c r="E4035" s="37">
        <v>1.05</v>
      </c>
      <c r="F4035" s="54" t="s">
        <v>558</v>
      </c>
      <c r="G4035" s="54" t="str">
        <f>IF(ISNUMBER(F4035),E4035*F4035,"")</f>
        <v/>
      </c>
      <c r="H4035" s="39">
        <f>SUM(G4035:G4038)</f>
        <v>14.832824999999998</v>
      </c>
      <c r="I4035" s="40"/>
      <c r="J4035" s="155">
        <v>0</v>
      </c>
    </row>
    <row r="4036" spans="1:10" ht="15.75" hidden="1" thickBot="1" x14ac:dyDescent="0.3">
      <c r="A4036" s="181"/>
      <c r="B4036" s="202"/>
      <c r="C4036" s="36" t="s">
        <v>298</v>
      </c>
      <c r="D4036" s="47" t="s">
        <v>42</v>
      </c>
      <c r="E4036" s="37">
        <v>0.35</v>
      </c>
      <c r="F4036" s="54">
        <v>25.478999999999999</v>
      </c>
      <c r="G4036" s="54">
        <f>IF(ISNUMBER(F4036),E4036*F4036,"")</f>
        <v>8.9176499999999983</v>
      </c>
      <c r="H4036" s="73"/>
      <c r="I4036" s="74"/>
      <c r="J4036" s="155">
        <v>0</v>
      </c>
    </row>
    <row r="4037" spans="1:10" ht="15.75" hidden="1" thickBot="1" x14ac:dyDescent="0.3">
      <c r="A4037" s="181"/>
      <c r="B4037" s="202"/>
      <c r="C4037" s="36" t="s">
        <v>22</v>
      </c>
      <c r="D4037" s="36" t="s">
        <v>12</v>
      </c>
      <c r="E4037" s="37">
        <v>0.15</v>
      </c>
      <c r="F4037" s="54">
        <v>22.704999999999998</v>
      </c>
      <c r="G4037" s="54">
        <f>IF(ISNUMBER(F4037),E4037*F4037,"")</f>
        <v>3.4057499999999998</v>
      </c>
      <c r="H4037" s="73"/>
      <c r="I4037" s="74"/>
      <c r="J4037" s="155">
        <v>0</v>
      </c>
    </row>
    <row r="4038" spans="1:10" ht="15.75" hidden="1" thickBot="1" x14ac:dyDescent="0.3">
      <c r="A4038" s="181"/>
      <c r="B4038" s="202"/>
      <c r="C4038" s="36" t="s">
        <v>23</v>
      </c>
      <c r="D4038" s="36" t="s">
        <v>12</v>
      </c>
      <c r="E4038" s="37">
        <v>0.15</v>
      </c>
      <c r="F4038" s="54">
        <v>16.729499999999998</v>
      </c>
      <c r="G4038" s="54">
        <f>IF(ISNUMBER(F4038),E4038*F4038,"")</f>
        <v>2.5094249999999998</v>
      </c>
      <c r="H4038" s="73"/>
      <c r="I4038" s="74"/>
      <c r="J4038" s="155">
        <v>0</v>
      </c>
    </row>
    <row r="4039" spans="1:10" ht="15.75" hidden="1" thickBot="1" x14ac:dyDescent="0.3">
      <c r="A4039" s="181"/>
      <c r="B4039" s="202"/>
      <c r="C4039" s="55"/>
      <c r="D4039" s="55"/>
      <c r="E4039" s="66"/>
      <c r="F4039" s="76" t="s">
        <v>558</v>
      </c>
      <c r="G4039" s="76" t="str">
        <f>IF(ISNUMBER(F4039),E4039*F4039,"")</f>
        <v/>
      </c>
      <c r="H4039" s="77"/>
      <c r="I4039" s="74"/>
      <c r="J4039" s="155">
        <v>0</v>
      </c>
    </row>
    <row r="4040" spans="1:10" ht="15.75" hidden="1" thickBot="1" x14ac:dyDescent="0.3">
      <c r="A4040" s="180" t="s">
        <v>1284</v>
      </c>
      <c r="B4040" s="186" t="str">
        <f>INDEX(Orçamentária!A:B,MATCH(Composições!A4040,Orçamentária!A:A,0),2)</f>
        <v>Tratamento de juntas de dilatação ou movimentação</v>
      </c>
      <c r="C4040" s="41"/>
      <c r="D4040" s="26" t="str">
        <f>TRIM(INDEX(Orçamentária!C:C,MATCH(Composições!A4040,Orçamentária!A:A,0),1))</f>
        <v>m</v>
      </c>
      <c r="E4040" s="27"/>
      <c r="F4040" s="49" t="s">
        <v>558</v>
      </c>
      <c r="G4040" s="28" t="str">
        <f>IF(ISNUMBER(F4040),E4040*F4040,"")</f>
        <v/>
      </c>
      <c r="H4040" s="29"/>
      <c r="I4040" s="30"/>
      <c r="J4040" s="155">
        <v>0</v>
      </c>
    </row>
    <row r="4041" spans="1:10" ht="15.75" hidden="1" thickBot="1" x14ac:dyDescent="0.3">
      <c r="A4041" s="181"/>
      <c r="B4041" s="202"/>
      <c r="C4041" s="32"/>
      <c r="D4041" s="32"/>
      <c r="E4041" s="33"/>
      <c r="F4041" s="54" t="s">
        <v>558</v>
      </c>
      <c r="G4041" s="54" t="str">
        <f>IF(ISNUMBER(F4041),E4041*F4041,"")</f>
        <v/>
      </c>
      <c r="H4041" s="73"/>
      <c r="I4041" s="74"/>
      <c r="J4041" s="155">
        <v>0</v>
      </c>
    </row>
    <row r="4042" spans="1:10" ht="15.75" hidden="1" thickBot="1" x14ac:dyDescent="0.3">
      <c r="A4042" s="181"/>
      <c r="B4042" s="202"/>
      <c r="C4042" s="36" t="s">
        <v>22</v>
      </c>
      <c r="D4042" s="36" t="s">
        <v>12</v>
      </c>
      <c r="E4042" s="37">
        <v>0.35</v>
      </c>
      <c r="F4042" s="54">
        <v>22.704999999999998</v>
      </c>
      <c r="G4042" s="54">
        <f>IF(ISNUMBER(F4042),E4042*F4042,"")</f>
        <v>7.9467499999999989</v>
      </c>
      <c r="H4042" s="39">
        <f>SUM(G4042:G4046)</f>
        <v>56.119635000000002</v>
      </c>
      <c r="I4042" s="40"/>
      <c r="J4042" s="155">
        <v>0</v>
      </c>
    </row>
    <row r="4043" spans="1:10" ht="15.75" hidden="1" thickBot="1" x14ac:dyDescent="0.3">
      <c r="A4043" s="181"/>
      <c r="B4043" s="202"/>
      <c r="C4043" s="36" t="s">
        <v>23</v>
      </c>
      <c r="D4043" s="36" t="s">
        <v>12</v>
      </c>
      <c r="E4043" s="37">
        <v>0.35</v>
      </c>
      <c r="F4043" s="54">
        <v>16.729499999999998</v>
      </c>
      <c r="G4043" s="54">
        <f>IF(ISNUMBER(F4043),E4043*F4043,"")</f>
        <v>5.8553249999999988</v>
      </c>
      <c r="H4043" s="73"/>
      <c r="I4043" s="74"/>
      <c r="J4043" s="155">
        <v>0</v>
      </c>
    </row>
    <row r="4044" spans="1:10" ht="26.25" hidden="1" thickBot="1" x14ac:dyDescent="0.3">
      <c r="A4044" s="181"/>
      <c r="B4044" s="202"/>
      <c r="C4044" s="36" t="s">
        <v>1285</v>
      </c>
      <c r="D4044" s="36" t="s">
        <v>103</v>
      </c>
      <c r="E4044" s="37">
        <v>0.2</v>
      </c>
      <c r="F4044" s="54">
        <v>138.86149999999998</v>
      </c>
      <c r="G4044" s="54">
        <f>IF(ISNUMBER(F4044),E4044*F4044,"")</f>
        <v>27.772299999999998</v>
      </c>
      <c r="H4044" s="73"/>
      <c r="I4044" s="74"/>
      <c r="J4044" s="155">
        <v>0</v>
      </c>
    </row>
    <row r="4045" spans="1:10" ht="15.75" hidden="1" thickBot="1" x14ac:dyDescent="0.3">
      <c r="A4045" s="181"/>
      <c r="B4045" s="202"/>
      <c r="C4045" s="36" t="s">
        <v>1104</v>
      </c>
      <c r="D4045" s="36" t="s">
        <v>93</v>
      </c>
      <c r="E4045" s="37">
        <v>1</v>
      </c>
      <c r="F4045" s="54">
        <v>0</v>
      </c>
      <c r="G4045" s="54">
        <f>IF(ISNUMBER(F4045),E4045*F4045,"")</f>
        <v>0</v>
      </c>
      <c r="H4045" s="73"/>
      <c r="I4045" s="74"/>
      <c r="J4045" s="155">
        <v>0</v>
      </c>
    </row>
    <row r="4046" spans="1:10" ht="26.25" hidden="1" thickBot="1" x14ac:dyDescent="0.3">
      <c r="A4046" s="181"/>
      <c r="B4046" s="202"/>
      <c r="C4046" s="36" t="s">
        <v>815</v>
      </c>
      <c r="D4046" s="36" t="s">
        <v>42</v>
      </c>
      <c r="E4046" s="37">
        <f>1.8*1*(0.01+0.01)*10</f>
        <v>0.36000000000000004</v>
      </c>
      <c r="F4046" s="54">
        <v>40.403500000000001</v>
      </c>
      <c r="G4046" s="54">
        <f>IF(ISNUMBER(F4046),E4046*F4046,"")</f>
        <v>14.545260000000003</v>
      </c>
      <c r="H4046" s="73"/>
      <c r="I4046" s="74"/>
      <c r="J4046" s="155">
        <v>0</v>
      </c>
    </row>
    <row r="4047" spans="1:10" ht="15.75" hidden="1" thickBot="1" x14ac:dyDescent="0.3">
      <c r="A4047" s="181"/>
      <c r="B4047" s="202"/>
      <c r="C4047" s="36"/>
      <c r="D4047" s="36"/>
      <c r="E4047" s="37"/>
      <c r="F4047" s="54"/>
      <c r="G4047" s="54"/>
      <c r="H4047" s="73"/>
      <c r="I4047" s="74"/>
      <c r="J4047" s="155">
        <v>0</v>
      </c>
    </row>
    <row r="4048" spans="1:10" ht="26.25" hidden="1" thickBot="1" x14ac:dyDescent="0.3">
      <c r="A4048" s="181"/>
      <c r="B4048" s="202"/>
      <c r="C4048" s="48" t="s">
        <v>3629</v>
      </c>
      <c r="D4048" s="36"/>
      <c r="E4048" s="37"/>
      <c r="F4048" s="54"/>
      <c r="G4048" s="54"/>
      <c r="H4048" s="73"/>
      <c r="I4048" s="74"/>
      <c r="J4048" s="155">
        <v>0</v>
      </c>
    </row>
    <row r="4049" spans="1:10" ht="15.75" hidden="1" thickBot="1" x14ac:dyDescent="0.3">
      <c r="A4049" s="181"/>
      <c r="B4049" s="202"/>
      <c r="C4049" s="48" t="s">
        <v>3630</v>
      </c>
      <c r="D4049" s="36"/>
      <c r="E4049" s="37"/>
      <c r="F4049" s="54"/>
      <c r="G4049" s="54"/>
      <c r="H4049" s="73"/>
      <c r="I4049" s="74"/>
      <c r="J4049" s="155">
        <v>0</v>
      </c>
    </row>
    <row r="4050" spans="1:10" ht="15.75" hidden="1" thickBot="1" x14ac:dyDescent="0.3">
      <c r="A4050" s="182"/>
      <c r="B4050" s="188"/>
      <c r="C4050" s="55"/>
      <c r="D4050" s="55"/>
      <c r="E4050" s="66"/>
      <c r="F4050" s="76" t="s">
        <v>558</v>
      </c>
      <c r="G4050" s="76" t="str">
        <f>IF(ISNUMBER(F4050),E4050*F4050,"")</f>
        <v/>
      </c>
      <c r="H4050" s="77"/>
      <c r="I4050" s="74"/>
      <c r="J4050" s="155">
        <v>0</v>
      </c>
    </row>
    <row r="4051" spans="1:10" ht="15.75" hidden="1" thickBot="1" x14ac:dyDescent="0.3">
      <c r="A4051" s="180" t="s">
        <v>1286</v>
      </c>
      <c r="B4051" s="186" t="str">
        <f>INDEX(Orçamentária!A:B,MATCH(Composições!A4051,Orçamentária!A:A,0),2)</f>
        <v>Recuperação superficial de preparação para pintura epóxi de alto desempenho</v>
      </c>
      <c r="C4051" s="41"/>
      <c r="D4051" s="26" t="str">
        <f>TRIM(INDEX(Orçamentária!C:C,MATCH(Composições!A4051,Orçamentária!A:A,0),1))</f>
        <v>m2</v>
      </c>
      <c r="E4051" s="27"/>
      <c r="F4051" s="49" t="s">
        <v>558</v>
      </c>
      <c r="G4051" s="28" t="str">
        <f>IF(ISNUMBER(F4051),E4051*F4051,"")</f>
        <v/>
      </c>
      <c r="H4051" s="29"/>
      <c r="I4051" s="30"/>
      <c r="J4051" s="155">
        <v>0</v>
      </c>
    </row>
    <row r="4052" spans="1:10" ht="15.75" hidden="1" thickBot="1" x14ac:dyDescent="0.3">
      <c r="A4052" s="181"/>
      <c r="B4052" s="202"/>
      <c r="C4052" s="32"/>
      <c r="D4052" s="32"/>
      <c r="E4052" s="33"/>
      <c r="F4052" s="54" t="s">
        <v>558</v>
      </c>
      <c r="G4052" s="54" t="str">
        <f>IF(ISNUMBER(F4052),E4052*F4052,"")</f>
        <v/>
      </c>
      <c r="H4052" s="73"/>
      <c r="I4052" s="74"/>
      <c r="J4052" s="155">
        <v>0</v>
      </c>
    </row>
    <row r="4053" spans="1:10" ht="15.75" hidden="1" thickBot="1" x14ac:dyDescent="0.3">
      <c r="A4053" s="181"/>
      <c r="B4053" s="202"/>
      <c r="C4053" s="36" t="s">
        <v>22</v>
      </c>
      <c r="D4053" s="36" t="s">
        <v>12</v>
      </c>
      <c r="E4053" s="37">
        <v>0.3</v>
      </c>
      <c r="F4053" s="54">
        <v>22.704999999999998</v>
      </c>
      <c r="G4053" s="54">
        <f>IF(ISNUMBER(F4053),E4053*F4053,"")</f>
        <v>6.8114999999999997</v>
      </c>
      <c r="H4053" s="39">
        <f>SUM(G4053:G4058)</f>
        <v>16.012725</v>
      </c>
      <c r="I4053" s="40"/>
      <c r="J4053" s="155">
        <v>0</v>
      </c>
    </row>
    <row r="4054" spans="1:10" ht="15.75" hidden="1" thickBot="1" x14ac:dyDescent="0.3">
      <c r="A4054" s="181"/>
      <c r="B4054" s="202"/>
      <c r="C4054" s="36" t="s">
        <v>23</v>
      </c>
      <c r="D4054" s="36" t="s">
        <v>12</v>
      </c>
      <c r="E4054" s="37">
        <f>0.3+0.25</f>
        <v>0.55000000000000004</v>
      </c>
      <c r="F4054" s="54">
        <v>16.729499999999998</v>
      </c>
      <c r="G4054" s="54">
        <f>IF(ISNUMBER(F4054),E4054*F4054,"")</f>
        <v>9.2012249999999991</v>
      </c>
      <c r="H4054" s="73"/>
      <c r="I4054" s="74"/>
      <c r="J4054" s="155">
        <v>0</v>
      </c>
    </row>
    <row r="4055" spans="1:10" ht="15.75" hidden="1" thickBot="1" x14ac:dyDescent="0.3">
      <c r="A4055" s="181"/>
      <c r="B4055" s="202"/>
      <c r="C4055" s="36" t="s">
        <v>3623</v>
      </c>
      <c r="D4055" s="36" t="s">
        <v>42</v>
      </c>
      <c r="E4055" s="37">
        <v>5</v>
      </c>
      <c r="F4055" s="54" t="s">
        <v>558</v>
      </c>
      <c r="G4055" s="54" t="str">
        <f>IF(ISNUMBER(F4055),E4055*F4055,"")</f>
        <v/>
      </c>
      <c r="H4055" s="73"/>
      <c r="I4055" s="74"/>
      <c r="J4055" s="155">
        <v>0</v>
      </c>
    </row>
    <row r="4056" spans="1:10" ht="15.75" hidden="1" thickBot="1" x14ac:dyDescent="0.3">
      <c r="A4056" s="181"/>
      <c r="B4056" s="202"/>
      <c r="C4056" s="36" t="s">
        <v>3624</v>
      </c>
      <c r="D4056" s="36" t="s">
        <v>42</v>
      </c>
      <c r="E4056" s="37">
        <v>0.5</v>
      </c>
      <c r="F4056" s="54" t="s">
        <v>558</v>
      </c>
      <c r="G4056" s="54" t="str">
        <f>IF(ISNUMBER(F4056),E4056*F4056,"")</f>
        <v/>
      </c>
      <c r="H4056" s="73"/>
      <c r="I4056" s="74"/>
      <c r="J4056" s="155">
        <v>0</v>
      </c>
    </row>
    <row r="4057" spans="1:10" ht="15.75" hidden="1" thickBot="1" x14ac:dyDescent="0.3">
      <c r="A4057" s="181"/>
      <c r="B4057" s="202"/>
      <c r="C4057" s="36" t="s">
        <v>3625</v>
      </c>
      <c r="D4057" s="36" t="s">
        <v>42</v>
      </c>
      <c r="E4057" s="37">
        <v>0.1</v>
      </c>
      <c r="F4057" s="54" t="s">
        <v>558</v>
      </c>
      <c r="G4057" s="54" t="str">
        <f>IF(ISNUMBER(F4057),E4057*F4057,"")</f>
        <v/>
      </c>
      <c r="H4057" s="73"/>
      <c r="I4057" s="74"/>
      <c r="J4057" s="155">
        <v>0</v>
      </c>
    </row>
    <row r="4058" spans="1:10" ht="15.75" hidden="1" thickBot="1" x14ac:dyDescent="0.3">
      <c r="A4058" s="181"/>
      <c r="B4058" s="202"/>
      <c r="C4058" s="36" t="s">
        <v>1287</v>
      </c>
      <c r="D4058" s="36" t="s">
        <v>292</v>
      </c>
      <c r="E4058" s="37">
        <v>0.5</v>
      </c>
      <c r="F4058" s="54">
        <v>0</v>
      </c>
      <c r="G4058" s="54">
        <f>IF(ISNUMBER(F4058),E4058*F4058,"")</f>
        <v>0</v>
      </c>
      <c r="H4058" s="73"/>
      <c r="I4058" s="74"/>
      <c r="J4058" s="155">
        <v>0</v>
      </c>
    </row>
    <row r="4059" spans="1:10" ht="15.75" hidden="1" thickBot="1" x14ac:dyDescent="0.3">
      <c r="A4059" s="181"/>
      <c r="B4059" s="202"/>
      <c r="C4059" s="36"/>
      <c r="D4059" s="36"/>
      <c r="E4059" s="37"/>
      <c r="F4059" s="54" t="s">
        <v>558</v>
      </c>
      <c r="G4059" s="54" t="str">
        <f>IF(ISNUMBER(F4059),E4059*F4059,"")</f>
        <v/>
      </c>
      <c r="H4059" s="73"/>
      <c r="I4059" s="74"/>
      <c r="J4059" s="155">
        <v>0</v>
      </c>
    </row>
    <row r="4060" spans="1:10" ht="15.75" hidden="1" thickBot="1" x14ac:dyDescent="0.3">
      <c r="A4060" s="181"/>
      <c r="B4060" s="202"/>
      <c r="C4060" s="48" t="s">
        <v>1288</v>
      </c>
      <c r="D4060" s="36"/>
      <c r="E4060" s="37"/>
      <c r="F4060" s="54" t="s">
        <v>558</v>
      </c>
      <c r="G4060" s="54" t="str">
        <f>IF(ISNUMBER(F4060),E4060*F4060,"")</f>
        <v/>
      </c>
      <c r="H4060" s="73"/>
      <c r="I4060" s="74"/>
      <c r="J4060" s="155">
        <v>0</v>
      </c>
    </row>
    <row r="4061" spans="1:10" ht="15.75" hidden="1" thickBot="1" x14ac:dyDescent="0.3">
      <c r="A4061" s="182"/>
      <c r="B4061" s="188"/>
      <c r="C4061" s="55"/>
      <c r="D4061" s="55"/>
      <c r="E4061" s="66"/>
      <c r="F4061" s="54" t="s">
        <v>558</v>
      </c>
      <c r="G4061" s="54" t="str">
        <f>IF(ISNUMBER(F4061),E4061*F4061,"")</f>
        <v/>
      </c>
      <c r="H4061" s="77"/>
      <c r="I4061" s="74"/>
      <c r="J4061" s="155">
        <v>0</v>
      </c>
    </row>
    <row r="4062" spans="1:10" ht="15.75" hidden="1" thickBot="1" x14ac:dyDescent="0.3">
      <c r="A4062" s="180" t="s">
        <v>1289</v>
      </c>
      <c r="B4062" s="186" t="str">
        <f>INDEX(Orçamentária!A:B,MATCH(Composições!A4062,Orçamentária!A:A,0),2)</f>
        <v>Lixamento, calafetação e aplicação de sinteco em piso de madeira – Linha Residencial</v>
      </c>
      <c r="C4062" s="41"/>
      <c r="D4062" s="26" t="str">
        <f>TRIM(INDEX(Orçamentária!C:C,MATCH(Composições!A4062,Orçamentária!A:A,0),1))</f>
        <v>m2</v>
      </c>
      <c r="E4062" s="27"/>
      <c r="F4062" s="49" t="s">
        <v>558</v>
      </c>
      <c r="G4062" s="28" t="str">
        <f>IF(ISNUMBER(F4062),E4062*F4062,"")</f>
        <v/>
      </c>
      <c r="H4062" s="29"/>
      <c r="I4062" s="30"/>
      <c r="J4062" s="155">
        <v>0</v>
      </c>
    </row>
    <row r="4063" spans="1:10" ht="15.75" hidden="1" thickBot="1" x14ac:dyDescent="0.3">
      <c r="A4063" s="181"/>
      <c r="B4063" s="202"/>
      <c r="C4063" s="32"/>
      <c r="D4063" s="32"/>
      <c r="E4063" s="33"/>
      <c r="F4063" s="54" t="s">
        <v>558</v>
      </c>
      <c r="G4063" s="54" t="str">
        <f>IF(ISNUMBER(F4063),E4063*F4063,"")</f>
        <v/>
      </c>
      <c r="H4063" s="73"/>
      <c r="I4063" s="74"/>
      <c r="J4063" s="155">
        <v>0</v>
      </c>
    </row>
    <row r="4064" spans="1:10" ht="26.25" hidden="1" thickBot="1" x14ac:dyDescent="0.3">
      <c r="A4064" s="181"/>
      <c r="B4064" s="202"/>
      <c r="C4064" s="36" t="s">
        <v>1290</v>
      </c>
      <c r="D4064" s="36" t="s">
        <v>95</v>
      </c>
      <c r="E4064" s="37">
        <v>1</v>
      </c>
      <c r="F4064" s="54">
        <v>0</v>
      </c>
      <c r="G4064" s="54">
        <f>IF(ISNUMBER(F4064),E4064*F4064,"")</f>
        <v>0</v>
      </c>
      <c r="H4064" s="39">
        <f>SUM(G4064:G4064)</f>
        <v>0</v>
      </c>
      <c r="I4064" s="40"/>
      <c r="J4064" s="155">
        <v>0</v>
      </c>
    </row>
    <row r="4065" spans="1:10" ht="15.75" hidden="1" thickBot="1" x14ac:dyDescent="0.3">
      <c r="A4065" s="182"/>
      <c r="B4065" s="188"/>
      <c r="C4065" s="55"/>
      <c r="D4065" s="55"/>
      <c r="E4065" s="66"/>
      <c r="F4065" s="76" t="s">
        <v>558</v>
      </c>
      <c r="G4065" s="76" t="str">
        <f>IF(ISNUMBER(F4065),E4065*F4065,"")</f>
        <v/>
      </c>
      <c r="H4065" s="77"/>
      <c r="I4065" s="74"/>
      <c r="J4065" s="155">
        <v>0</v>
      </c>
    </row>
    <row r="4066" spans="1:10" ht="15.75" hidden="1" thickBot="1" x14ac:dyDescent="0.3">
      <c r="A4066" s="180" t="s">
        <v>1291</v>
      </c>
      <c r="B4066" s="186" t="str">
        <f>INDEX(Orçamentária!A:B,MATCH(Composições!A4066,Orçamentária!A:A,0),2)</f>
        <v>Piso em taco de madeira – Linha Residencial</v>
      </c>
      <c r="C4066" s="41"/>
      <c r="D4066" s="26" t="str">
        <f>TRIM(INDEX(Orçamentária!C:C,MATCH(Composições!A4066,Orçamentária!A:A,0),1))</f>
        <v>m2</v>
      </c>
      <c r="E4066" s="27"/>
      <c r="F4066" s="49" t="s">
        <v>558</v>
      </c>
      <c r="G4066" s="28" t="str">
        <f>IF(ISNUMBER(F4066),E4066*F4066,"")</f>
        <v/>
      </c>
      <c r="H4066" s="29"/>
      <c r="I4066" s="30"/>
      <c r="J4066" s="155">
        <v>0</v>
      </c>
    </row>
    <row r="4067" spans="1:10" ht="15.75" hidden="1" thickBot="1" x14ac:dyDescent="0.3">
      <c r="A4067" s="181"/>
      <c r="B4067" s="202"/>
      <c r="C4067" s="32"/>
      <c r="D4067" s="32"/>
      <c r="E4067" s="33"/>
      <c r="F4067" s="54" t="s">
        <v>558</v>
      </c>
      <c r="G4067" s="54" t="str">
        <f>IF(ISNUMBER(F4067),E4067*F4067,"")</f>
        <v/>
      </c>
      <c r="H4067" s="73"/>
      <c r="I4067" s="74"/>
      <c r="J4067" s="155">
        <v>0</v>
      </c>
    </row>
    <row r="4068" spans="1:10" ht="26.25" hidden="1" thickBot="1" x14ac:dyDescent="0.3">
      <c r="A4068" s="181"/>
      <c r="B4068" s="202"/>
      <c r="C4068" s="36" t="s">
        <v>1292</v>
      </c>
      <c r="D4068" s="47" t="s">
        <v>1034</v>
      </c>
      <c r="E4068" s="37">
        <v>1.05</v>
      </c>
      <c r="F4068" s="54">
        <v>137.845</v>
      </c>
      <c r="G4068" s="54">
        <f>IF(ISNUMBER(F4068),E4068*F4068,"")</f>
        <v>144.73725000000002</v>
      </c>
      <c r="H4068" s="39">
        <f>SUM(G4068:G4071)</f>
        <v>173.95644845000004</v>
      </c>
      <c r="I4068" s="40"/>
      <c r="J4068" s="155">
        <v>0</v>
      </c>
    </row>
    <row r="4069" spans="1:10" ht="15.75" hidden="1" thickBot="1" x14ac:dyDescent="0.3">
      <c r="A4069" s="181"/>
      <c r="B4069" s="202"/>
      <c r="C4069" s="36" t="s">
        <v>1293</v>
      </c>
      <c r="D4069" s="47" t="s">
        <v>103</v>
      </c>
      <c r="E4069" s="37">
        <v>0.57499999999999996</v>
      </c>
      <c r="F4069" s="54">
        <v>17.499000000000002</v>
      </c>
      <c r="G4069" s="54">
        <f>IF(ISNUMBER(F4069),E4069*F4069,"")</f>
        <v>10.061925</v>
      </c>
      <c r="H4069" s="73"/>
      <c r="I4069" s="74"/>
      <c r="J4069" s="155">
        <v>0</v>
      </c>
    </row>
    <row r="4070" spans="1:10" ht="15.75" hidden="1" thickBot="1" x14ac:dyDescent="0.3">
      <c r="A4070" s="181"/>
      <c r="B4070" s="202"/>
      <c r="C4070" s="36" t="s">
        <v>743</v>
      </c>
      <c r="D4070" s="36" t="s">
        <v>742</v>
      </c>
      <c r="E4070" s="37">
        <v>0.2399</v>
      </c>
      <c r="F4070" s="54">
        <v>16.729499999999998</v>
      </c>
      <c r="G4070" s="54">
        <f>IF(ISNUMBER(F4070),E4070*F4070,"")</f>
        <v>4.0134070499999996</v>
      </c>
      <c r="H4070" s="73"/>
      <c r="I4070" s="74"/>
      <c r="J4070" s="155">
        <v>0</v>
      </c>
    </row>
    <row r="4071" spans="1:10" ht="15.75" hidden="1" thickBot="1" x14ac:dyDescent="0.3">
      <c r="A4071" s="181"/>
      <c r="B4071" s="202"/>
      <c r="C4071" s="36" t="s">
        <v>1271</v>
      </c>
      <c r="D4071" s="36" t="s">
        <v>742</v>
      </c>
      <c r="E4071" s="37">
        <v>0.57589999999999997</v>
      </c>
      <c r="F4071" s="54">
        <v>26.295999999999999</v>
      </c>
      <c r="G4071" s="54">
        <f>IF(ISNUMBER(F4071),E4071*F4071,"")</f>
        <v>15.143866399999999</v>
      </c>
      <c r="H4071" s="73"/>
      <c r="I4071" s="74"/>
      <c r="J4071" s="155">
        <v>0</v>
      </c>
    </row>
    <row r="4072" spans="1:10" ht="15.75" hidden="1" thickBot="1" x14ac:dyDescent="0.3">
      <c r="A4072" s="181"/>
      <c r="B4072" s="202"/>
      <c r="C4072" s="55"/>
      <c r="D4072" s="55"/>
      <c r="E4072" s="66"/>
      <c r="F4072" s="76" t="s">
        <v>558</v>
      </c>
      <c r="G4072" s="76" t="str">
        <f>IF(ISNUMBER(F4072),E4072*F4072,"")</f>
        <v/>
      </c>
      <c r="H4072" s="77"/>
      <c r="I4072" s="74"/>
      <c r="J4072" s="155">
        <v>0</v>
      </c>
    </row>
    <row r="4073" spans="1:10" ht="15.75" hidden="1" thickBot="1" x14ac:dyDescent="0.3">
      <c r="A4073" s="180" t="s">
        <v>1294</v>
      </c>
      <c r="B4073" s="186" t="str">
        <f>INDEX(Orçamentária!A:B,MATCH(Composições!A4073,Orçamentária!A:A,0),2)</f>
        <v>Piso de borracha antiderrapante tipo moeda</v>
      </c>
      <c r="C4073" s="41"/>
      <c r="D4073" s="26" t="str">
        <f>TRIM(INDEX(Orçamentária!C:C,MATCH(Composições!A4073,Orçamentária!A:A,0),1))</f>
        <v>m2</v>
      </c>
      <c r="E4073" s="27"/>
      <c r="F4073" s="49" t="s">
        <v>558</v>
      </c>
      <c r="G4073" s="28" t="str">
        <f>IF(ISNUMBER(F4073),E4073*F4073,"")</f>
        <v/>
      </c>
      <c r="H4073" s="29"/>
      <c r="I4073" s="30"/>
      <c r="J4073" s="155">
        <v>0</v>
      </c>
    </row>
    <row r="4074" spans="1:10" ht="15.75" hidden="1" thickBot="1" x14ac:dyDescent="0.3">
      <c r="A4074" s="181"/>
      <c r="B4074" s="202"/>
      <c r="C4074" s="32"/>
      <c r="D4074" s="32"/>
      <c r="E4074" s="33"/>
      <c r="F4074" s="54" t="s">
        <v>558</v>
      </c>
      <c r="G4074" s="54" t="str">
        <f>IF(ISNUMBER(F4074),E4074*F4074,"")</f>
        <v/>
      </c>
      <c r="H4074" s="73"/>
      <c r="I4074" s="74"/>
      <c r="J4074" s="155">
        <v>0</v>
      </c>
    </row>
    <row r="4075" spans="1:10" ht="15.75" hidden="1" thickBot="1" x14ac:dyDescent="0.3">
      <c r="A4075" s="181"/>
      <c r="B4075" s="202"/>
      <c r="C4075" s="36" t="s">
        <v>298</v>
      </c>
      <c r="D4075" s="47" t="s">
        <v>938</v>
      </c>
      <c r="E4075" s="37">
        <v>0.56369999999999998</v>
      </c>
      <c r="F4075" s="54">
        <v>25.478999999999999</v>
      </c>
      <c r="G4075" s="54">
        <f>IF(ISNUMBER(F4075),E4075*F4075,"")</f>
        <v>14.362512299999999</v>
      </c>
      <c r="H4075" s="39">
        <f>SUM(G4075:G4078)</f>
        <v>93.071014549999987</v>
      </c>
      <c r="I4075" s="40"/>
      <c r="J4075" s="155">
        <v>0</v>
      </c>
    </row>
    <row r="4076" spans="1:10" ht="26.25" hidden="1" thickBot="1" x14ac:dyDescent="0.3">
      <c r="A4076" s="181"/>
      <c r="B4076" s="202"/>
      <c r="C4076" s="36" t="s">
        <v>3432</v>
      </c>
      <c r="D4076" s="47" t="s">
        <v>1034</v>
      </c>
      <c r="E4076" s="37">
        <v>1.06</v>
      </c>
      <c r="F4076" s="54">
        <v>60.714499999999994</v>
      </c>
      <c r="G4076" s="54">
        <f>IF(ISNUMBER(F4076),E4076*F4076,"")</f>
        <v>64.357370000000003</v>
      </c>
      <c r="H4076" s="73"/>
      <c r="I4076" s="74"/>
      <c r="J4076" s="155">
        <v>0</v>
      </c>
    </row>
    <row r="4077" spans="1:10" ht="15.75" hidden="1" thickBot="1" x14ac:dyDescent="0.3">
      <c r="A4077" s="181"/>
      <c r="B4077" s="202"/>
      <c r="C4077" s="36" t="s">
        <v>750</v>
      </c>
      <c r="D4077" s="36" t="s">
        <v>742</v>
      </c>
      <c r="E4077" s="37">
        <v>0.48359999999999997</v>
      </c>
      <c r="F4077" s="54">
        <v>22.704999999999998</v>
      </c>
      <c r="G4077" s="54">
        <f>IF(ISNUMBER(F4077),E4077*F4077,"")</f>
        <v>10.980137999999998</v>
      </c>
      <c r="H4077" s="73"/>
      <c r="I4077" s="74"/>
      <c r="J4077" s="155">
        <v>0</v>
      </c>
    </row>
    <row r="4078" spans="1:10" ht="15.75" hidden="1" thickBot="1" x14ac:dyDescent="0.3">
      <c r="A4078" s="181"/>
      <c r="B4078" s="202"/>
      <c r="C4078" s="36" t="s">
        <v>743</v>
      </c>
      <c r="D4078" s="36" t="s">
        <v>742</v>
      </c>
      <c r="E4078" s="37">
        <v>0.20150000000000001</v>
      </c>
      <c r="F4078" s="54">
        <v>16.729499999999998</v>
      </c>
      <c r="G4078" s="54">
        <f>IF(ISNUMBER(F4078),E4078*F4078,"")</f>
        <v>3.3709942499999999</v>
      </c>
      <c r="H4078" s="73"/>
      <c r="I4078" s="74"/>
      <c r="J4078" s="155">
        <v>0</v>
      </c>
    </row>
    <row r="4079" spans="1:10" ht="15.75" hidden="1" thickBot="1" x14ac:dyDescent="0.3">
      <c r="A4079" s="181"/>
      <c r="B4079" s="202"/>
      <c r="C4079" s="55"/>
      <c r="D4079" s="55"/>
      <c r="E4079" s="66"/>
      <c r="F4079" s="76" t="s">
        <v>558</v>
      </c>
      <c r="G4079" s="76" t="str">
        <f>IF(ISNUMBER(F4079),E4079*F4079,"")</f>
        <v/>
      </c>
      <c r="H4079" s="77"/>
      <c r="I4079" s="74"/>
      <c r="J4079" s="155">
        <v>0</v>
      </c>
    </row>
    <row r="4080" spans="1:10" ht="15.75" hidden="1" thickBot="1" x14ac:dyDescent="0.3">
      <c r="A4080" s="180" t="s">
        <v>1295</v>
      </c>
      <c r="B4080" s="186" t="str">
        <f>INDEX(Orçamentária!A:B,MATCH(Composições!A4080,Orçamentária!A:A,0),2)</f>
        <v>Piso sintético flutuante – Linha Residencial</v>
      </c>
      <c r="C4080" s="41"/>
      <c r="D4080" s="26" t="str">
        <f>TRIM(INDEX(Orçamentária!C:C,MATCH(Composições!A4080,Orçamentária!A:A,0),1))</f>
        <v>m2</v>
      </c>
      <c r="E4080" s="27"/>
      <c r="F4080" s="49" t="s">
        <v>558</v>
      </c>
      <c r="G4080" s="28" t="str">
        <f>IF(ISNUMBER(F4080),E4080*F4080,"")</f>
        <v/>
      </c>
      <c r="H4080" s="29"/>
      <c r="I4080" s="30"/>
      <c r="J4080" s="155">
        <v>0</v>
      </c>
    </row>
    <row r="4081" spans="1:10" ht="15.75" hidden="1" thickBot="1" x14ac:dyDescent="0.3">
      <c r="A4081" s="181"/>
      <c r="B4081" s="202"/>
      <c r="C4081" s="32"/>
      <c r="D4081" s="32"/>
      <c r="E4081" s="33"/>
      <c r="F4081" s="54" t="s">
        <v>558</v>
      </c>
      <c r="G4081" s="54" t="str">
        <f>IF(ISNUMBER(F4081),E4081*F4081,"")</f>
        <v/>
      </c>
      <c r="H4081" s="73"/>
      <c r="I4081" s="74"/>
      <c r="J4081" s="155">
        <v>0</v>
      </c>
    </row>
    <row r="4082" spans="1:10" ht="39" hidden="1" thickBot="1" x14ac:dyDescent="0.3">
      <c r="A4082" s="181"/>
      <c r="B4082" s="202"/>
      <c r="C4082" s="36" t="s">
        <v>1296</v>
      </c>
      <c r="D4082" s="47" t="s">
        <v>1034</v>
      </c>
      <c r="E4082" s="37">
        <v>1.05</v>
      </c>
      <c r="F4082" s="54" t="s">
        <v>558</v>
      </c>
      <c r="G4082" s="54" t="str">
        <f>IF(ISNUMBER(F4082),E4082*F4082,"")</f>
        <v/>
      </c>
      <c r="H4082" s="39">
        <f>SUM(G4082:G4084)</f>
        <v>14.614113529999997</v>
      </c>
      <c r="I4082" s="40"/>
      <c r="J4082" s="155">
        <v>0</v>
      </c>
    </row>
    <row r="4083" spans="1:10" ht="15.75" hidden="1" thickBot="1" x14ac:dyDescent="0.3">
      <c r="A4083" s="181"/>
      <c r="B4083" s="202"/>
      <c r="C4083" s="36" t="s">
        <v>743</v>
      </c>
      <c r="D4083" s="36" t="s">
        <v>742</v>
      </c>
      <c r="E4083" s="37">
        <v>0.2399</v>
      </c>
      <c r="F4083" s="54">
        <v>16.729499999999998</v>
      </c>
      <c r="G4083" s="54">
        <f>IF(ISNUMBER(F4083),E4083*F4083,"")</f>
        <v>4.0134070499999996</v>
      </c>
      <c r="H4083" s="73"/>
      <c r="I4083" s="74"/>
      <c r="J4083" s="155">
        <v>0</v>
      </c>
    </row>
    <row r="4084" spans="1:10" ht="15.75" hidden="1" thickBot="1" x14ac:dyDescent="0.3">
      <c r="A4084" s="181"/>
      <c r="B4084" s="202"/>
      <c r="C4084" s="36" t="s">
        <v>1271</v>
      </c>
      <c r="D4084" s="36" t="s">
        <v>742</v>
      </c>
      <c r="E4084" s="37">
        <f>0.5759*0.7</f>
        <v>0.40312999999999993</v>
      </c>
      <c r="F4084" s="54">
        <v>26.295999999999999</v>
      </c>
      <c r="G4084" s="54">
        <f>IF(ISNUMBER(F4084),E4084*F4084,"")</f>
        <v>10.600706479999998</v>
      </c>
      <c r="H4084" s="73"/>
      <c r="I4084" s="74"/>
      <c r="J4084" s="155">
        <v>0</v>
      </c>
    </row>
    <row r="4085" spans="1:10" ht="15.75" hidden="1" thickBot="1" x14ac:dyDescent="0.3">
      <c r="A4085" s="181"/>
      <c r="B4085" s="202"/>
      <c r="C4085" s="55"/>
      <c r="D4085" s="55"/>
      <c r="E4085" s="66"/>
      <c r="F4085" s="76" t="s">
        <v>558</v>
      </c>
      <c r="G4085" s="76" t="str">
        <f>IF(ISNUMBER(F4085),E4085*F4085,"")</f>
        <v/>
      </c>
      <c r="H4085" s="77"/>
      <c r="I4085" s="74"/>
      <c r="J4085" s="155">
        <v>0</v>
      </c>
    </row>
    <row r="4086" spans="1:10" ht="15.75" hidden="1" thickBot="1" x14ac:dyDescent="0.3">
      <c r="A4086" s="180" t="s">
        <v>1297</v>
      </c>
      <c r="B4086" s="186" t="str">
        <f>INDEX(Orçamentária!A:B,MATCH(Composições!A4086,Orçamentária!A:A,0),2)</f>
        <v>Revestimento acústico perfilado – Linha Administrativa</v>
      </c>
      <c r="C4086" s="41"/>
      <c r="D4086" s="26" t="str">
        <f>TRIM(INDEX(Orçamentária!C:C,MATCH(Composições!A4086,Orçamentária!A:A,0),1))</f>
        <v>m2</v>
      </c>
      <c r="E4086" s="27"/>
      <c r="F4086" s="49" t="s">
        <v>558</v>
      </c>
      <c r="G4086" s="28" t="str">
        <f>IF(ISNUMBER(F4086),E4086*F4086,"")</f>
        <v/>
      </c>
      <c r="H4086" s="29"/>
      <c r="I4086" s="30"/>
      <c r="J4086" s="155">
        <v>0</v>
      </c>
    </row>
    <row r="4087" spans="1:10" ht="15.75" hidden="1" thickBot="1" x14ac:dyDescent="0.3">
      <c r="A4087" s="181"/>
      <c r="B4087" s="202"/>
      <c r="C4087" s="32"/>
      <c r="D4087" s="32"/>
      <c r="E4087" s="33"/>
      <c r="F4087" s="54" t="s">
        <v>558</v>
      </c>
      <c r="G4087" s="54" t="str">
        <f>IF(ISNUMBER(F4087),E4087*F4087,"")</f>
        <v/>
      </c>
      <c r="H4087" s="73"/>
      <c r="I4087" s="74"/>
      <c r="J4087" s="155">
        <v>0</v>
      </c>
    </row>
    <row r="4088" spans="1:10" ht="26.25" hidden="1" thickBot="1" x14ac:dyDescent="0.3">
      <c r="A4088" s="181"/>
      <c r="B4088" s="202"/>
      <c r="C4088" s="36" t="s">
        <v>1298</v>
      </c>
      <c r="D4088" s="36" t="s">
        <v>95</v>
      </c>
      <c r="E4088" s="37">
        <v>1.05</v>
      </c>
      <c r="F4088" s="54" t="s">
        <v>558</v>
      </c>
      <c r="G4088" s="54" t="str">
        <f>IF(ISNUMBER(F4088),E4088*F4088,"")</f>
        <v/>
      </c>
      <c r="H4088" s="39">
        <f>SUM(G4088:G4090)</f>
        <v>8.2758299999999991</v>
      </c>
      <c r="I4088" s="40"/>
      <c r="J4088" s="155">
        <v>0</v>
      </c>
    </row>
    <row r="4089" spans="1:10" ht="15.75" hidden="1" thickBot="1" x14ac:dyDescent="0.3">
      <c r="A4089" s="181"/>
      <c r="B4089" s="202"/>
      <c r="C4089" s="36" t="s">
        <v>1271</v>
      </c>
      <c r="D4089" s="36" t="s">
        <v>742</v>
      </c>
      <c r="E4089" s="37">
        <v>0.15</v>
      </c>
      <c r="F4089" s="54">
        <v>26.295999999999999</v>
      </c>
      <c r="G4089" s="54">
        <f>IF(ISNUMBER(F4089),E4089*F4089,"")</f>
        <v>3.9443999999999999</v>
      </c>
      <c r="H4089" s="73"/>
      <c r="I4089" s="74"/>
      <c r="J4089" s="155">
        <v>0</v>
      </c>
    </row>
    <row r="4090" spans="1:10" ht="15.75" hidden="1" thickBot="1" x14ac:dyDescent="0.3">
      <c r="A4090" s="181"/>
      <c r="B4090" s="202"/>
      <c r="C4090" s="36" t="s">
        <v>298</v>
      </c>
      <c r="D4090" s="36" t="s">
        <v>42</v>
      </c>
      <c r="E4090" s="37">
        <v>0.17</v>
      </c>
      <c r="F4090" s="54">
        <v>25.478999999999999</v>
      </c>
      <c r="G4090" s="54">
        <f>IF(ISNUMBER(F4090),E4090*F4090,"")</f>
        <v>4.3314300000000001</v>
      </c>
      <c r="H4090" s="73"/>
      <c r="I4090" s="74"/>
      <c r="J4090" s="155">
        <v>0</v>
      </c>
    </row>
    <row r="4091" spans="1:10" ht="15.75" hidden="1" thickBot="1" x14ac:dyDescent="0.3">
      <c r="A4091" s="181"/>
      <c r="B4091" s="202"/>
      <c r="C4091" s="55"/>
      <c r="D4091" s="55"/>
      <c r="E4091" s="66"/>
      <c r="F4091" s="76" t="s">
        <v>558</v>
      </c>
      <c r="G4091" s="76" t="str">
        <f>IF(ISNUMBER(F4091),E4091*F4091,"")</f>
        <v/>
      </c>
      <c r="H4091" s="77"/>
      <c r="I4091" s="74"/>
      <c r="J4091" s="155">
        <v>0</v>
      </c>
    </row>
    <row r="4092" spans="1:10" ht="15.75" hidden="1" thickBot="1" x14ac:dyDescent="0.3">
      <c r="A4092" s="180" t="s">
        <v>1299</v>
      </c>
      <c r="B4092" s="186" t="str">
        <f>INDEX(Orçamentária!A:B,MATCH(Composições!A4092,Orçamentária!A:A,0),2)</f>
        <v>Revestimento acústico plano – Linha Administrativa</v>
      </c>
      <c r="C4092" s="41"/>
      <c r="D4092" s="26" t="str">
        <f>TRIM(INDEX(Orçamentária!C:C,MATCH(Composições!A4092,Orçamentária!A:A,0),1))</f>
        <v>m2</v>
      </c>
      <c r="E4092" s="27"/>
      <c r="F4092" s="49" t="s">
        <v>558</v>
      </c>
      <c r="G4092" s="28" t="str">
        <f>IF(ISNUMBER(F4092),E4092*F4092,"")</f>
        <v/>
      </c>
      <c r="H4092" s="29"/>
      <c r="I4092" s="30"/>
      <c r="J4092" s="155">
        <v>0</v>
      </c>
    </row>
    <row r="4093" spans="1:10" ht="15.75" hidden="1" thickBot="1" x14ac:dyDescent="0.3">
      <c r="A4093" s="181"/>
      <c r="B4093" s="202"/>
      <c r="C4093" s="32"/>
      <c r="D4093" s="32"/>
      <c r="E4093" s="33"/>
      <c r="F4093" s="54" t="s">
        <v>558</v>
      </c>
      <c r="G4093" s="54" t="str">
        <f>IF(ISNUMBER(F4093),E4093*F4093,"")</f>
        <v/>
      </c>
      <c r="H4093" s="73"/>
      <c r="I4093" s="74"/>
      <c r="J4093" s="155">
        <v>0</v>
      </c>
    </row>
    <row r="4094" spans="1:10" ht="26.25" hidden="1" thickBot="1" x14ac:dyDescent="0.3">
      <c r="A4094" s="181"/>
      <c r="B4094" s="202"/>
      <c r="C4094" s="36" t="s">
        <v>1300</v>
      </c>
      <c r="D4094" s="36" t="s">
        <v>95</v>
      </c>
      <c r="E4094" s="37">
        <v>1.05</v>
      </c>
      <c r="F4094" s="54" t="s">
        <v>558</v>
      </c>
      <c r="G4094" s="54" t="str">
        <f>IF(ISNUMBER(F4094),E4094*F4094,"")</f>
        <v/>
      </c>
      <c r="H4094" s="39">
        <f>SUM(G4094:G4096)</f>
        <v>8.2758299999999991</v>
      </c>
      <c r="I4094" s="40"/>
      <c r="J4094" s="155">
        <v>0</v>
      </c>
    </row>
    <row r="4095" spans="1:10" ht="15.75" hidden="1" thickBot="1" x14ac:dyDescent="0.3">
      <c r="A4095" s="181"/>
      <c r="B4095" s="202"/>
      <c r="C4095" s="36" t="s">
        <v>1271</v>
      </c>
      <c r="D4095" s="36" t="s">
        <v>742</v>
      </c>
      <c r="E4095" s="37">
        <v>0.15</v>
      </c>
      <c r="F4095" s="54">
        <v>26.295999999999999</v>
      </c>
      <c r="G4095" s="54">
        <f>IF(ISNUMBER(F4095),E4095*F4095,"")</f>
        <v>3.9443999999999999</v>
      </c>
      <c r="H4095" s="73"/>
      <c r="I4095" s="74"/>
      <c r="J4095" s="155">
        <v>0</v>
      </c>
    </row>
    <row r="4096" spans="1:10" ht="15.75" hidden="1" thickBot="1" x14ac:dyDescent="0.3">
      <c r="A4096" s="181"/>
      <c r="B4096" s="202"/>
      <c r="C4096" s="36" t="s">
        <v>298</v>
      </c>
      <c r="D4096" s="36" t="s">
        <v>42</v>
      </c>
      <c r="E4096" s="37">
        <v>0.17</v>
      </c>
      <c r="F4096" s="54">
        <v>25.478999999999999</v>
      </c>
      <c r="G4096" s="54">
        <f>IF(ISNUMBER(F4096),E4096*F4096,"")</f>
        <v>4.3314300000000001</v>
      </c>
      <c r="H4096" s="73"/>
      <c r="I4096" s="74"/>
      <c r="J4096" s="155">
        <v>0</v>
      </c>
    </row>
    <row r="4097" spans="1:10" ht="15.75" hidden="1" thickBot="1" x14ac:dyDescent="0.3">
      <c r="A4097" s="181"/>
      <c r="B4097" s="202"/>
      <c r="C4097" s="55"/>
      <c r="D4097" s="55"/>
      <c r="E4097" s="66"/>
      <c r="F4097" s="76" t="s">
        <v>558</v>
      </c>
      <c r="G4097" s="76" t="str">
        <f>IF(ISNUMBER(F4097),E4097*F4097,"")</f>
        <v/>
      </c>
      <c r="H4097" s="77"/>
      <c r="I4097" s="74"/>
      <c r="J4097" s="155">
        <v>0</v>
      </c>
    </row>
    <row r="4098" spans="1:10" ht="15.75" hidden="1" thickBot="1" x14ac:dyDescent="0.3">
      <c r="A4098" s="180" t="s">
        <v>1301</v>
      </c>
      <c r="B4098" s="186" t="str">
        <f>INDEX(Orçamentária!A:B,MATCH(Composições!A4098,Orçamentária!A:A,0),2)</f>
        <v>Forro monolítico de gesso em placas</v>
      </c>
      <c r="C4098" s="41"/>
      <c r="D4098" s="26" t="str">
        <f>TRIM(INDEX(Orçamentária!C:C,MATCH(Composições!A4098,Orçamentária!A:A,0),1))</f>
        <v>m2</v>
      </c>
      <c r="E4098" s="27"/>
      <c r="F4098" s="49" t="s">
        <v>558</v>
      </c>
      <c r="G4098" s="28" t="str">
        <f>IF(ISNUMBER(F4098),E4098*F4098,"")</f>
        <v/>
      </c>
      <c r="H4098" s="29"/>
      <c r="I4098" s="30"/>
      <c r="J4098" s="155">
        <v>0</v>
      </c>
    </row>
    <row r="4099" spans="1:10" ht="15.75" hidden="1" thickBot="1" x14ac:dyDescent="0.3">
      <c r="A4099" s="181"/>
      <c r="B4099" s="202"/>
      <c r="C4099" s="32"/>
      <c r="D4099" s="32"/>
      <c r="E4099" s="33"/>
      <c r="F4099" s="54" t="s">
        <v>558</v>
      </c>
      <c r="G4099" s="54" t="str">
        <f>IF(ISNUMBER(F4099),E4099*F4099,"")</f>
        <v/>
      </c>
      <c r="H4099" s="73"/>
      <c r="I4099" s="74"/>
      <c r="J4099" s="155">
        <v>0</v>
      </c>
    </row>
    <row r="4100" spans="1:10" ht="15.75" hidden="1" thickBot="1" x14ac:dyDescent="0.3">
      <c r="A4100" s="181"/>
      <c r="B4100" s="202"/>
      <c r="C4100" s="36" t="s">
        <v>1302</v>
      </c>
      <c r="D4100" s="47" t="s">
        <v>938</v>
      </c>
      <c r="E4100" s="37">
        <v>2.5000000000000001E-2</v>
      </c>
      <c r="F4100" s="54">
        <v>31.026999999999994</v>
      </c>
      <c r="G4100" s="54">
        <f>IF(ISNUMBER(F4100),E4100*F4100,"")</f>
        <v>0.77567499999999989</v>
      </c>
      <c r="H4100" s="39">
        <f>SUM(G4100:G4106)</f>
        <v>35.157577199999999</v>
      </c>
      <c r="I4100" s="40"/>
      <c r="J4100" s="155">
        <v>0</v>
      </c>
    </row>
    <row r="4101" spans="1:10" ht="26.25" hidden="1" thickBot="1" x14ac:dyDescent="0.3">
      <c r="A4101" s="181"/>
      <c r="B4101" s="202"/>
      <c r="C4101" s="36" t="s">
        <v>3785</v>
      </c>
      <c r="D4101" s="47" t="s">
        <v>938</v>
      </c>
      <c r="E4101" s="37">
        <v>0.99639999999999995</v>
      </c>
      <c r="F4101" s="54">
        <v>0.3705</v>
      </c>
      <c r="G4101" s="54">
        <f>IF(ISNUMBER(F4101),E4101*F4101,"")</f>
        <v>0.3691662</v>
      </c>
      <c r="H4101" s="73"/>
      <c r="I4101" s="74"/>
      <c r="J4101" s="155">
        <v>0</v>
      </c>
    </row>
    <row r="4102" spans="1:10" ht="26.25" hidden="1" thickBot="1" x14ac:dyDescent="0.3">
      <c r="A4102" s="181"/>
      <c r="B4102" s="202"/>
      <c r="C4102" s="36" t="s">
        <v>3791</v>
      </c>
      <c r="D4102" s="36" t="s">
        <v>1034</v>
      </c>
      <c r="E4102" s="37">
        <v>1.0293000000000001</v>
      </c>
      <c r="F4102" s="54">
        <v>8.426499999999999</v>
      </c>
      <c r="G4102" s="54">
        <f>IF(ISNUMBER(F4102),E4102*F4102,"")</f>
        <v>8.6733964500000003</v>
      </c>
      <c r="H4102" s="73"/>
      <c r="I4102" s="74"/>
      <c r="J4102" s="155">
        <v>0</v>
      </c>
    </row>
    <row r="4103" spans="1:10" ht="15.75" hidden="1" thickBot="1" x14ac:dyDescent="0.3">
      <c r="A4103" s="181"/>
      <c r="B4103" s="202"/>
      <c r="C4103" s="36" t="s">
        <v>1303</v>
      </c>
      <c r="D4103" s="36" t="s">
        <v>938</v>
      </c>
      <c r="E4103" s="37">
        <v>7.7999999999999996E-3</v>
      </c>
      <c r="F4103" s="54">
        <v>16.292499999999997</v>
      </c>
      <c r="G4103" s="54">
        <f>IF(ISNUMBER(F4103),E4103*F4103,"")</f>
        <v>0.12708149999999996</v>
      </c>
      <c r="H4103" s="73"/>
      <c r="I4103" s="74"/>
      <c r="J4103" s="155">
        <v>0</v>
      </c>
    </row>
    <row r="4104" spans="1:10" ht="26.25" hidden="1" thickBot="1" x14ac:dyDescent="0.3">
      <c r="A4104" s="181"/>
      <c r="B4104" s="202"/>
      <c r="C4104" s="36" t="s">
        <v>278</v>
      </c>
      <c r="D4104" s="47" t="s">
        <v>1304</v>
      </c>
      <c r="E4104" s="37">
        <v>3.0800000000000001E-2</v>
      </c>
      <c r="F4104" s="54">
        <v>17.147500000000001</v>
      </c>
      <c r="G4104" s="54">
        <f>IF(ISNUMBER(F4104),E4104*F4104,"")</f>
        <v>0.52814300000000003</v>
      </c>
      <c r="H4104" s="73"/>
      <c r="I4104" s="74"/>
      <c r="J4104" s="155">
        <v>0</v>
      </c>
    </row>
    <row r="4105" spans="1:10" ht="15.75" hidden="1" thickBot="1" x14ac:dyDescent="0.3">
      <c r="A4105" s="181"/>
      <c r="B4105" s="202"/>
      <c r="C4105" s="36" t="s">
        <v>1305</v>
      </c>
      <c r="D4105" s="36" t="s">
        <v>742</v>
      </c>
      <c r="E4105" s="37">
        <v>0.7974</v>
      </c>
      <c r="F4105" s="54">
        <v>22.591000000000001</v>
      </c>
      <c r="G4105" s="54">
        <f>IF(ISNUMBER(F4105),E4105*F4105,"")</f>
        <v>18.014063400000001</v>
      </c>
      <c r="H4105" s="73"/>
      <c r="I4105" s="74"/>
      <c r="J4105" s="155">
        <v>0</v>
      </c>
    </row>
    <row r="4106" spans="1:10" ht="15.75" hidden="1" thickBot="1" x14ac:dyDescent="0.3">
      <c r="A4106" s="181"/>
      <c r="B4106" s="202"/>
      <c r="C4106" s="36" t="s">
        <v>743</v>
      </c>
      <c r="D4106" s="36" t="s">
        <v>742</v>
      </c>
      <c r="E4106" s="37">
        <v>0.3987</v>
      </c>
      <c r="F4106" s="54">
        <v>16.729499999999998</v>
      </c>
      <c r="G4106" s="54">
        <f>IF(ISNUMBER(F4106),E4106*F4106,"")</f>
        <v>6.6700516499999996</v>
      </c>
      <c r="H4106" s="73"/>
      <c r="I4106" s="74"/>
      <c r="J4106" s="155">
        <v>0</v>
      </c>
    </row>
    <row r="4107" spans="1:10" ht="15.75" hidden="1" thickBot="1" x14ac:dyDescent="0.3">
      <c r="A4107" s="181"/>
      <c r="B4107" s="202"/>
      <c r="C4107" s="55"/>
      <c r="D4107" s="55"/>
      <c r="E4107" s="66"/>
      <c r="F4107" s="76" t="s">
        <v>558</v>
      </c>
      <c r="G4107" s="76" t="str">
        <f>IF(ISNUMBER(F4107),E4107*F4107,"")</f>
        <v/>
      </c>
      <c r="H4107" s="77"/>
      <c r="I4107" s="74"/>
      <c r="J4107" s="155">
        <v>0</v>
      </c>
    </row>
    <row r="4108" spans="1:10" ht="15.75" hidden="1" thickBot="1" x14ac:dyDescent="0.3">
      <c r="A4108" s="180" t="s">
        <v>1306</v>
      </c>
      <c r="B4108" s="186" t="str">
        <f>INDEX(Orçamentária!A:B,MATCH(Composições!A4108,Orçamentária!A:A,0),2)</f>
        <v>Textura acrílica – Linha Administrativa</v>
      </c>
      <c r="C4108" s="41"/>
      <c r="D4108" s="26" t="str">
        <f>TRIM(INDEX(Orçamentária!C:C,MATCH(Composições!A4108,Orçamentária!A:A,0),1))</f>
        <v>m2</v>
      </c>
      <c r="E4108" s="27"/>
      <c r="F4108" s="49" t="s">
        <v>558</v>
      </c>
      <c r="G4108" s="28" t="str">
        <f>IF(ISNUMBER(F4108),E4108*F4108,"")</f>
        <v/>
      </c>
      <c r="H4108" s="29"/>
      <c r="I4108" s="30"/>
      <c r="J4108" s="155">
        <v>0</v>
      </c>
    </row>
    <row r="4109" spans="1:10" ht="15.75" hidden="1" thickBot="1" x14ac:dyDescent="0.3">
      <c r="A4109" s="181"/>
      <c r="B4109" s="202"/>
      <c r="C4109" s="32"/>
      <c r="D4109" s="32"/>
      <c r="E4109" s="33"/>
      <c r="F4109" s="54" t="s">
        <v>558</v>
      </c>
      <c r="G4109" s="54" t="str">
        <f>IF(ISNUMBER(F4109),E4109*F4109,"")</f>
        <v/>
      </c>
      <c r="H4109" s="73"/>
      <c r="I4109" s="74"/>
      <c r="J4109" s="155">
        <v>0</v>
      </c>
    </row>
    <row r="4110" spans="1:10" ht="26.25" hidden="1" thickBot="1" x14ac:dyDescent="0.3">
      <c r="A4110" s="181"/>
      <c r="B4110" s="202"/>
      <c r="C4110" s="36" t="s">
        <v>1307</v>
      </c>
      <c r="D4110" s="36" t="s">
        <v>938</v>
      </c>
      <c r="E4110" s="37">
        <v>1.1399999999999999</v>
      </c>
      <c r="F4110" s="54">
        <v>6.7639999999999993</v>
      </c>
      <c r="G4110" s="54">
        <f>IF(ISNUMBER(F4110),E4110*F4110,"")</f>
        <v>7.7109599999999983</v>
      </c>
      <c r="H4110" s="39">
        <f>SUM(G4110:G4112)</f>
        <v>13.310649499999998</v>
      </c>
      <c r="I4110" s="40"/>
      <c r="J4110" s="155">
        <v>0</v>
      </c>
    </row>
    <row r="4111" spans="1:10" ht="15.75" hidden="1" thickBot="1" x14ac:dyDescent="0.3">
      <c r="A4111" s="181"/>
      <c r="B4111" s="202"/>
      <c r="C4111" s="36" t="s">
        <v>1137</v>
      </c>
      <c r="D4111" s="36" t="s">
        <v>742</v>
      </c>
      <c r="E4111" s="37">
        <v>0.188</v>
      </c>
      <c r="F4111" s="54">
        <v>23.645499999999998</v>
      </c>
      <c r="G4111" s="54">
        <f>IF(ISNUMBER(F4111),E4111*F4111,"")</f>
        <v>4.445354</v>
      </c>
      <c r="H4111" s="73"/>
      <c r="I4111" s="74"/>
      <c r="J4111" s="155">
        <v>0</v>
      </c>
    </row>
    <row r="4112" spans="1:10" ht="15.75" hidden="1" thickBot="1" x14ac:dyDescent="0.3">
      <c r="A4112" s="181"/>
      <c r="B4112" s="202"/>
      <c r="C4112" s="36" t="s">
        <v>743</v>
      </c>
      <c r="D4112" s="36" t="s">
        <v>742</v>
      </c>
      <c r="E4112" s="37">
        <v>6.9000000000000006E-2</v>
      </c>
      <c r="F4112" s="54">
        <v>16.729499999999998</v>
      </c>
      <c r="G4112" s="54">
        <f>IF(ISNUMBER(F4112),E4112*F4112,"")</f>
        <v>1.1543355</v>
      </c>
      <c r="H4112" s="73"/>
      <c r="I4112" s="74"/>
      <c r="J4112" s="155">
        <v>0</v>
      </c>
    </row>
    <row r="4113" spans="1:10" ht="15.75" hidden="1" thickBot="1" x14ac:dyDescent="0.3">
      <c r="A4113" s="181"/>
      <c r="B4113" s="202"/>
      <c r="C4113" s="55"/>
      <c r="D4113" s="55"/>
      <c r="E4113" s="66"/>
      <c r="F4113" s="76" t="s">
        <v>558</v>
      </c>
      <c r="G4113" s="76" t="str">
        <f>IF(ISNUMBER(F4113),E4113*F4113,"")</f>
        <v/>
      </c>
      <c r="H4113" s="77"/>
      <c r="I4113" s="74"/>
      <c r="J4113" s="155">
        <v>0</v>
      </c>
    </row>
    <row r="4114" spans="1:10" ht="15.75" hidden="1" thickBot="1" x14ac:dyDescent="0.3">
      <c r="A4114" s="180" t="s">
        <v>1308</v>
      </c>
      <c r="B4114" s="186" t="str">
        <f>INDEX(Orçamentária!A:B,MATCH(Composições!A4114,Orçamentária!A:A,0),2)</f>
        <v>Pintura com tinta látex acrílica Premium – cores especiais (sistema tintométrico)</v>
      </c>
      <c r="C4114" s="41"/>
      <c r="D4114" s="26" t="str">
        <f>TRIM(INDEX(Orçamentária!C:C,MATCH(Composições!A4114,Orçamentária!A:A,0),1))</f>
        <v>m2</v>
      </c>
      <c r="E4114" s="27"/>
      <c r="F4114" s="49" t="s">
        <v>558</v>
      </c>
      <c r="G4114" s="28" t="str">
        <f>IF(ISNUMBER(F4114),E4114*F4114,"")</f>
        <v/>
      </c>
      <c r="H4114" s="29"/>
      <c r="I4114" s="30"/>
      <c r="J4114" s="155">
        <v>0</v>
      </c>
    </row>
    <row r="4115" spans="1:10" ht="15.75" hidden="1" thickBot="1" x14ac:dyDescent="0.3">
      <c r="A4115" s="181"/>
      <c r="B4115" s="202"/>
      <c r="C4115" s="32"/>
      <c r="D4115" s="32"/>
      <c r="E4115" s="33"/>
      <c r="F4115" s="54" t="s">
        <v>558</v>
      </c>
      <c r="G4115" s="54" t="str">
        <f>IF(ISNUMBER(F4115),E4115*F4115,"")</f>
        <v/>
      </c>
      <c r="H4115" s="73"/>
      <c r="I4115" s="74"/>
      <c r="J4115" s="155">
        <v>0</v>
      </c>
    </row>
    <row r="4116" spans="1:10" ht="15.75" hidden="1" thickBot="1" x14ac:dyDescent="0.3">
      <c r="A4116" s="181"/>
      <c r="B4116" s="202"/>
      <c r="C4116" s="36" t="s">
        <v>1309</v>
      </c>
      <c r="D4116" s="36" t="s">
        <v>103</v>
      </c>
      <c r="E4116" s="37">
        <f>ROUND(0.33*1.15,4)</f>
        <v>0.3795</v>
      </c>
      <c r="F4116" s="54">
        <v>21.973499999999998</v>
      </c>
      <c r="G4116" s="54">
        <f>IF(ISNUMBER(F4116),E4116*F4116,"")</f>
        <v>8.3389432499999998</v>
      </c>
      <c r="H4116" s="39">
        <f>SUM(G4116:G4118)</f>
        <v>13.914987249999999</v>
      </c>
      <c r="I4116" s="40"/>
      <c r="J4116" s="155">
        <v>0</v>
      </c>
    </row>
    <row r="4117" spans="1:10" ht="15.75" hidden="1" thickBot="1" x14ac:dyDescent="0.3">
      <c r="A4117" s="181"/>
      <c r="B4117" s="202"/>
      <c r="C4117" s="36" t="s">
        <v>1137</v>
      </c>
      <c r="D4117" s="36" t="s">
        <v>742</v>
      </c>
      <c r="E4117" s="37">
        <v>0.187</v>
      </c>
      <c r="F4117" s="54">
        <v>23.645499999999998</v>
      </c>
      <c r="G4117" s="54">
        <f>IF(ISNUMBER(F4117),E4117*F4117,"")</f>
        <v>4.4217084999999994</v>
      </c>
      <c r="H4117" s="73"/>
      <c r="I4117" s="74"/>
      <c r="J4117" s="155">
        <v>0</v>
      </c>
    </row>
    <row r="4118" spans="1:10" ht="15.75" hidden="1" thickBot="1" x14ac:dyDescent="0.3">
      <c r="A4118" s="181"/>
      <c r="B4118" s="202"/>
      <c r="C4118" s="36" t="s">
        <v>743</v>
      </c>
      <c r="D4118" s="36" t="s">
        <v>742</v>
      </c>
      <c r="E4118" s="37">
        <v>6.9000000000000006E-2</v>
      </c>
      <c r="F4118" s="54">
        <v>16.729499999999998</v>
      </c>
      <c r="G4118" s="54">
        <f>IF(ISNUMBER(F4118),E4118*F4118,"")</f>
        <v>1.1543355</v>
      </c>
      <c r="H4118" s="73"/>
      <c r="I4118" s="74"/>
      <c r="J4118" s="155">
        <v>0</v>
      </c>
    </row>
    <row r="4119" spans="1:10" ht="15.75" hidden="1" thickBot="1" x14ac:dyDescent="0.3">
      <c r="A4119" s="181"/>
      <c r="B4119" s="202"/>
      <c r="C4119" s="36"/>
      <c r="D4119" s="36"/>
      <c r="E4119" s="37"/>
      <c r="F4119" s="54" t="s">
        <v>558</v>
      </c>
      <c r="G4119" s="54" t="str">
        <f>IF(ISNUMBER(F4119),E4119*F4119,"")</f>
        <v/>
      </c>
      <c r="H4119" s="73"/>
      <c r="I4119" s="74"/>
      <c r="J4119" s="155">
        <v>0</v>
      </c>
    </row>
    <row r="4120" spans="1:10" ht="26.25" hidden="1" thickBot="1" x14ac:dyDescent="0.3">
      <c r="A4120" s="181"/>
      <c r="B4120" s="202"/>
      <c r="C4120" s="36" t="s">
        <v>1310</v>
      </c>
      <c r="D4120" s="36"/>
      <c r="E4120" s="37"/>
      <c r="F4120" s="54" t="s">
        <v>558</v>
      </c>
      <c r="G4120" s="54" t="str">
        <f>IF(ISNUMBER(F4120),E4120*F4120,"")</f>
        <v/>
      </c>
      <c r="H4120" s="73"/>
      <c r="I4120" s="74"/>
      <c r="J4120" s="155">
        <v>0</v>
      </c>
    </row>
    <row r="4121" spans="1:10" ht="15.75" hidden="1" thickBot="1" x14ac:dyDescent="0.3">
      <c r="A4121" s="181"/>
      <c r="B4121" s="202"/>
      <c r="C4121" s="55"/>
      <c r="D4121" s="55"/>
      <c r="E4121" s="66"/>
      <c r="F4121" s="76" t="s">
        <v>558</v>
      </c>
      <c r="G4121" s="76" t="str">
        <f>IF(ISNUMBER(F4121),E4121*F4121,"")</f>
        <v/>
      </c>
      <c r="H4121" s="77"/>
      <c r="I4121" s="74"/>
      <c r="J4121" s="155">
        <v>0</v>
      </c>
    </row>
    <row r="4122" spans="1:10" ht="15.75" hidden="1" thickBot="1" x14ac:dyDescent="0.3">
      <c r="A4122" s="180" t="s">
        <v>1312</v>
      </c>
      <c r="B4122" s="186" t="str">
        <f>INDEX(Orçamentária!A:B,MATCH(Composições!A4122,Orçamentária!A:A,0),2)</f>
        <v>Pintura com tinta acrílica (pisos)</v>
      </c>
      <c r="C4122" s="41"/>
      <c r="D4122" s="26" t="str">
        <f>TRIM(INDEX(Orçamentária!C:C,MATCH(Composições!A4122,Orçamentária!A:A,0),1))</f>
        <v>m2</v>
      </c>
      <c r="E4122" s="27"/>
      <c r="F4122" s="49" t="s">
        <v>558</v>
      </c>
      <c r="G4122" s="28" t="str">
        <f>IF(ISNUMBER(F4122),E4122*F4122,"")</f>
        <v/>
      </c>
      <c r="H4122" s="29"/>
      <c r="I4122" s="30"/>
      <c r="J4122" s="155">
        <v>0</v>
      </c>
    </row>
    <row r="4123" spans="1:10" ht="15.75" hidden="1" thickBot="1" x14ac:dyDescent="0.3">
      <c r="A4123" s="181"/>
      <c r="B4123" s="202"/>
      <c r="C4123" s="32"/>
      <c r="D4123" s="32"/>
      <c r="E4123" s="33"/>
      <c r="F4123" s="54" t="s">
        <v>558</v>
      </c>
      <c r="G4123" s="54" t="str">
        <f>IF(ISNUMBER(F4123),E4123*F4123,"")</f>
        <v/>
      </c>
      <c r="H4123" s="73"/>
      <c r="I4123" s="74"/>
      <c r="J4123" s="155">
        <v>0</v>
      </c>
    </row>
    <row r="4124" spans="1:10" ht="15.75" hidden="1" thickBot="1" x14ac:dyDescent="0.3">
      <c r="A4124" s="181"/>
      <c r="B4124" s="202"/>
      <c r="C4124" s="36" t="s">
        <v>1136</v>
      </c>
      <c r="D4124" s="36" t="s">
        <v>103</v>
      </c>
      <c r="E4124" s="37">
        <v>0.17</v>
      </c>
      <c r="F4124" s="54">
        <v>14.658499999999998</v>
      </c>
      <c r="G4124" s="54">
        <f>IF(ISNUMBER(F4124),E4124*F4124,"")</f>
        <v>2.4919449999999999</v>
      </c>
      <c r="H4124" s="39">
        <f>SUM(G4124:G4126)</f>
        <v>14.950244999999999</v>
      </c>
      <c r="I4124" s="40"/>
      <c r="J4124" s="155">
        <v>0</v>
      </c>
    </row>
    <row r="4125" spans="1:10" ht="15.75" hidden="1" thickBot="1" x14ac:dyDescent="0.3">
      <c r="A4125" s="181"/>
      <c r="B4125" s="202"/>
      <c r="C4125" s="36" t="s">
        <v>1137</v>
      </c>
      <c r="D4125" s="36" t="s">
        <v>742</v>
      </c>
      <c r="E4125" s="37">
        <v>0.35</v>
      </c>
      <c r="F4125" s="54">
        <v>23.645499999999998</v>
      </c>
      <c r="G4125" s="54">
        <f>IF(ISNUMBER(F4125),E4125*F4125,"")</f>
        <v>8.2759249999999991</v>
      </c>
      <c r="H4125" s="73"/>
      <c r="I4125" s="74"/>
      <c r="J4125" s="155">
        <v>0</v>
      </c>
    </row>
    <row r="4126" spans="1:10" ht="15.75" hidden="1" thickBot="1" x14ac:dyDescent="0.3">
      <c r="A4126" s="181"/>
      <c r="B4126" s="202"/>
      <c r="C4126" s="36" t="s">
        <v>743</v>
      </c>
      <c r="D4126" s="36" t="s">
        <v>742</v>
      </c>
      <c r="E4126" s="37">
        <v>0.25</v>
      </c>
      <c r="F4126" s="54">
        <v>16.729499999999998</v>
      </c>
      <c r="G4126" s="54">
        <f>IF(ISNUMBER(F4126),E4126*F4126,"")</f>
        <v>4.1823749999999995</v>
      </c>
      <c r="H4126" s="73"/>
      <c r="I4126" s="74"/>
      <c r="J4126" s="155">
        <v>0</v>
      </c>
    </row>
    <row r="4127" spans="1:10" ht="15.75" hidden="1" thickBot="1" x14ac:dyDescent="0.3">
      <c r="A4127" s="181"/>
      <c r="B4127" s="202"/>
      <c r="C4127" s="55"/>
      <c r="D4127" s="55"/>
      <c r="E4127" s="66"/>
      <c r="F4127" s="76" t="s">
        <v>558</v>
      </c>
      <c r="G4127" s="76" t="str">
        <f>IF(ISNUMBER(F4127),E4127*F4127,"")</f>
        <v/>
      </c>
      <c r="H4127" s="77"/>
      <c r="I4127" s="74"/>
      <c r="J4127" s="155">
        <v>0</v>
      </c>
    </row>
    <row r="4128" spans="1:10" ht="15.75" hidden="1" thickBot="1" x14ac:dyDescent="0.3">
      <c r="A4128" s="180" t="s">
        <v>1313</v>
      </c>
      <c r="B4128" s="186" t="str">
        <f>INDEX(Orçamentária!A:B,MATCH(Composições!A4128,Orçamentária!A:A,0),2)</f>
        <v>Pintura com tinta epóxi de alto desempenho (pisos)</v>
      </c>
      <c r="C4128" s="41"/>
      <c r="D4128" s="26" t="str">
        <f>TRIM(INDEX(Orçamentária!C:C,MATCH(Composições!A4128,Orçamentária!A:A,0),1))</f>
        <v>m2</v>
      </c>
      <c r="E4128" s="27"/>
      <c r="F4128" s="49" t="s">
        <v>558</v>
      </c>
      <c r="G4128" s="28" t="str">
        <f>IF(ISNUMBER(F4128),E4128*F4128,"")</f>
        <v/>
      </c>
      <c r="H4128" s="29"/>
      <c r="I4128" s="30"/>
      <c r="J4128" s="155">
        <v>0</v>
      </c>
    </row>
    <row r="4129" spans="1:10" ht="15.75" hidden="1" thickBot="1" x14ac:dyDescent="0.3">
      <c r="A4129" s="181"/>
      <c r="B4129" s="202"/>
      <c r="C4129" s="32"/>
      <c r="D4129" s="32"/>
      <c r="E4129" s="33"/>
      <c r="F4129" s="54" t="s">
        <v>558</v>
      </c>
      <c r="G4129" s="54" t="str">
        <f>IF(ISNUMBER(F4129),E4129*F4129,"")</f>
        <v/>
      </c>
      <c r="H4129" s="73"/>
      <c r="I4129" s="74"/>
      <c r="J4129" s="155">
        <v>0</v>
      </c>
    </row>
    <row r="4130" spans="1:10" ht="15.75" hidden="1" thickBot="1" x14ac:dyDescent="0.3">
      <c r="A4130" s="181"/>
      <c r="B4130" s="202"/>
      <c r="C4130" s="36" t="s">
        <v>3829</v>
      </c>
      <c r="D4130" s="36" t="s">
        <v>103</v>
      </c>
      <c r="E4130" s="37">
        <v>0.52559999999999996</v>
      </c>
      <c r="F4130" s="54">
        <v>55.774499999999996</v>
      </c>
      <c r="G4130" s="54">
        <f>IF(ISNUMBER(F4130),E4130*F4130,"")</f>
        <v>29.315077199999994</v>
      </c>
      <c r="H4130" s="39">
        <f>SUM(G4130:G4133)</f>
        <v>55.938857599999999</v>
      </c>
      <c r="I4130" s="40"/>
      <c r="J4130" s="155">
        <v>0</v>
      </c>
    </row>
    <row r="4131" spans="1:10" ht="15.75" hidden="1" thickBot="1" x14ac:dyDescent="0.3">
      <c r="A4131" s="181"/>
      <c r="B4131" s="202"/>
      <c r="C4131" s="36" t="s">
        <v>750</v>
      </c>
      <c r="D4131" s="36" t="s">
        <v>742</v>
      </c>
      <c r="E4131" s="37">
        <v>0.5</v>
      </c>
      <c r="F4131" s="54">
        <v>22.704999999999998</v>
      </c>
      <c r="G4131" s="54">
        <f>IF(ISNUMBER(F4131),E4131*F4131,"")</f>
        <v>11.352499999999999</v>
      </c>
      <c r="H4131" s="73"/>
      <c r="I4131" s="74"/>
      <c r="J4131" s="155">
        <v>0</v>
      </c>
    </row>
    <row r="4132" spans="1:10" ht="15.75" hidden="1" thickBot="1" x14ac:dyDescent="0.3">
      <c r="A4132" s="181"/>
      <c r="B4132" s="202"/>
      <c r="C4132" s="36" t="s">
        <v>743</v>
      </c>
      <c r="D4132" s="36" t="s">
        <v>742</v>
      </c>
      <c r="E4132" s="37">
        <v>0.5</v>
      </c>
      <c r="F4132" s="54">
        <v>16.729499999999998</v>
      </c>
      <c r="G4132" s="54">
        <f>IF(ISNUMBER(F4132),E4132*F4132,"")</f>
        <v>8.364749999999999</v>
      </c>
      <c r="H4132" s="73"/>
      <c r="I4132" s="74"/>
      <c r="J4132" s="155">
        <v>0</v>
      </c>
    </row>
    <row r="4133" spans="1:10" ht="15.75" hidden="1" thickBot="1" x14ac:dyDescent="0.3">
      <c r="A4133" s="181"/>
      <c r="B4133" s="202"/>
      <c r="C4133" s="36" t="s">
        <v>1314</v>
      </c>
      <c r="D4133" s="36" t="s">
        <v>1315</v>
      </c>
      <c r="E4133" s="37">
        <v>3.9199999999999999E-2</v>
      </c>
      <c r="F4133" s="54">
        <v>176.18700000000001</v>
      </c>
      <c r="G4133" s="54">
        <f>IF(ISNUMBER(F4133),E4133*F4133,"")</f>
        <v>6.9065304000000003</v>
      </c>
      <c r="H4133" s="73"/>
      <c r="I4133" s="74"/>
      <c r="J4133" s="155">
        <v>0</v>
      </c>
    </row>
    <row r="4134" spans="1:10" ht="15.75" hidden="1" thickBot="1" x14ac:dyDescent="0.3">
      <c r="A4134" s="181"/>
      <c r="B4134" s="202"/>
      <c r="C4134" s="55"/>
      <c r="D4134" s="55"/>
      <c r="E4134" s="66"/>
      <c r="F4134" s="76" t="s">
        <v>558</v>
      </c>
      <c r="G4134" s="76" t="str">
        <f>IF(ISNUMBER(F4134),E4134*F4134,"")</f>
        <v/>
      </c>
      <c r="H4134" s="77"/>
      <c r="I4134" s="74"/>
      <c r="J4134" s="155">
        <v>0</v>
      </c>
    </row>
    <row r="4135" spans="1:10" ht="15.75" hidden="1" thickBot="1" x14ac:dyDescent="0.3">
      <c r="A4135" s="180" t="s">
        <v>1316</v>
      </c>
      <c r="B4135" s="186" t="str">
        <f>INDEX(Orçamentária!A:B,MATCH(Composições!A4135,Orçamentária!A:A,0),2)</f>
        <v>Verniz de poliuretano sobre pintura epóxi de alto desempenho</v>
      </c>
      <c r="C4135" s="41"/>
      <c r="D4135" s="26" t="str">
        <f>TRIM(INDEX(Orçamentária!C:C,MATCH(Composições!A4135,Orçamentária!A:A,0),1))</f>
        <v>m2</v>
      </c>
      <c r="E4135" s="27"/>
      <c r="F4135" s="49" t="s">
        <v>558</v>
      </c>
      <c r="G4135" s="28" t="str">
        <f>IF(ISNUMBER(F4135),E4135*F4135,"")</f>
        <v/>
      </c>
      <c r="H4135" s="29"/>
      <c r="I4135" s="30"/>
      <c r="J4135" s="155">
        <v>0</v>
      </c>
    </row>
    <row r="4136" spans="1:10" ht="15.75" hidden="1" thickBot="1" x14ac:dyDescent="0.3">
      <c r="A4136" s="181"/>
      <c r="B4136" s="202"/>
      <c r="C4136" s="32"/>
      <c r="D4136" s="32"/>
      <c r="E4136" s="33"/>
      <c r="F4136" s="54" t="s">
        <v>558</v>
      </c>
      <c r="G4136" s="54" t="str">
        <f>IF(ISNUMBER(F4136),E4136*F4136,"")</f>
        <v/>
      </c>
      <c r="H4136" s="73"/>
      <c r="I4136" s="74"/>
      <c r="J4136" s="155">
        <v>0</v>
      </c>
    </row>
    <row r="4137" spans="1:10" ht="15.75" hidden="1" thickBot="1" x14ac:dyDescent="0.3">
      <c r="A4137" s="181"/>
      <c r="B4137" s="202"/>
      <c r="C4137" s="36" t="s">
        <v>6490</v>
      </c>
      <c r="D4137" s="36" t="s">
        <v>103</v>
      </c>
      <c r="E4137" s="37">
        <v>0.04</v>
      </c>
      <c r="F4137" s="54">
        <v>0</v>
      </c>
      <c r="G4137" s="54">
        <f>IF(ISNUMBER(F4137),E4137*F4137,"")</f>
        <v>0</v>
      </c>
      <c r="H4137" s="39">
        <f>SUM(G4137:G4140)</f>
        <v>19.286519999999999</v>
      </c>
      <c r="I4137" s="40"/>
      <c r="J4137" s="155">
        <v>0</v>
      </c>
    </row>
    <row r="4138" spans="1:10" ht="15.75" hidden="1" thickBot="1" x14ac:dyDescent="0.3">
      <c r="A4138" s="181"/>
      <c r="B4138" s="202"/>
      <c r="C4138" s="36" t="s">
        <v>6491</v>
      </c>
      <c r="D4138" s="36" t="s">
        <v>938</v>
      </c>
      <c r="E4138" s="37">
        <v>0.36</v>
      </c>
      <c r="F4138" s="54">
        <v>0</v>
      </c>
      <c r="G4138" s="54">
        <f>IF(ISNUMBER(F4138),E4138*F4138,"")</f>
        <v>0</v>
      </c>
      <c r="H4138" s="73"/>
      <c r="I4138" s="74"/>
      <c r="J4138" s="155">
        <v>0</v>
      </c>
    </row>
    <row r="4139" spans="1:10" ht="15.75" hidden="1" thickBot="1" x14ac:dyDescent="0.3">
      <c r="A4139" s="181"/>
      <c r="B4139" s="202"/>
      <c r="C4139" s="36" t="s">
        <v>1137</v>
      </c>
      <c r="D4139" s="36" t="s">
        <v>742</v>
      </c>
      <c r="E4139" s="37">
        <v>0.66</v>
      </c>
      <c r="F4139" s="54">
        <v>23.645499999999998</v>
      </c>
      <c r="G4139" s="54">
        <f>IF(ISNUMBER(F4139),E4139*F4139,"")</f>
        <v>15.606030000000001</v>
      </c>
      <c r="H4139" s="73"/>
      <c r="I4139" s="74"/>
      <c r="J4139" s="155">
        <v>0</v>
      </c>
    </row>
    <row r="4140" spans="1:10" ht="15.75" hidden="1" thickBot="1" x14ac:dyDescent="0.3">
      <c r="A4140" s="181"/>
      <c r="B4140" s="202"/>
      <c r="C4140" s="36" t="s">
        <v>743</v>
      </c>
      <c r="D4140" s="36" t="s">
        <v>742</v>
      </c>
      <c r="E4140" s="37">
        <v>0.22</v>
      </c>
      <c r="F4140" s="54">
        <v>16.729499999999998</v>
      </c>
      <c r="G4140" s="54">
        <f>IF(ISNUMBER(F4140),E4140*F4140,"")</f>
        <v>3.6804899999999994</v>
      </c>
      <c r="H4140" s="73"/>
      <c r="I4140" s="74"/>
      <c r="J4140" s="155">
        <v>0</v>
      </c>
    </row>
    <row r="4141" spans="1:10" ht="15.75" hidden="1" thickBot="1" x14ac:dyDescent="0.3">
      <c r="A4141" s="182"/>
      <c r="B4141" s="188"/>
      <c r="C4141" s="55"/>
      <c r="D4141" s="55"/>
      <c r="E4141" s="66"/>
      <c r="F4141" s="76" t="s">
        <v>558</v>
      </c>
      <c r="G4141" s="76" t="str">
        <f>IF(ISNUMBER(F4141),E4141*F4141,"")</f>
        <v/>
      </c>
      <c r="H4141" s="77"/>
      <c r="I4141" s="74"/>
      <c r="J4141" s="155">
        <v>0</v>
      </c>
    </row>
    <row r="4142" spans="1:10" ht="15.75" hidden="1" thickBot="1" x14ac:dyDescent="0.3">
      <c r="A4142" s="180" t="s">
        <v>1318</v>
      </c>
      <c r="B4142" s="186" t="str">
        <f>INDEX(Orçamentária!A:B,MATCH(Composições!A4142,Orçamentária!A:A,0),2)</f>
        <v>Tratamento antiderrapante em verniz de poliuretano sobre pintura epóxi</v>
      </c>
      <c r="C4142" s="41"/>
      <c r="D4142" s="26" t="str">
        <f>TRIM(INDEX(Orçamentária!C:C,MATCH(Composições!A4142,Orçamentária!A:A,0),1))</f>
        <v>m2</v>
      </c>
      <c r="E4142" s="27"/>
      <c r="F4142" s="49" t="s">
        <v>558</v>
      </c>
      <c r="G4142" s="28" t="str">
        <f>IF(ISNUMBER(F4142),E4142*F4142,"")</f>
        <v/>
      </c>
      <c r="H4142" s="29"/>
      <c r="I4142" s="30"/>
      <c r="J4142" s="155">
        <v>0</v>
      </c>
    </row>
    <row r="4143" spans="1:10" ht="15.75" hidden="1" thickBot="1" x14ac:dyDescent="0.3">
      <c r="A4143" s="181"/>
      <c r="B4143" s="202"/>
      <c r="C4143" s="32"/>
      <c r="D4143" s="32"/>
      <c r="E4143" s="33"/>
      <c r="F4143" s="54" t="s">
        <v>558</v>
      </c>
      <c r="G4143" s="54" t="str">
        <f>IF(ISNUMBER(F4143),E4143*F4143,"")</f>
        <v/>
      </c>
      <c r="H4143" s="73"/>
      <c r="I4143" s="74"/>
      <c r="J4143" s="155">
        <v>0</v>
      </c>
    </row>
    <row r="4144" spans="1:10" ht="26.25" hidden="1" thickBot="1" x14ac:dyDescent="0.3">
      <c r="A4144" s="181"/>
      <c r="B4144" s="202"/>
      <c r="C4144" s="36" t="s">
        <v>1319</v>
      </c>
      <c r="D4144" s="36" t="s">
        <v>938</v>
      </c>
      <c r="E4144" s="37">
        <v>2</v>
      </c>
      <c r="F4144" s="54" t="s">
        <v>558</v>
      </c>
      <c r="G4144" s="54" t="str">
        <f>IF(ISNUMBER(F4144),E4144*F4144,"")</f>
        <v/>
      </c>
      <c r="H4144" s="39">
        <f>SUM(G4144:G4145)</f>
        <v>1.1543355</v>
      </c>
      <c r="I4144" s="40"/>
      <c r="J4144" s="155">
        <v>0</v>
      </c>
    </row>
    <row r="4145" spans="1:10" ht="15.75" hidden="1" thickBot="1" x14ac:dyDescent="0.3">
      <c r="A4145" s="181"/>
      <c r="B4145" s="202"/>
      <c r="C4145" s="36" t="s">
        <v>743</v>
      </c>
      <c r="D4145" s="36" t="s">
        <v>742</v>
      </c>
      <c r="E4145" s="37">
        <v>6.9000000000000006E-2</v>
      </c>
      <c r="F4145" s="54">
        <v>16.729499999999998</v>
      </c>
      <c r="G4145" s="54">
        <f>IF(ISNUMBER(F4145),E4145*F4145,"")</f>
        <v>1.1543355</v>
      </c>
      <c r="H4145" s="73"/>
      <c r="I4145" s="74"/>
      <c r="J4145" s="155">
        <v>0</v>
      </c>
    </row>
    <row r="4146" spans="1:10" ht="15.75" hidden="1" thickBot="1" x14ac:dyDescent="0.3">
      <c r="A4146" s="181"/>
      <c r="B4146" s="202"/>
      <c r="C4146" s="55"/>
      <c r="D4146" s="55"/>
      <c r="E4146" s="66"/>
      <c r="F4146" s="76" t="s">
        <v>558</v>
      </c>
      <c r="G4146" s="76" t="str">
        <f>IF(ISNUMBER(F4146),E4146*F4146,"")</f>
        <v/>
      </c>
      <c r="H4146" s="77"/>
      <c r="I4146" s="74"/>
      <c r="J4146" s="155">
        <v>0</v>
      </c>
    </row>
    <row r="4147" spans="1:10" ht="15.75" hidden="1" thickBot="1" x14ac:dyDescent="0.3">
      <c r="A4147" s="180" t="s">
        <v>1320</v>
      </c>
      <c r="B4147" s="186" t="str">
        <f>INDEX(Orçamentária!A:B,MATCH(Composições!A4147,Orçamentária!A:A,0),2)</f>
        <v>Pintura para superfícies galvanizadas</v>
      </c>
      <c r="C4147" s="41"/>
      <c r="D4147" s="26" t="str">
        <f>TRIM(INDEX(Orçamentária!C:C,MATCH(Composições!A4147,Orçamentária!A:A,0),1))</f>
        <v>m2</v>
      </c>
      <c r="E4147" s="27"/>
      <c r="F4147" s="49" t="s">
        <v>558</v>
      </c>
      <c r="G4147" s="28" t="str">
        <f>IF(ISNUMBER(F4147),E4147*F4147,"")</f>
        <v/>
      </c>
      <c r="H4147" s="29"/>
      <c r="I4147" s="30"/>
      <c r="J4147" s="155">
        <v>0</v>
      </c>
    </row>
    <row r="4148" spans="1:10" ht="15.75" hidden="1" thickBot="1" x14ac:dyDescent="0.3">
      <c r="A4148" s="181"/>
      <c r="B4148" s="202"/>
      <c r="C4148" s="32"/>
      <c r="D4148" s="32"/>
      <c r="E4148" s="33"/>
      <c r="F4148" s="54" t="s">
        <v>558</v>
      </c>
      <c r="G4148" s="54" t="str">
        <f>IF(ISNUMBER(F4148),E4148*F4148,"")</f>
        <v/>
      </c>
      <c r="H4148" s="73"/>
      <c r="I4148" s="74"/>
      <c r="J4148" s="155">
        <v>0</v>
      </c>
    </row>
    <row r="4149" spans="1:10" ht="15.75" hidden="1" thickBot="1" x14ac:dyDescent="0.3">
      <c r="A4149" s="181"/>
      <c r="B4149" s="202"/>
      <c r="C4149" s="36" t="s">
        <v>1317</v>
      </c>
      <c r="D4149" s="36" t="s">
        <v>103</v>
      </c>
      <c r="E4149" s="37">
        <v>6.1899999999999997E-2</v>
      </c>
      <c r="F4149" s="54">
        <v>12.454499999999999</v>
      </c>
      <c r="G4149" s="54">
        <f>IF(ISNUMBER(F4149),E4149*F4149,"")</f>
        <v>0.77093354999999997</v>
      </c>
      <c r="H4149" s="39">
        <f>SUM(G4149:G4155)</f>
        <v>27.155405149999996</v>
      </c>
      <c r="I4149" s="40"/>
      <c r="J4149" s="155">
        <v>0</v>
      </c>
    </row>
    <row r="4150" spans="1:10" ht="15.75" hidden="1" thickBot="1" x14ac:dyDescent="0.3">
      <c r="A4150" s="181"/>
      <c r="B4150" s="202"/>
      <c r="C4150" s="36" t="s">
        <v>1396</v>
      </c>
      <c r="D4150" s="36" t="s">
        <v>103</v>
      </c>
      <c r="E4150" s="37">
        <v>0.20699999999999999</v>
      </c>
      <c r="F4150" s="54">
        <v>29.164999999999999</v>
      </c>
      <c r="G4150" s="54">
        <f>IF(ISNUMBER(F4150),E4150*F4150,"")</f>
        <v>6.0371549999999994</v>
      </c>
      <c r="H4150" s="73"/>
      <c r="I4150" s="74"/>
      <c r="J4150" s="155">
        <v>0</v>
      </c>
    </row>
    <row r="4151" spans="1:10" ht="15.75" hidden="1" thickBot="1" x14ac:dyDescent="0.3">
      <c r="A4151" s="181"/>
      <c r="B4151" s="202"/>
      <c r="C4151" s="36" t="s">
        <v>1137</v>
      </c>
      <c r="D4151" s="36" t="s">
        <v>742</v>
      </c>
      <c r="E4151" s="37">
        <v>0.52659999999999996</v>
      </c>
      <c r="F4151" s="54">
        <v>23.645499999999998</v>
      </c>
      <c r="G4151" s="54">
        <f>IF(ISNUMBER(F4151),E4151*F4151,"")</f>
        <v>12.451720299999998</v>
      </c>
      <c r="H4151" s="73"/>
      <c r="I4151" s="74"/>
      <c r="J4151" s="155">
        <v>0</v>
      </c>
    </row>
    <row r="4152" spans="1:10" ht="39" hidden="1" thickBot="1" x14ac:dyDescent="0.3">
      <c r="A4152" s="181"/>
      <c r="B4152" s="202"/>
      <c r="C4152" s="36" t="s">
        <v>1321</v>
      </c>
      <c r="D4152" s="36" t="s">
        <v>984</v>
      </c>
      <c r="E4152" s="37">
        <v>0.37319999999999998</v>
      </c>
      <c r="F4152" s="54" t="s">
        <v>558</v>
      </c>
      <c r="G4152" s="54" t="str">
        <f>IF(ISNUMBER(F4152),E4152*F4152,"")</f>
        <v/>
      </c>
      <c r="H4152" s="73"/>
      <c r="I4152" s="74"/>
      <c r="J4152" s="155">
        <v>0</v>
      </c>
    </row>
    <row r="4153" spans="1:10" ht="39" hidden="1" thickBot="1" x14ac:dyDescent="0.3">
      <c r="A4153" s="181"/>
      <c r="B4153" s="202"/>
      <c r="C4153" s="36" t="s">
        <v>1322</v>
      </c>
      <c r="D4153" s="36" t="s">
        <v>982</v>
      </c>
      <c r="E4153" s="37">
        <v>0.15340000000000001</v>
      </c>
      <c r="F4153" s="54" t="s">
        <v>558</v>
      </c>
      <c r="G4153" s="54" t="str">
        <f>IF(ISNUMBER(F4153),E4153*F4153,"")</f>
        <v/>
      </c>
      <c r="H4153" s="73"/>
      <c r="I4153" s="74"/>
      <c r="J4153" s="155">
        <v>0</v>
      </c>
    </row>
    <row r="4154" spans="1:10" ht="15.75" hidden="1" thickBot="1" x14ac:dyDescent="0.3">
      <c r="A4154" s="181"/>
      <c r="B4154" s="202"/>
      <c r="C4154" s="36" t="s">
        <v>1323</v>
      </c>
      <c r="D4154" s="36" t="s">
        <v>292</v>
      </c>
      <c r="E4154" s="37">
        <v>0.3</v>
      </c>
      <c r="F4154" s="54">
        <v>2.7835000000000001</v>
      </c>
      <c r="G4154" s="54">
        <f>IF(ISNUMBER(F4154),E4154*F4154,"")</f>
        <v>0.83504999999999996</v>
      </c>
      <c r="H4154" s="73"/>
      <c r="I4154" s="74"/>
      <c r="J4154" s="155">
        <v>0</v>
      </c>
    </row>
    <row r="4155" spans="1:10" ht="15.75" hidden="1" thickBot="1" x14ac:dyDescent="0.3">
      <c r="A4155" s="181"/>
      <c r="B4155" s="202"/>
      <c r="C4155" s="36" t="s">
        <v>1137</v>
      </c>
      <c r="D4155" s="36" t="s">
        <v>742</v>
      </c>
      <c r="E4155" s="37">
        <v>0.29859999999999998</v>
      </c>
      <c r="F4155" s="54">
        <v>23.645499999999998</v>
      </c>
      <c r="G4155" s="54">
        <f>IF(ISNUMBER(F4155),E4155*F4155,"")</f>
        <v>7.0605462999999986</v>
      </c>
      <c r="H4155" s="73"/>
      <c r="I4155" s="74"/>
      <c r="J4155" s="155">
        <v>0</v>
      </c>
    </row>
    <row r="4156" spans="1:10" ht="15.75" hidden="1" thickBot="1" x14ac:dyDescent="0.3">
      <c r="A4156" s="182"/>
      <c r="B4156" s="188"/>
      <c r="C4156" s="55"/>
      <c r="D4156" s="55"/>
      <c r="E4156" s="66"/>
      <c r="F4156" s="76" t="s">
        <v>558</v>
      </c>
      <c r="G4156" s="76" t="str">
        <f>IF(ISNUMBER(F4156),E4156*F4156,"")</f>
        <v/>
      </c>
      <c r="H4156" s="77"/>
      <c r="I4156" s="74"/>
      <c r="J4156" s="155">
        <v>0</v>
      </c>
    </row>
    <row r="4157" spans="1:10" ht="15.75" hidden="1" thickBot="1" x14ac:dyDescent="0.3">
      <c r="A4157" s="180" t="s">
        <v>1324</v>
      </c>
      <c r="B4157" s="186" t="str">
        <f>INDEX(Orçamentária!A:B,MATCH(Composições!A4157,Orçamentária!A:A,0),2)</f>
        <v>Selagem ou resselagem de juntas em pavimentação de concreto armado</v>
      </c>
      <c r="C4157" s="41"/>
      <c r="D4157" s="26" t="str">
        <f>TRIM(INDEX(Orçamentária!C:C,MATCH(Composições!A4157,Orçamentária!A:A,0),1))</f>
        <v>m</v>
      </c>
      <c r="E4157" s="27"/>
      <c r="F4157" s="49" t="s">
        <v>558</v>
      </c>
      <c r="G4157" s="28" t="str">
        <f>IF(ISNUMBER(F4157),E4157*F4157,"")</f>
        <v/>
      </c>
      <c r="H4157" s="29"/>
      <c r="I4157" s="30"/>
      <c r="J4157" s="155">
        <v>0</v>
      </c>
    </row>
    <row r="4158" spans="1:10" ht="15.75" hidden="1" thickBot="1" x14ac:dyDescent="0.3">
      <c r="A4158" s="181"/>
      <c r="B4158" s="202"/>
      <c r="C4158" s="32"/>
      <c r="D4158" s="32"/>
      <c r="E4158" s="33"/>
      <c r="F4158" s="54" t="s">
        <v>558</v>
      </c>
      <c r="G4158" s="54" t="str">
        <f>IF(ISNUMBER(F4158),E4158*F4158,"")</f>
        <v/>
      </c>
      <c r="H4158" s="73"/>
      <c r="I4158" s="74"/>
      <c r="J4158" s="155">
        <v>0</v>
      </c>
    </row>
    <row r="4159" spans="1:10" ht="15.75" hidden="1" thickBot="1" x14ac:dyDescent="0.3">
      <c r="A4159" s="181"/>
      <c r="B4159" s="202"/>
      <c r="C4159" s="36" t="s">
        <v>743</v>
      </c>
      <c r="D4159" s="36" t="s">
        <v>12</v>
      </c>
      <c r="E4159" s="37">
        <f>ROUND(4/74.7,4)</f>
        <v>5.3499999999999999E-2</v>
      </c>
      <c r="F4159" s="54">
        <v>16.729499999999998</v>
      </c>
      <c r="G4159" s="54">
        <f>IF(ISNUMBER(F4159),E4159*F4159,"")</f>
        <v>0.89502824999999986</v>
      </c>
      <c r="H4159" s="39">
        <f>SUM(G4159:G4164)</f>
        <v>8.54672725</v>
      </c>
      <c r="I4159" s="40"/>
      <c r="J4159" s="155">
        <v>0</v>
      </c>
    </row>
    <row r="4160" spans="1:10" ht="15.75" hidden="1" thickBot="1" x14ac:dyDescent="0.3">
      <c r="A4160" s="181"/>
      <c r="B4160" s="202"/>
      <c r="C4160" s="36" t="s">
        <v>1325</v>
      </c>
      <c r="D4160" s="36" t="s">
        <v>982</v>
      </c>
      <c r="E4160" s="37">
        <f>ROUND(1/74.7,4)</f>
        <v>1.34E-2</v>
      </c>
      <c r="F4160" s="54">
        <v>0</v>
      </c>
      <c r="G4160" s="54">
        <f>IF(ISNUMBER(F4160),E4160*F4160,"")</f>
        <v>0</v>
      </c>
      <c r="H4160" s="73"/>
      <c r="I4160" s="74"/>
      <c r="J4160" s="155">
        <v>0</v>
      </c>
    </row>
    <row r="4161" spans="1:10" ht="15.75" hidden="1" thickBot="1" x14ac:dyDescent="0.3">
      <c r="A4161" s="181"/>
      <c r="B4161" s="202"/>
      <c r="C4161" s="36" t="s">
        <v>1326</v>
      </c>
      <c r="D4161" s="36" t="s">
        <v>982</v>
      </c>
      <c r="E4161" s="37">
        <f>ROUND(1/74.7,4)</f>
        <v>1.34E-2</v>
      </c>
      <c r="F4161" s="54">
        <v>0</v>
      </c>
      <c r="G4161" s="54">
        <f>IF(ISNUMBER(F4161),E4161*F4161,"")</f>
        <v>0</v>
      </c>
      <c r="H4161" s="73"/>
      <c r="I4161" s="74"/>
      <c r="J4161" s="155">
        <v>0</v>
      </c>
    </row>
    <row r="4162" spans="1:10" ht="15.75" hidden="1" thickBot="1" x14ac:dyDescent="0.3">
      <c r="A4162" s="181"/>
      <c r="B4162" s="202"/>
      <c r="C4162" s="36" t="s">
        <v>1327</v>
      </c>
      <c r="D4162" s="36" t="s">
        <v>93</v>
      </c>
      <c r="E4162" s="37">
        <v>1</v>
      </c>
      <c r="F4162" s="54">
        <v>0</v>
      </c>
      <c r="G4162" s="54">
        <f>IF(ISNUMBER(F4162),E4162*F4162,"")</f>
        <v>0</v>
      </c>
      <c r="H4162" s="73"/>
      <c r="I4162" s="74"/>
      <c r="J4162" s="155">
        <v>0</v>
      </c>
    </row>
    <row r="4163" spans="1:10" ht="15.75" hidden="1" thickBot="1" x14ac:dyDescent="0.3">
      <c r="A4163" s="181"/>
      <c r="B4163" s="202"/>
      <c r="C4163" s="36" t="s">
        <v>1328</v>
      </c>
      <c r="D4163" s="36" t="s">
        <v>292</v>
      </c>
      <c r="E4163" s="37">
        <v>3.3E-3</v>
      </c>
      <c r="F4163" s="54">
        <v>0</v>
      </c>
      <c r="G4163" s="54">
        <f>IF(ISNUMBER(F4163),E4163*F4163,"")</f>
        <v>0</v>
      </c>
      <c r="H4163" s="73"/>
      <c r="I4163" s="74"/>
      <c r="J4163" s="155">
        <v>0</v>
      </c>
    </row>
    <row r="4164" spans="1:10" ht="26.25" hidden="1" thickBot="1" x14ac:dyDescent="0.3">
      <c r="A4164" s="181"/>
      <c r="B4164" s="202"/>
      <c r="C4164" s="36" t="s">
        <v>1329</v>
      </c>
      <c r="D4164" s="36" t="s">
        <v>42</v>
      </c>
      <c r="E4164" s="37">
        <v>0.1181</v>
      </c>
      <c r="F4164" s="54">
        <v>64.790000000000006</v>
      </c>
      <c r="G4164" s="54">
        <f>IF(ISNUMBER(F4164),E4164*F4164,"")</f>
        <v>7.6516990000000007</v>
      </c>
      <c r="H4164" s="73"/>
      <c r="I4164" s="74"/>
      <c r="J4164" s="155">
        <v>0</v>
      </c>
    </row>
    <row r="4165" spans="1:10" ht="15.75" hidden="1" thickBot="1" x14ac:dyDescent="0.3">
      <c r="A4165" s="182"/>
      <c r="B4165" s="188"/>
      <c r="C4165" s="55"/>
      <c r="D4165" s="55"/>
      <c r="E4165" s="66"/>
      <c r="F4165" s="76" t="s">
        <v>558</v>
      </c>
      <c r="G4165" s="76" t="str">
        <f>IF(ISNUMBER(F4165),E4165*F4165,"")</f>
        <v/>
      </c>
      <c r="H4165" s="77"/>
      <c r="I4165" s="74"/>
      <c r="J4165" s="155">
        <v>0</v>
      </c>
    </row>
    <row r="4166" spans="1:10" ht="15.75" hidden="1" thickBot="1" x14ac:dyDescent="0.3">
      <c r="A4166" s="180" t="s">
        <v>1330</v>
      </c>
      <c r="B4166" s="186" t="str">
        <f>INDEX(Orçamentária!A:B,MATCH(Composições!A4166,Orçamentária!A:A,0),2)</f>
        <v>Pavimentação em elementos intertravados de concreto</v>
      </c>
      <c r="C4166" s="41"/>
      <c r="D4166" s="26" t="str">
        <f>TRIM(INDEX(Orçamentária!C:C,MATCH(Composições!A4166,Orçamentária!A:A,0),1))</f>
        <v>m2</v>
      </c>
      <c r="E4166" s="27"/>
      <c r="F4166" s="49" t="s">
        <v>558</v>
      </c>
      <c r="G4166" s="28" t="str">
        <f>IF(ISNUMBER(F4166),E4166*F4166,"")</f>
        <v/>
      </c>
      <c r="H4166" s="29"/>
      <c r="I4166" s="30"/>
      <c r="J4166" s="155">
        <v>0</v>
      </c>
    </row>
    <row r="4167" spans="1:10" ht="15.75" hidden="1" thickBot="1" x14ac:dyDescent="0.3">
      <c r="A4167" s="181"/>
      <c r="B4167" s="202"/>
      <c r="C4167" s="32"/>
      <c r="D4167" s="32"/>
      <c r="E4167" s="33"/>
      <c r="F4167" s="54" t="s">
        <v>558</v>
      </c>
      <c r="G4167" s="54" t="str">
        <f>IF(ISNUMBER(F4167),E4167*F4167,"")</f>
        <v/>
      </c>
      <c r="H4167" s="73"/>
      <c r="I4167" s="74"/>
      <c r="J4167" s="155">
        <v>0</v>
      </c>
    </row>
    <row r="4168" spans="1:10" ht="26.25" hidden="1" thickBot="1" x14ac:dyDescent="0.3">
      <c r="A4168" s="181"/>
      <c r="B4168" s="202"/>
      <c r="C4168" s="36" t="s">
        <v>791</v>
      </c>
      <c r="D4168" s="36" t="s">
        <v>122</v>
      </c>
      <c r="E4168" s="37">
        <v>5.6800000000000003E-2</v>
      </c>
      <c r="F4168" s="54">
        <v>85.5</v>
      </c>
      <c r="G4168" s="54">
        <f>IF(ISNUMBER(F4168),E4168*F4168,"")</f>
        <v>4.8564000000000007</v>
      </c>
      <c r="H4168" s="39">
        <f>SUM(G4168:G4178)</f>
        <v>58.273240043719994</v>
      </c>
      <c r="I4168" s="40"/>
      <c r="J4168" s="155">
        <v>0</v>
      </c>
    </row>
    <row r="4169" spans="1:10" ht="15.75" hidden="1" thickBot="1" x14ac:dyDescent="0.3">
      <c r="A4169" s="181"/>
      <c r="B4169" s="202"/>
      <c r="C4169" s="36" t="s">
        <v>1331</v>
      </c>
      <c r="D4169" s="36" t="s">
        <v>122</v>
      </c>
      <c r="E4169" s="37">
        <v>3.5999999999999999E-3</v>
      </c>
      <c r="F4169" s="54">
        <v>118.066</v>
      </c>
      <c r="G4169" s="54">
        <f>IF(ISNUMBER(F4169),E4169*F4169,"")</f>
        <v>0.42503760000000002</v>
      </c>
      <c r="H4169" s="73"/>
      <c r="I4169" s="74"/>
      <c r="J4169" s="155">
        <v>0</v>
      </c>
    </row>
    <row r="4170" spans="1:10" ht="39" hidden="1" thickBot="1" x14ac:dyDescent="0.3">
      <c r="A4170" s="181"/>
      <c r="B4170" s="202"/>
      <c r="C4170" s="36" t="s">
        <v>1332</v>
      </c>
      <c r="D4170" s="36" t="s">
        <v>1034</v>
      </c>
      <c r="E4170" s="37">
        <v>1.0042</v>
      </c>
      <c r="F4170" s="54">
        <v>46.150999999999996</v>
      </c>
      <c r="G4170" s="54">
        <f>IF(ISNUMBER(F4170),E4170*F4170,"")</f>
        <v>46.344834199999994</v>
      </c>
      <c r="H4170" s="73"/>
      <c r="I4170" s="74"/>
      <c r="J4170" s="155">
        <v>0</v>
      </c>
    </row>
    <row r="4171" spans="1:10" ht="15.75" hidden="1" thickBot="1" x14ac:dyDescent="0.3">
      <c r="A4171" s="181"/>
      <c r="B4171" s="202"/>
      <c r="C4171" s="36" t="s">
        <v>1333</v>
      </c>
      <c r="D4171" s="36" t="s">
        <v>742</v>
      </c>
      <c r="E4171" s="37">
        <v>9.7000000000000003E-2</v>
      </c>
      <c r="F4171" s="54">
        <v>21.337</v>
      </c>
      <c r="G4171" s="54">
        <f>IF(ISNUMBER(F4171),E4171*F4171,"")</f>
        <v>2.0696889999999999</v>
      </c>
      <c r="H4171" s="73"/>
      <c r="I4171" s="74"/>
      <c r="J4171" s="155">
        <v>0</v>
      </c>
    </row>
    <row r="4172" spans="1:10" ht="15.75" hidden="1" thickBot="1" x14ac:dyDescent="0.3">
      <c r="A4172" s="181"/>
      <c r="B4172" s="202"/>
      <c r="C4172" s="36" t="s">
        <v>743</v>
      </c>
      <c r="D4172" s="36" t="s">
        <v>742</v>
      </c>
      <c r="E4172" s="37">
        <v>9.7000000000000003E-2</v>
      </c>
      <c r="F4172" s="54">
        <v>16.729499999999998</v>
      </c>
      <c r="G4172" s="54">
        <f>IF(ISNUMBER(F4172),E4172*F4172,"")</f>
        <v>1.6227615</v>
      </c>
      <c r="H4172" s="73"/>
      <c r="I4172" s="74"/>
      <c r="J4172" s="155">
        <v>0</v>
      </c>
    </row>
    <row r="4173" spans="1:10" ht="39" hidden="1" thickBot="1" x14ac:dyDescent="0.3">
      <c r="A4173" s="181"/>
      <c r="B4173" s="202"/>
      <c r="C4173" s="36" t="s">
        <v>1145</v>
      </c>
      <c r="D4173" s="36" t="s">
        <v>982</v>
      </c>
      <c r="E4173" s="37">
        <v>4.1000000000000003E-3</v>
      </c>
      <c r="F4173" s="54">
        <v>9.5379999999999985</v>
      </c>
      <c r="G4173" s="54">
        <f>IF(ISNUMBER(F4173),E4173*F4173,"")</f>
        <v>3.9105799999999996E-2</v>
      </c>
      <c r="H4173" s="73"/>
      <c r="I4173" s="74"/>
      <c r="J4173" s="155">
        <v>0</v>
      </c>
    </row>
    <row r="4174" spans="1:10" ht="39" hidden="1" thickBot="1" x14ac:dyDescent="0.3">
      <c r="A4174" s="181"/>
      <c r="B4174" s="202"/>
      <c r="C4174" s="36" t="s">
        <v>1334</v>
      </c>
      <c r="D4174" s="36" t="s">
        <v>984</v>
      </c>
      <c r="E4174" s="37">
        <v>4.4400000000000002E-2</v>
      </c>
      <c r="F4174" s="54">
        <v>0.49399999999999999</v>
      </c>
      <c r="G4174" s="54">
        <f>IF(ISNUMBER(F4174),E4174*F4174,"")</f>
        <v>2.1933600000000001E-2</v>
      </c>
      <c r="H4174" s="73"/>
      <c r="I4174" s="74"/>
      <c r="J4174" s="155">
        <v>0</v>
      </c>
    </row>
    <row r="4175" spans="1:10" ht="51.75" hidden="1" thickBot="1" x14ac:dyDescent="0.3">
      <c r="A4175" s="181"/>
      <c r="B4175" s="202"/>
      <c r="C4175" s="36" t="s">
        <v>1335</v>
      </c>
      <c r="D4175" s="36" t="s">
        <v>982</v>
      </c>
      <c r="E4175" s="37">
        <v>3.7000000000000002E-3</v>
      </c>
      <c r="F4175" s="54">
        <v>21.831</v>
      </c>
      <c r="G4175" s="54">
        <f>IF(ISNUMBER(F4175),E4175*F4175,"")</f>
        <v>8.0774700000000005E-2</v>
      </c>
      <c r="H4175" s="73"/>
      <c r="I4175" s="74"/>
      <c r="J4175" s="155">
        <v>0</v>
      </c>
    </row>
    <row r="4176" spans="1:10" ht="51.75" hidden="1" thickBot="1" x14ac:dyDescent="0.3">
      <c r="A4176" s="181"/>
      <c r="B4176" s="202"/>
      <c r="C4176" s="36" t="s">
        <v>1336</v>
      </c>
      <c r="D4176" s="36" t="s">
        <v>984</v>
      </c>
      <c r="E4176" s="37">
        <v>4.48E-2</v>
      </c>
      <c r="F4176" s="54">
        <v>0.71249999999999991</v>
      </c>
      <c r="G4176" s="54">
        <f>IF(ISNUMBER(F4176),E4176*F4176,"")</f>
        <v>3.1919999999999997E-2</v>
      </c>
      <c r="H4176" s="73"/>
      <c r="I4176" s="74"/>
      <c r="J4176" s="155">
        <v>0</v>
      </c>
    </row>
    <row r="4177" spans="1:10" ht="51.75" hidden="1" thickBot="1" x14ac:dyDescent="0.3">
      <c r="A4177" s="181"/>
      <c r="B4177" s="202"/>
      <c r="C4177" s="36" t="s">
        <v>3617</v>
      </c>
      <c r="D4177" s="36" t="s">
        <v>110</v>
      </c>
      <c r="E4177" s="37">
        <f>1*(E4168+E4169)</f>
        <v>6.0400000000000002E-2</v>
      </c>
      <c r="F4177" s="34">
        <v>6.0418992999999999</v>
      </c>
      <c r="G4177" s="34">
        <f>IF(ISNUMBER(F4177),E4177*F4177,"")</f>
        <v>0.36493071772000002</v>
      </c>
      <c r="H4177" s="35"/>
      <c r="I4177" s="31"/>
      <c r="J4177" s="155">
        <v>0</v>
      </c>
    </row>
    <row r="4178" spans="1:10" ht="39" hidden="1" thickBot="1" x14ac:dyDescent="0.3">
      <c r="A4178" s="181"/>
      <c r="B4178" s="202"/>
      <c r="C4178" s="36" t="s">
        <v>123</v>
      </c>
      <c r="D4178" s="36" t="s">
        <v>124</v>
      </c>
      <c r="E4178" s="37">
        <f>20*(E4168+E4169)</f>
        <v>1.208</v>
      </c>
      <c r="F4178" s="54">
        <v>1.9998782499999996</v>
      </c>
      <c r="G4178" s="54">
        <f>IF(ISNUMBER(F4178),E4178*F4178,"")</f>
        <v>2.4158529259999995</v>
      </c>
      <c r="H4178" s="73"/>
      <c r="I4178" s="74"/>
      <c r="J4178" s="155">
        <v>0</v>
      </c>
    </row>
    <row r="4179" spans="1:10" ht="15.75" hidden="1" thickBot="1" x14ac:dyDescent="0.3">
      <c r="A4179" s="181"/>
      <c r="B4179" s="202"/>
      <c r="C4179" s="36"/>
      <c r="D4179" s="36"/>
      <c r="E4179" s="37"/>
      <c r="F4179" s="54" t="s">
        <v>558</v>
      </c>
      <c r="G4179" s="54" t="str">
        <f>IF(ISNUMBER(F4179),E4179*F4179,"")</f>
        <v/>
      </c>
      <c r="H4179" s="73"/>
      <c r="I4179" s="74"/>
      <c r="J4179" s="155">
        <v>0</v>
      </c>
    </row>
    <row r="4180" spans="1:10" ht="26.25" hidden="1" thickBot="1" x14ac:dyDescent="0.3">
      <c r="A4180" s="181"/>
      <c r="B4180" s="202"/>
      <c r="C4180" s="48" t="s">
        <v>1337</v>
      </c>
      <c r="D4180" s="36"/>
      <c r="E4180" s="37"/>
      <c r="F4180" s="54" t="s">
        <v>558</v>
      </c>
      <c r="G4180" s="54" t="str">
        <f>IF(ISNUMBER(F4180),E4180*F4180,"")</f>
        <v/>
      </c>
      <c r="H4180" s="73"/>
      <c r="I4180" s="74"/>
      <c r="J4180" s="155">
        <v>0</v>
      </c>
    </row>
    <row r="4181" spans="1:10" ht="15.75" hidden="1" thickBot="1" x14ac:dyDescent="0.3">
      <c r="A4181" s="182"/>
      <c r="B4181" s="188"/>
      <c r="C4181" s="55"/>
      <c r="D4181" s="55"/>
      <c r="E4181" s="66"/>
      <c r="F4181" s="76" t="s">
        <v>558</v>
      </c>
      <c r="G4181" s="76" t="str">
        <f>IF(ISNUMBER(F4181),E4181*F4181,"")</f>
        <v/>
      </c>
      <c r="H4181" s="77"/>
      <c r="I4181" s="74"/>
      <c r="J4181" s="155">
        <v>0</v>
      </c>
    </row>
    <row r="4182" spans="1:10" ht="15.75" hidden="1" thickBot="1" x14ac:dyDescent="0.3">
      <c r="A4182" s="180" t="s">
        <v>1338</v>
      </c>
      <c r="B4182" s="186" t="str">
        <f>INDEX(Orçamentária!A:B,MATCH(Composições!A4182,Orçamentária!A:A,0),2)</f>
        <v>Pavimentação com Asfalto Pré-Misturado a Frio (PMF)</v>
      </c>
      <c r="C4182" s="41"/>
      <c r="D4182" s="26" t="str">
        <f>TRIM(INDEX(Orçamentária!C:C,MATCH(Composições!A4182,Orçamentária!A:A,0),1))</f>
        <v>m3</v>
      </c>
      <c r="E4182" s="27"/>
      <c r="F4182" s="49" t="s">
        <v>558</v>
      </c>
      <c r="G4182" s="28" t="str">
        <f>IF(ISNUMBER(F4182),E4182*F4182,"")</f>
        <v/>
      </c>
      <c r="H4182" s="29"/>
      <c r="I4182" s="30"/>
      <c r="J4182" s="155">
        <v>0</v>
      </c>
    </row>
    <row r="4183" spans="1:10" ht="15.75" hidden="1" thickBot="1" x14ac:dyDescent="0.3">
      <c r="A4183" s="181"/>
      <c r="B4183" s="202"/>
      <c r="C4183" s="32"/>
      <c r="D4183" s="32"/>
      <c r="E4183" s="33"/>
      <c r="F4183" s="54" t="s">
        <v>558</v>
      </c>
      <c r="G4183" s="54" t="str">
        <f>IF(ISNUMBER(F4183),E4183*F4183,"")</f>
        <v/>
      </c>
      <c r="H4183" s="73"/>
      <c r="I4183" s="74"/>
      <c r="J4183" s="155">
        <v>0</v>
      </c>
    </row>
    <row r="4184" spans="1:10" ht="15.75" hidden="1" thickBot="1" x14ac:dyDescent="0.3">
      <c r="A4184" s="181"/>
      <c r="B4184" s="202"/>
      <c r="C4184" s="36" t="s">
        <v>743</v>
      </c>
      <c r="D4184" s="36" t="s">
        <v>742</v>
      </c>
      <c r="E4184" s="37">
        <v>0.4</v>
      </c>
      <c r="F4184" s="54">
        <v>16.729499999999998</v>
      </c>
      <c r="G4184" s="54">
        <f>IF(ISNUMBER(F4184),E4184*F4184,"")</f>
        <v>6.6917999999999997</v>
      </c>
      <c r="H4184" s="39">
        <f>SUM(G4184:G4205)</f>
        <v>756.87057019199995</v>
      </c>
      <c r="I4184" s="40"/>
      <c r="J4184" s="155">
        <v>0</v>
      </c>
    </row>
    <row r="4185" spans="1:10" ht="39" hidden="1" thickBot="1" x14ac:dyDescent="0.3">
      <c r="A4185" s="181"/>
      <c r="B4185" s="202"/>
      <c r="C4185" s="36" t="s">
        <v>1339</v>
      </c>
      <c r="D4185" s="36" t="s">
        <v>984</v>
      </c>
      <c r="E4185" s="37">
        <v>6.0000000000000001E-3</v>
      </c>
      <c r="F4185" s="54">
        <v>55.109499999999997</v>
      </c>
      <c r="G4185" s="54">
        <f>IF(ISNUMBER(F4185),E4185*F4185,"")</f>
        <v>0.33065699999999998</v>
      </c>
      <c r="H4185" s="73"/>
      <c r="I4185" s="74"/>
      <c r="J4185" s="155">
        <v>0</v>
      </c>
    </row>
    <row r="4186" spans="1:10" ht="39" hidden="1" thickBot="1" x14ac:dyDescent="0.3">
      <c r="A4186" s="181"/>
      <c r="B4186" s="202"/>
      <c r="C4186" s="36" t="s">
        <v>1340</v>
      </c>
      <c r="D4186" s="36" t="s">
        <v>982</v>
      </c>
      <c r="E4186" s="37">
        <v>1.0699999999999999E-2</v>
      </c>
      <c r="F4186" s="54">
        <v>144.096</v>
      </c>
      <c r="G4186" s="54">
        <f>IF(ISNUMBER(F4186),E4186*F4186,"")</f>
        <v>1.5418272</v>
      </c>
      <c r="H4186" s="73"/>
      <c r="I4186" s="74"/>
      <c r="J4186" s="155">
        <v>0</v>
      </c>
    </row>
    <row r="4187" spans="1:10" ht="39" hidden="1" thickBot="1" x14ac:dyDescent="0.3">
      <c r="A4187" s="181"/>
      <c r="B4187" s="202"/>
      <c r="C4187" s="36" t="s">
        <v>1341</v>
      </c>
      <c r="D4187" s="36" t="s">
        <v>982</v>
      </c>
      <c r="E4187" s="37">
        <v>6.1999999999999998E-3</v>
      </c>
      <c r="F4187" s="54">
        <v>155.48649999999998</v>
      </c>
      <c r="G4187" s="54">
        <f>IF(ISNUMBER(F4187),E4187*F4187,"")</f>
        <v>0.96401629999999983</v>
      </c>
      <c r="H4187" s="73"/>
      <c r="I4187" s="74"/>
      <c r="J4187" s="155">
        <v>0</v>
      </c>
    </row>
    <row r="4188" spans="1:10" ht="39" hidden="1" thickBot="1" x14ac:dyDescent="0.3">
      <c r="A4188" s="181"/>
      <c r="B4188" s="202"/>
      <c r="C4188" s="36" t="s">
        <v>1342</v>
      </c>
      <c r="D4188" s="36" t="s">
        <v>984</v>
      </c>
      <c r="E4188" s="37">
        <v>1.0500000000000001E-2</v>
      </c>
      <c r="F4188" s="54">
        <v>51.433</v>
      </c>
      <c r="G4188" s="54">
        <f>IF(ISNUMBER(F4188),E4188*F4188,"")</f>
        <v>0.54004649999999998</v>
      </c>
      <c r="H4188" s="73"/>
      <c r="I4188" s="74"/>
      <c r="J4188" s="155">
        <v>0</v>
      </c>
    </row>
    <row r="4189" spans="1:10" ht="26.25" hidden="1" thickBot="1" x14ac:dyDescent="0.3">
      <c r="A4189" s="181"/>
      <c r="B4189" s="202"/>
      <c r="C4189" s="36" t="s">
        <v>1343</v>
      </c>
      <c r="D4189" s="36" t="s">
        <v>984</v>
      </c>
      <c r="E4189" s="37">
        <v>1.2200000000000001E-2</v>
      </c>
      <c r="F4189" s="54">
        <v>29.231499999999997</v>
      </c>
      <c r="G4189" s="54">
        <f>IF(ISNUMBER(F4189),E4189*F4189,"")</f>
        <v>0.35662430000000001</v>
      </c>
      <c r="H4189" s="73"/>
      <c r="I4189" s="74"/>
      <c r="J4189" s="155">
        <v>0</v>
      </c>
    </row>
    <row r="4190" spans="1:10" ht="26.25" hidden="1" thickBot="1" x14ac:dyDescent="0.3">
      <c r="A4190" s="181"/>
      <c r="B4190" s="202"/>
      <c r="C4190" s="36" t="s">
        <v>1344</v>
      </c>
      <c r="D4190" s="36" t="s">
        <v>982</v>
      </c>
      <c r="E4190" s="37">
        <v>4.4999999999999997E-3</v>
      </c>
      <c r="F4190" s="54">
        <v>130.27349999999998</v>
      </c>
      <c r="G4190" s="54">
        <f>IF(ISNUMBER(F4190),E4190*F4190,"")</f>
        <v>0.58623074999999991</v>
      </c>
      <c r="H4190" s="73"/>
      <c r="I4190" s="74"/>
      <c r="J4190" s="155">
        <v>0</v>
      </c>
    </row>
    <row r="4191" spans="1:10" ht="26.25" hidden="1" thickBot="1" x14ac:dyDescent="0.3">
      <c r="A4191" s="181"/>
      <c r="B4191" s="202"/>
      <c r="C4191" s="36" t="s">
        <v>1345</v>
      </c>
      <c r="D4191" s="36" t="s">
        <v>984</v>
      </c>
      <c r="E4191" s="37">
        <v>1.2200000000000001E-2</v>
      </c>
      <c r="F4191" s="54">
        <v>4.1135000000000002</v>
      </c>
      <c r="G4191" s="54">
        <f>IF(ISNUMBER(F4191),E4191*F4191,"")</f>
        <v>5.0184700000000006E-2</v>
      </c>
      <c r="H4191" s="73"/>
      <c r="I4191" s="74"/>
      <c r="J4191" s="155">
        <v>0</v>
      </c>
    </row>
    <row r="4192" spans="1:10" ht="39" hidden="1" thickBot="1" x14ac:dyDescent="0.3">
      <c r="A4192" s="181"/>
      <c r="B4192" s="202"/>
      <c r="C4192" s="36" t="s">
        <v>1346</v>
      </c>
      <c r="D4192" s="36" t="s">
        <v>982</v>
      </c>
      <c r="E4192" s="37">
        <v>4.4999999999999997E-3</v>
      </c>
      <c r="F4192" s="54">
        <v>8.6544999999999987</v>
      </c>
      <c r="G4192" s="54">
        <f>IF(ISNUMBER(F4192),E4192*F4192,"")</f>
        <v>3.8945249999999994E-2</v>
      </c>
      <c r="H4192" s="73"/>
      <c r="I4192" s="74"/>
      <c r="J4192" s="155">
        <v>0</v>
      </c>
    </row>
    <row r="4193" spans="1:10" ht="39" hidden="1" thickBot="1" x14ac:dyDescent="0.3">
      <c r="A4193" s="181"/>
      <c r="B4193" s="202"/>
      <c r="C4193" s="36" t="s">
        <v>1347</v>
      </c>
      <c r="D4193" s="36" t="s">
        <v>982</v>
      </c>
      <c r="E4193" s="37">
        <v>1.67E-2</v>
      </c>
      <c r="F4193" s="54">
        <v>310.28899999999999</v>
      </c>
      <c r="G4193" s="54">
        <f>IF(ISNUMBER(F4193),E4193*F4193,"")</f>
        <v>5.1818263</v>
      </c>
      <c r="H4193" s="73"/>
      <c r="I4193" s="74"/>
      <c r="J4193" s="155">
        <v>0</v>
      </c>
    </row>
    <row r="4194" spans="1:10" ht="39" hidden="1" thickBot="1" x14ac:dyDescent="0.3">
      <c r="A4194" s="181"/>
      <c r="B4194" s="202"/>
      <c r="C4194" s="36" t="s">
        <v>1348</v>
      </c>
      <c r="D4194" s="36" t="s">
        <v>982</v>
      </c>
      <c r="E4194" s="37">
        <v>2.7199999999999998E-2</v>
      </c>
      <c r="F4194" s="54">
        <v>191.7765</v>
      </c>
      <c r="G4194" s="54">
        <f>IF(ISNUMBER(F4194),E4194*F4194,"")</f>
        <v>5.2163208000000001</v>
      </c>
      <c r="H4194" s="73"/>
      <c r="I4194" s="74"/>
      <c r="J4194" s="155">
        <v>0</v>
      </c>
    </row>
    <row r="4195" spans="1:10" ht="15.75" hidden="1" thickBot="1" x14ac:dyDescent="0.3">
      <c r="A4195" s="181"/>
      <c r="B4195" s="202"/>
      <c r="C4195" s="36" t="s">
        <v>743</v>
      </c>
      <c r="D4195" s="36" t="s">
        <v>742</v>
      </c>
      <c r="E4195" s="37">
        <v>0.3</v>
      </c>
      <c r="F4195" s="54">
        <v>16.729499999999998</v>
      </c>
      <c r="G4195" s="54">
        <f>IF(ISNUMBER(F4195),E4195*F4195,"")</f>
        <v>5.0188499999999996</v>
      </c>
      <c r="H4195" s="73"/>
      <c r="I4195" s="74"/>
      <c r="J4195" s="155">
        <v>0</v>
      </c>
    </row>
    <row r="4196" spans="1:10" ht="26.25" hidden="1" thickBot="1" x14ac:dyDescent="0.3">
      <c r="A4196" s="181"/>
      <c r="B4196" s="202"/>
      <c r="C4196" s="36" t="s">
        <v>1349</v>
      </c>
      <c r="D4196" s="36" t="s">
        <v>110</v>
      </c>
      <c r="E4196" s="37">
        <v>0.18</v>
      </c>
      <c r="F4196" s="54">
        <v>133.38</v>
      </c>
      <c r="G4196" s="54">
        <f>IF(ISNUMBER(F4196),E4196*F4196,"")</f>
        <v>24.008399999999998</v>
      </c>
      <c r="H4196" s="73"/>
      <c r="I4196" s="74"/>
      <c r="J4196" s="155">
        <v>0</v>
      </c>
    </row>
    <row r="4197" spans="1:10" ht="26.25" hidden="1" thickBot="1" x14ac:dyDescent="0.3">
      <c r="A4197" s="181"/>
      <c r="B4197" s="202"/>
      <c r="C4197" s="36" t="s">
        <v>796</v>
      </c>
      <c r="D4197" s="36" t="s">
        <v>110</v>
      </c>
      <c r="E4197" s="37">
        <v>1.26</v>
      </c>
      <c r="F4197" s="54">
        <v>144.29549999999998</v>
      </c>
      <c r="G4197" s="54">
        <f>IF(ISNUMBER(F4197),E4197*F4197,"")</f>
        <v>181.81232999999997</v>
      </c>
      <c r="H4197" s="73"/>
      <c r="I4197" s="74"/>
      <c r="J4197" s="155">
        <v>0</v>
      </c>
    </row>
    <row r="4198" spans="1:10" ht="39" hidden="1" thickBot="1" x14ac:dyDescent="0.3">
      <c r="A4198" s="181"/>
      <c r="B4198" s="202"/>
      <c r="C4198" s="36" t="s">
        <v>1350</v>
      </c>
      <c r="D4198" s="36" t="s">
        <v>1351</v>
      </c>
      <c r="E4198" s="37">
        <v>0.14000000000000001</v>
      </c>
      <c r="F4198" s="54">
        <v>3024.3819999999996</v>
      </c>
      <c r="G4198" s="54">
        <f>IF(ISNUMBER(F4198),E4198*F4198,"")</f>
        <v>423.41347999999999</v>
      </c>
      <c r="H4198" s="73"/>
      <c r="I4198" s="74"/>
      <c r="J4198" s="155">
        <v>0</v>
      </c>
    </row>
    <row r="4199" spans="1:10" ht="26.25" hidden="1" thickBot="1" x14ac:dyDescent="0.3">
      <c r="A4199" s="181"/>
      <c r="B4199" s="202"/>
      <c r="C4199" s="36" t="s">
        <v>1352</v>
      </c>
      <c r="D4199" s="36" t="s">
        <v>982</v>
      </c>
      <c r="E4199" s="37">
        <v>0.05</v>
      </c>
      <c r="F4199" s="54">
        <v>127.319</v>
      </c>
      <c r="G4199" s="54">
        <f>IF(ISNUMBER(F4199),E4199*F4199,"")</f>
        <v>6.3659500000000007</v>
      </c>
      <c r="H4199" s="73"/>
      <c r="I4199" s="74"/>
      <c r="J4199" s="155">
        <v>0</v>
      </c>
    </row>
    <row r="4200" spans="1:10" ht="39" hidden="1" thickBot="1" x14ac:dyDescent="0.3">
      <c r="A4200" s="181"/>
      <c r="B4200" s="202"/>
      <c r="C4200" s="36" t="s">
        <v>1353</v>
      </c>
      <c r="D4200" s="36" t="s">
        <v>982</v>
      </c>
      <c r="E4200" s="37">
        <v>2.1000000000000001E-2</v>
      </c>
      <c r="F4200" s="54">
        <v>154.49849999999998</v>
      </c>
      <c r="G4200" s="54">
        <f>IF(ISNUMBER(F4200),E4200*F4200,"")</f>
        <v>3.2444684999999995</v>
      </c>
      <c r="H4200" s="73"/>
      <c r="I4200" s="74"/>
      <c r="J4200" s="155">
        <v>0</v>
      </c>
    </row>
    <row r="4201" spans="1:10" ht="39" hidden="1" thickBot="1" x14ac:dyDescent="0.3">
      <c r="A4201" s="181"/>
      <c r="B4201" s="202"/>
      <c r="C4201" s="36" t="s">
        <v>1354</v>
      </c>
      <c r="D4201" s="36" t="s">
        <v>984</v>
      </c>
      <c r="E4201" s="37">
        <v>2.9000000000000001E-2</v>
      </c>
      <c r="F4201" s="54">
        <v>58.595999999999997</v>
      </c>
      <c r="G4201" s="54">
        <f>IF(ISNUMBER(F4201),E4201*F4201,"")</f>
        <v>1.699284</v>
      </c>
      <c r="H4201" s="73"/>
      <c r="I4201" s="74"/>
      <c r="J4201" s="155">
        <v>0</v>
      </c>
    </row>
    <row r="4202" spans="1:10" ht="26.25" hidden="1" thickBot="1" x14ac:dyDescent="0.3">
      <c r="A4202" s="181"/>
      <c r="B4202" s="202"/>
      <c r="C4202" s="36" t="s">
        <v>1355</v>
      </c>
      <c r="D4202" s="36" t="s">
        <v>982</v>
      </c>
      <c r="E4202" s="37">
        <v>0.05</v>
      </c>
      <c r="F4202" s="54">
        <v>121.88500000000001</v>
      </c>
      <c r="G4202" s="54">
        <f>IF(ISNUMBER(F4202),E4202*F4202,"")</f>
        <v>6.0942500000000006</v>
      </c>
      <c r="H4202" s="73"/>
      <c r="I4202" s="74"/>
      <c r="J4202" s="155">
        <v>0</v>
      </c>
    </row>
    <row r="4203" spans="1:10" ht="26.25" hidden="1" thickBot="1" x14ac:dyDescent="0.3">
      <c r="A4203" s="181"/>
      <c r="B4203" s="202"/>
      <c r="C4203" s="36" t="s">
        <v>1356</v>
      </c>
      <c r="D4203" s="36" t="s">
        <v>982</v>
      </c>
      <c r="E4203" s="37">
        <v>0.1</v>
      </c>
      <c r="F4203" s="54">
        <v>174.18249999999998</v>
      </c>
      <c r="G4203" s="54">
        <f>IF(ISNUMBER(F4203),E4203*F4203,"")</f>
        <v>17.418249999999997</v>
      </c>
      <c r="H4203" s="73"/>
      <c r="I4203" s="74"/>
      <c r="J4203" s="155">
        <v>0</v>
      </c>
    </row>
    <row r="4204" spans="1:10" ht="51.75" hidden="1" thickBot="1" x14ac:dyDescent="0.3">
      <c r="A4204" s="181"/>
      <c r="B4204" s="202"/>
      <c r="C4204" s="36" t="s">
        <v>3617</v>
      </c>
      <c r="D4204" s="36" t="s">
        <v>110</v>
      </c>
      <c r="E4204" s="37">
        <f>1*(E4196+E4197)</f>
        <v>1.44</v>
      </c>
      <c r="F4204" s="34">
        <v>6.0418992999999999</v>
      </c>
      <c r="G4204" s="34">
        <f>IF(ISNUMBER(F4204),E4204*F4204,"")</f>
        <v>8.7003349920000002</v>
      </c>
      <c r="H4204" s="35"/>
      <c r="I4204" s="31"/>
      <c r="J4204" s="155">
        <v>0</v>
      </c>
    </row>
    <row r="4205" spans="1:10" ht="39" hidden="1" thickBot="1" x14ac:dyDescent="0.3">
      <c r="A4205" s="181"/>
      <c r="B4205" s="202"/>
      <c r="C4205" s="36" t="s">
        <v>123</v>
      </c>
      <c r="D4205" s="36" t="s">
        <v>124</v>
      </c>
      <c r="E4205" s="37">
        <f>20*(E4197+E4196)</f>
        <v>28.799999999999997</v>
      </c>
      <c r="F4205" s="54">
        <v>1.9998782499999996</v>
      </c>
      <c r="G4205" s="54">
        <f>IF(ISNUMBER(F4205),E4205*F4205,"")</f>
        <v>57.596493599999981</v>
      </c>
      <c r="H4205" s="73"/>
      <c r="I4205" s="74"/>
      <c r="J4205" s="155">
        <v>0</v>
      </c>
    </row>
    <row r="4206" spans="1:10" ht="15.75" hidden="1" thickBot="1" x14ac:dyDescent="0.3">
      <c r="A4206" s="181"/>
      <c r="B4206" s="202"/>
      <c r="C4206" s="36"/>
      <c r="D4206" s="36"/>
      <c r="E4206" s="37"/>
      <c r="F4206" s="54" t="s">
        <v>558</v>
      </c>
      <c r="G4206" s="54" t="str">
        <f>IF(ISNUMBER(F4206),E4206*F4206,"")</f>
        <v/>
      </c>
      <c r="H4206" s="73"/>
      <c r="I4206" s="74"/>
      <c r="J4206" s="155">
        <v>0</v>
      </c>
    </row>
    <row r="4207" spans="1:10" ht="26.25" hidden="1" thickBot="1" x14ac:dyDescent="0.3">
      <c r="A4207" s="181"/>
      <c r="B4207" s="202"/>
      <c r="C4207" s="48" t="s">
        <v>1337</v>
      </c>
      <c r="D4207" s="36"/>
      <c r="E4207" s="37"/>
      <c r="F4207" s="54" t="s">
        <v>558</v>
      </c>
      <c r="G4207" s="54" t="str">
        <f>IF(ISNUMBER(F4207),E4207*F4207,"")</f>
        <v/>
      </c>
      <c r="H4207" s="73"/>
      <c r="I4207" s="74"/>
      <c r="J4207" s="155">
        <v>0</v>
      </c>
    </row>
    <row r="4208" spans="1:10" ht="15.75" hidden="1" thickBot="1" x14ac:dyDescent="0.3">
      <c r="A4208" s="182"/>
      <c r="B4208" s="188"/>
      <c r="C4208" s="55"/>
      <c r="D4208" s="55"/>
      <c r="E4208" s="66"/>
      <c r="F4208" s="76" t="s">
        <v>558</v>
      </c>
      <c r="G4208" s="76" t="str">
        <f>IF(ISNUMBER(F4208),E4208*F4208,"")</f>
        <v/>
      </c>
      <c r="H4208" s="77"/>
      <c r="I4208" s="74"/>
      <c r="J4208" s="155">
        <v>0</v>
      </c>
    </row>
    <row r="4209" spans="1:10" ht="15.75" hidden="1" thickBot="1" x14ac:dyDescent="0.3">
      <c r="A4209" s="180" t="s">
        <v>1357</v>
      </c>
      <c r="B4209" s="186" t="str">
        <f>INDEX(Orçamentária!A:B,MATCH(Composições!A4209,Orçamentária!A:A,0),2)</f>
        <v>Pavimentação asfáltica com CBUQ para aplicação a frio (remendo)</v>
      </c>
      <c r="C4209" s="41"/>
      <c r="D4209" s="26" t="str">
        <f>TRIM(INDEX(Orçamentária!C:C,MATCH(Composições!A4209,Orçamentária!A:A,0),1))</f>
        <v>m3</v>
      </c>
      <c r="E4209" s="27"/>
      <c r="F4209" s="49" t="s">
        <v>558</v>
      </c>
      <c r="G4209" s="28" t="str">
        <f>IF(ISNUMBER(F4209),E4209*F4209,"")</f>
        <v/>
      </c>
      <c r="H4209" s="29"/>
      <c r="I4209" s="30"/>
      <c r="J4209" s="155">
        <v>0</v>
      </c>
    </row>
    <row r="4210" spans="1:10" ht="15.75" hidden="1" thickBot="1" x14ac:dyDescent="0.3">
      <c r="A4210" s="181"/>
      <c r="B4210" s="202"/>
      <c r="C4210" s="32"/>
      <c r="D4210" s="32"/>
      <c r="E4210" s="33"/>
      <c r="F4210" s="54" t="s">
        <v>558</v>
      </c>
      <c r="G4210" s="54" t="str">
        <f>IF(ISNUMBER(F4210),E4210*F4210,"")</f>
        <v/>
      </c>
      <c r="H4210" s="73"/>
      <c r="I4210" s="74"/>
      <c r="J4210" s="155">
        <v>0</v>
      </c>
    </row>
    <row r="4211" spans="1:10" ht="15.75" hidden="1" thickBot="1" x14ac:dyDescent="0.3">
      <c r="A4211" s="181"/>
      <c r="B4211" s="202"/>
      <c r="C4211" s="36" t="s">
        <v>743</v>
      </c>
      <c r="D4211" s="36" t="s">
        <v>742</v>
      </c>
      <c r="E4211" s="37">
        <f>6/0.5</f>
        <v>12</v>
      </c>
      <c r="F4211" s="54">
        <v>16.729499999999998</v>
      </c>
      <c r="G4211" s="54">
        <f>IF(ISNUMBER(F4211),E4211*F4211,"")</f>
        <v>200.75399999999996</v>
      </c>
      <c r="H4211" s="39">
        <f>SUM(G4211:G4214)</f>
        <v>200.75399999999996</v>
      </c>
      <c r="I4211" s="40"/>
      <c r="J4211" s="155">
        <v>0</v>
      </c>
    </row>
    <row r="4212" spans="1:10" ht="15.75" hidden="1" thickBot="1" x14ac:dyDescent="0.3">
      <c r="A4212" s="181"/>
      <c r="B4212" s="202"/>
      <c r="C4212" s="36" t="s">
        <v>1358</v>
      </c>
      <c r="D4212" s="36" t="s">
        <v>982</v>
      </c>
      <c r="E4212" s="37">
        <f>0.2/0.5</f>
        <v>0.4</v>
      </c>
      <c r="F4212" s="54">
        <v>0</v>
      </c>
      <c r="G4212" s="54">
        <f>IF(ISNUMBER(F4212),E4212*F4212,"")</f>
        <v>0</v>
      </c>
      <c r="H4212" s="73"/>
      <c r="I4212" s="74"/>
      <c r="J4212" s="155">
        <v>0</v>
      </c>
    </row>
    <row r="4213" spans="1:10" ht="15.75" hidden="1" thickBot="1" x14ac:dyDescent="0.3">
      <c r="A4213" s="181"/>
      <c r="B4213" s="202"/>
      <c r="C4213" s="36" t="s">
        <v>1359</v>
      </c>
      <c r="D4213" s="36" t="s">
        <v>984</v>
      </c>
      <c r="E4213" s="37">
        <f>0.8/0.5</f>
        <v>1.6</v>
      </c>
      <c r="F4213" s="54">
        <v>0</v>
      </c>
      <c r="G4213" s="54">
        <f>IF(ISNUMBER(F4213),E4213*F4213,"")</f>
        <v>0</v>
      </c>
      <c r="H4213" s="73"/>
      <c r="I4213" s="74"/>
      <c r="J4213" s="155">
        <v>0</v>
      </c>
    </row>
    <row r="4214" spans="1:10" ht="15.75" hidden="1" thickBot="1" x14ac:dyDescent="0.3">
      <c r="A4214" s="181"/>
      <c r="B4214" s="202"/>
      <c r="C4214" s="36" t="s">
        <v>1360</v>
      </c>
      <c r="D4214" s="36" t="s">
        <v>42</v>
      </c>
      <c r="E4214" s="37">
        <v>2500</v>
      </c>
      <c r="F4214" s="54" t="s">
        <v>558</v>
      </c>
      <c r="G4214" s="54" t="str">
        <f>IF(ISNUMBER(F4214),E4214*F4214,"")</f>
        <v/>
      </c>
      <c r="H4214" s="73"/>
      <c r="I4214" s="74"/>
      <c r="J4214" s="155">
        <v>0</v>
      </c>
    </row>
    <row r="4215" spans="1:10" ht="15.75" hidden="1" thickBot="1" x14ac:dyDescent="0.3">
      <c r="A4215" s="182"/>
      <c r="B4215" s="188"/>
      <c r="C4215" s="55"/>
      <c r="D4215" s="55"/>
      <c r="E4215" s="66"/>
      <c r="F4215" s="76" t="s">
        <v>558</v>
      </c>
      <c r="G4215" s="76" t="str">
        <f>IF(ISNUMBER(F4215),E4215*F4215,"")</f>
        <v/>
      </c>
      <c r="H4215" s="77"/>
      <c r="I4215" s="74"/>
      <c r="J4215" s="155">
        <v>0</v>
      </c>
    </row>
    <row r="4216" spans="1:10" ht="15.75" hidden="1" thickBot="1" x14ac:dyDescent="0.3">
      <c r="A4216" s="180" t="s">
        <v>1361</v>
      </c>
      <c r="B4216" s="186" t="str">
        <f>INDEX(Orçamentária!A:B,MATCH(Composições!A4216,Orçamentária!A:A,0),2)</f>
        <v>Pintura para sinalização e demarcação viária horizontal</v>
      </c>
      <c r="C4216" s="41"/>
      <c r="D4216" s="26" t="str">
        <f>TRIM(INDEX(Orçamentária!C:C,MATCH(Composições!A4216,Orçamentária!A:A,0),1))</f>
        <v>m2</v>
      </c>
      <c r="E4216" s="27"/>
      <c r="F4216" s="49" t="s">
        <v>558</v>
      </c>
      <c r="G4216" s="28" t="str">
        <f>IF(ISNUMBER(F4216),E4216*F4216,"")</f>
        <v/>
      </c>
      <c r="H4216" s="29"/>
      <c r="I4216" s="30"/>
      <c r="J4216" s="155">
        <v>0</v>
      </c>
    </row>
    <row r="4217" spans="1:10" ht="15.75" hidden="1" thickBot="1" x14ac:dyDescent="0.3">
      <c r="A4217" s="181"/>
      <c r="B4217" s="202"/>
      <c r="C4217" s="32"/>
      <c r="D4217" s="32"/>
      <c r="E4217" s="33"/>
      <c r="F4217" s="54" t="s">
        <v>558</v>
      </c>
      <c r="G4217" s="54" t="str">
        <f>IF(ISNUMBER(F4217),E4217*F4217,"")</f>
        <v/>
      </c>
      <c r="H4217" s="73"/>
      <c r="I4217" s="74"/>
      <c r="J4217" s="155">
        <v>0</v>
      </c>
    </row>
    <row r="4218" spans="1:10" ht="15.75" hidden="1" thickBot="1" x14ac:dyDescent="0.3">
      <c r="A4218" s="181"/>
      <c r="B4218" s="202"/>
      <c r="C4218" s="36" t="s">
        <v>1317</v>
      </c>
      <c r="D4218" s="36" t="s">
        <v>103</v>
      </c>
      <c r="E4218" s="37">
        <v>0.13</v>
      </c>
      <c r="F4218" s="54">
        <v>12.454499999999999</v>
      </c>
      <c r="G4218" s="54">
        <f>IF(ISNUMBER(F4218),E4218*F4218,"")</f>
        <v>1.6190849999999999</v>
      </c>
      <c r="H4218" s="39">
        <f>SUM(G4218:G4224)</f>
        <v>14.75043625</v>
      </c>
      <c r="I4218" s="40"/>
      <c r="J4218" s="155">
        <v>0</v>
      </c>
    </row>
    <row r="4219" spans="1:10" ht="51.75" hidden="1" thickBot="1" x14ac:dyDescent="0.3">
      <c r="A4219" s="181"/>
      <c r="B4219" s="202"/>
      <c r="C4219" s="36" t="s">
        <v>1362</v>
      </c>
      <c r="D4219" s="36" t="s">
        <v>982</v>
      </c>
      <c r="E4219" s="37">
        <v>3.3E-3</v>
      </c>
      <c r="F4219" s="54">
        <v>137.959</v>
      </c>
      <c r="G4219" s="54">
        <f>IF(ISNUMBER(F4219),E4219*F4219,"")</f>
        <v>0.45526470000000002</v>
      </c>
      <c r="H4219" s="73"/>
      <c r="I4219" s="74"/>
      <c r="J4219" s="155">
        <v>0</v>
      </c>
    </row>
    <row r="4220" spans="1:10" ht="26.25" hidden="1" thickBot="1" x14ac:dyDescent="0.3">
      <c r="A4220" s="181"/>
      <c r="B4220" s="202"/>
      <c r="C4220" s="36" t="s">
        <v>1363</v>
      </c>
      <c r="D4220" s="36" t="s">
        <v>103</v>
      </c>
      <c r="E4220" s="37">
        <v>0.6</v>
      </c>
      <c r="F4220" s="54">
        <v>14.478</v>
      </c>
      <c r="G4220" s="54">
        <f>IF(ISNUMBER(F4220),E4220*F4220,"")</f>
        <v>8.6867999999999999</v>
      </c>
      <c r="H4220" s="73"/>
      <c r="I4220" s="74"/>
      <c r="J4220" s="155">
        <v>0</v>
      </c>
    </row>
    <row r="4221" spans="1:10" ht="15.75" hidden="1" thickBot="1" x14ac:dyDescent="0.3">
      <c r="A4221" s="181"/>
      <c r="B4221" s="202"/>
      <c r="C4221" s="36" t="s">
        <v>1136</v>
      </c>
      <c r="D4221" s="36" t="s">
        <v>103</v>
      </c>
      <c r="E4221" s="37">
        <v>0.03</v>
      </c>
      <c r="F4221" s="54">
        <v>14.658499999999998</v>
      </c>
      <c r="G4221" s="54">
        <f>IF(ISNUMBER(F4221),E4221*F4221,"")</f>
        <v>0.43975499999999995</v>
      </c>
      <c r="H4221" s="73"/>
      <c r="I4221" s="74"/>
      <c r="J4221" s="155">
        <v>0</v>
      </c>
    </row>
    <row r="4222" spans="1:10" ht="26.25" hidden="1" thickBot="1" x14ac:dyDescent="0.3">
      <c r="A4222" s="181"/>
      <c r="B4222" s="202"/>
      <c r="C4222" s="36" t="s">
        <v>1364</v>
      </c>
      <c r="D4222" s="36" t="s">
        <v>938</v>
      </c>
      <c r="E4222" s="37">
        <v>0.4</v>
      </c>
      <c r="F4222" s="54">
        <v>6.4314999999999989</v>
      </c>
      <c r="G4222" s="54">
        <f>IF(ISNUMBER(F4222),E4222*F4222,"")</f>
        <v>2.5725999999999996</v>
      </c>
      <c r="H4222" s="73"/>
      <c r="I4222" s="74"/>
      <c r="J4222" s="155">
        <v>0</v>
      </c>
    </row>
    <row r="4223" spans="1:10" ht="15.75" hidden="1" thickBot="1" x14ac:dyDescent="0.3">
      <c r="A4223" s="181"/>
      <c r="B4223" s="202"/>
      <c r="C4223" s="36" t="s">
        <v>743</v>
      </c>
      <c r="D4223" s="36" t="s">
        <v>742</v>
      </c>
      <c r="E4223" s="37">
        <v>3.3300000000000003E-2</v>
      </c>
      <c r="F4223" s="54">
        <v>16.729499999999998</v>
      </c>
      <c r="G4223" s="54">
        <f>IF(ISNUMBER(F4223),E4223*F4223,"")</f>
        <v>0.55709235000000001</v>
      </c>
      <c r="H4223" s="73"/>
      <c r="I4223" s="74"/>
      <c r="J4223" s="155">
        <v>0</v>
      </c>
    </row>
    <row r="4224" spans="1:10" ht="26.25" hidden="1" thickBot="1" x14ac:dyDescent="0.3">
      <c r="A4224" s="181"/>
      <c r="B4224" s="202"/>
      <c r="C4224" s="36" t="s">
        <v>1365</v>
      </c>
      <c r="D4224" s="36" t="s">
        <v>982</v>
      </c>
      <c r="E4224" s="37">
        <v>3.3E-3</v>
      </c>
      <c r="F4224" s="54">
        <v>127.22399999999998</v>
      </c>
      <c r="G4224" s="54">
        <f>IF(ISNUMBER(F4224),E4224*F4224,"")</f>
        <v>0.41983919999999991</v>
      </c>
      <c r="H4224" s="73"/>
      <c r="I4224" s="74"/>
      <c r="J4224" s="155">
        <v>0</v>
      </c>
    </row>
    <row r="4225" spans="1:10" ht="15.75" hidden="1" thickBot="1" x14ac:dyDescent="0.3">
      <c r="A4225" s="182"/>
      <c r="B4225" s="188"/>
      <c r="C4225" s="55"/>
      <c r="D4225" s="55"/>
      <c r="E4225" s="66"/>
      <c r="F4225" s="76" t="s">
        <v>558</v>
      </c>
      <c r="G4225" s="76" t="str">
        <f>IF(ISNUMBER(F4225),E4225*F4225,"")</f>
        <v/>
      </c>
      <c r="H4225" s="77"/>
      <c r="I4225" s="74"/>
      <c r="J4225" s="155">
        <v>0</v>
      </c>
    </row>
    <row r="4226" spans="1:10" ht="15.75" hidden="1" thickBot="1" x14ac:dyDescent="0.3">
      <c r="A4226" s="180" t="s">
        <v>1366</v>
      </c>
      <c r="B4226" s="186" t="str">
        <f>INDEX(Orçamentária!A:B,MATCH(Composições!A4226,Orçamentária!A:A,0),2)</f>
        <v>Telha metálica trapezoidal galvanizada - GR-40</v>
      </c>
      <c r="C4226" s="41"/>
      <c r="D4226" s="26" t="str">
        <f>TRIM(INDEX(Orçamentária!C:C,MATCH(Composições!A4226,Orçamentária!A:A,0),1))</f>
        <v>m2</v>
      </c>
      <c r="E4226" s="27"/>
      <c r="F4226" s="49" t="s">
        <v>558</v>
      </c>
      <c r="G4226" s="28" t="str">
        <f>IF(ISNUMBER(F4226),E4226*F4226,"")</f>
        <v/>
      </c>
      <c r="H4226" s="29"/>
      <c r="I4226" s="30"/>
      <c r="J4226" s="155">
        <v>0</v>
      </c>
    </row>
    <row r="4227" spans="1:10" ht="15.75" hidden="1" thickBot="1" x14ac:dyDescent="0.3">
      <c r="A4227" s="181"/>
      <c r="B4227" s="202"/>
      <c r="C4227" s="32"/>
      <c r="D4227" s="32"/>
      <c r="E4227" s="33"/>
      <c r="F4227" s="54" t="s">
        <v>558</v>
      </c>
      <c r="G4227" s="54" t="str">
        <f>IF(ISNUMBER(F4227),E4227*F4227,"")</f>
        <v/>
      </c>
      <c r="H4227" s="73"/>
      <c r="I4227" s="74"/>
      <c r="J4227" s="155">
        <v>0</v>
      </c>
    </row>
    <row r="4228" spans="1:10" ht="39" hidden="1" thickBot="1" x14ac:dyDescent="0.3">
      <c r="A4228" s="181"/>
      <c r="B4228" s="202"/>
      <c r="C4228" s="36" t="s">
        <v>3461</v>
      </c>
      <c r="D4228" s="47" t="s">
        <v>1034</v>
      </c>
      <c r="E4228" s="37">
        <v>1.1659999999999999</v>
      </c>
      <c r="F4228" s="54">
        <v>68.49499999999999</v>
      </c>
      <c r="G4228" s="54">
        <f>IF(ISNUMBER(F4228),E4228*F4228,"")</f>
        <v>79.865169999999978</v>
      </c>
      <c r="H4228" s="39">
        <f>SUM(G4228:G4233)</f>
        <v>92.033329549999962</v>
      </c>
      <c r="I4228" s="40"/>
      <c r="J4228" s="155">
        <v>0</v>
      </c>
    </row>
    <row r="4229" spans="1:10" ht="39" hidden="1" thickBot="1" x14ac:dyDescent="0.3">
      <c r="A4229" s="181"/>
      <c r="B4229" s="202"/>
      <c r="C4229" s="36" t="s">
        <v>1367</v>
      </c>
      <c r="D4229" s="47" t="s">
        <v>779</v>
      </c>
      <c r="E4229" s="37">
        <v>4.1500000000000004</v>
      </c>
      <c r="F4229" s="54">
        <v>2.0044999999999997</v>
      </c>
      <c r="G4229" s="54">
        <f>IF(ISNUMBER(F4229),E4229*F4229,"")</f>
        <v>8.3186749999999989</v>
      </c>
      <c r="H4229" s="73"/>
      <c r="I4229" s="74"/>
      <c r="J4229" s="155">
        <v>0</v>
      </c>
    </row>
    <row r="4230" spans="1:10" ht="15.75" hidden="1" thickBot="1" x14ac:dyDescent="0.3">
      <c r="A4230" s="181"/>
      <c r="B4230" s="202"/>
      <c r="C4230" s="36" t="s">
        <v>743</v>
      </c>
      <c r="D4230" s="36" t="s">
        <v>742</v>
      </c>
      <c r="E4230" s="37">
        <v>9.7000000000000003E-2</v>
      </c>
      <c r="F4230" s="54">
        <v>16.729499999999998</v>
      </c>
      <c r="G4230" s="54">
        <f>IF(ISNUMBER(F4230),E4230*F4230,"")</f>
        <v>1.6227615</v>
      </c>
      <c r="H4230" s="73"/>
      <c r="I4230" s="74"/>
      <c r="J4230" s="155">
        <v>0</v>
      </c>
    </row>
    <row r="4231" spans="1:10" ht="15.75" hidden="1" thickBot="1" x14ac:dyDescent="0.3">
      <c r="A4231" s="181"/>
      <c r="B4231" s="202"/>
      <c r="C4231" s="36" t="s">
        <v>1368</v>
      </c>
      <c r="D4231" s="36" t="s">
        <v>742</v>
      </c>
      <c r="E4231" s="37">
        <v>9.0999999999999998E-2</v>
      </c>
      <c r="F4231" s="54">
        <v>24.025499999999997</v>
      </c>
      <c r="G4231" s="54">
        <f>IF(ISNUMBER(F4231),E4231*F4231,"")</f>
        <v>2.1863204999999999</v>
      </c>
      <c r="H4231" s="73"/>
      <c r="I4231" s="74"/>
      <c r="J4231" s="155">
        <v>0</v>
      </c>
    </row>
    <row r="4232" spans="1:10" ht="26.25" hidden="1" thickBot="1" x14ac:dyDescent="0.3">
      <c r="A4232" s="181"/>
      <c r="B4232" s="202"/>
      <c r="C4232" s="36" t="s">
        <v>1369</v>
      </c>
      <c r="D4232" s="36" t="s">
        <v>982</v>
      </c>
      <c r="E4232" s="37">
        <v>8.9999999999999998E-4</v>
      </c>
      <c r="F4232" s="54">
        <v>18.819499999999998</v>
      </c>
      <c r="G4232" s="54">
        <f>IF(ISNUMBER(F4232),E4232*F4232,"")</f>
        <v>1.6937549999999999E-2</v>
      </c>
      <c r="H4232" s="73"/>
      <c r="I4232" s="74"/>
      <c r="J4232" s="155">
        <v>0</v>
      </c>
    </row>
    <row r="4233" spans="1:10" ht="26.25" hidden="1" thickBot="1" x14ac:dyDescent="0.3">
      <c r="A4233" s="181"/>
      <c r="B4233" s="202"/>
      <c r="C4233" s="36" t="s">
        <v>1370</v>
      </c>
      <c r="D4233" s="36" t="s">
        <v>984</v>
      </c>
      <c r="E4233" s="37">
        <v>1.2999999999999999E-3</v>
      </c>
      <c r="F4233" s="54">
        <v>18.05</v>
      </c>
      <c r="G4233" s="54">
        <f>IF(ISNUMBER(F4233),E4233*F4233,"")</f>
        <v>2.3465E-2</v>
      </c>
      <c r="H4233" s="73"/>
      <c r="I4233" s="74"/>
      <c r="J4233" s="155">
        <v>0</v>
      </c>
    </row>
    <row r="4234" spans="1:10" ht="15.75" hidden="1" thickBot="1" x14ac:dyDescent="0.3">
      <c r="A4234" s="182"/>
      <c r="B4234" s="188"/>
      <c r="C4234" s="55"/>
      <c r="D4234" s="55"/>
      <c r="E4234" s="66"/>
      <c r="F4234" s="76" t="s">
        <v>558</v>
      </c>
      <c r="G4234" s="76" t="str">
        <f>IF(ISNUMBER(F4234),E4234*F4234,"")</f>
        <v/>
      </c>
      <c r="H4234" s="77"/>
      <c r="I4234" s="74"/>
      <c r="J4234" s="155">
        <v>0</v>
      </c>
    </row>
    <row r="4235" spans="1:10" ht="15.75" hidden="1" thickBot="1" x14ac:dyDescent="0.3">
      <c r="A4235" s="180" t="s">
        <v>1371</v>
      </c>
      <c r="B4235" s="186" t="str">
        <f>INDEX(Orçamentária!A:B,MATCH(Composições!A4235,Orçamentária!A:A,0),2)</f>
        <v>Cumeeira para telha metálica trapezoidal galvanizada - GR-40</v>
      </c>
      <c r="C4235" s="41"/>
      <c r="D4235" s="26" t="str">
        <f>TRIM(INDEX(Orçamentária!C:C,MATCH(Composições!A4235,Orçamentária!A:A,0),1))</f>
        <v>m</v>
      </c>
      <c r="E4235" s="27"/>
      <c r="F4235" s="49" t="s">
        <v>558</v>
      </c>
      <c r="G4235" s="28" t="str">
        <f>IF(ISNUMBER(F4235),E4235*F4235,"")</f>
        <v/>
      </c>
      <c r="H4235" s="29"/>
      <c r="I4235" s="30"/>
      <c r="J4235" s="155">
        <v>0</v>
      </c>
    </row>
    <row r="4236" spans="1:10" ht="15.75" hidden="1" thickBot="1" x14ac:dyDescent="0.3">
      <c r="A4236" s="181"/>
      <c r="B4236" s="202"/>
      <c r="C4236" s="32"/>
      <c r="D4236" s="32"/>
      <c r="E4236" s="33"/>
      <c r="F4236" s="54" t="s">
        <v>558</v>
      </c>
      <c r="G4236" s="54" t="str">
        <f>IF(ISNUMBER(F4236),E4236*F4236,"")</f>
        <v/>
      </c>
      <c r="H4236" s="73"/>
      <c r="I4236" s="74"/>
      <c r="J4236" s="155">
        <v>0</v>
      </c>
    </row>
    <row r="4237" spans="1:10" ht="39" hidden="1" thickBot="1" x14ac:dyDescent="0.3">
      <c r="A4237" s="181"/>
      <c r="B4237" s="202"/>
      <c r="C4237" s="36" t="s">
        <v>1367</v>
      </c>
      <c r="D4237" s="47" t="s">
        <v>779</v>
      </c>
      <c r="E4237" s="37">
        <v>4.1500000000000004</v>
      </c>
      <c r="F4237" s="54">
        <v>2.0044999999999997</v>
      </c>
      <c r="G4237" s="54">
        <f>IF(ISNUMBER(F4237),E4237*F4237,"")</f>
        <v>8.3186749999999989</v>
      </c>
      <c r="H4237" s="39">
        <f>SUM(G4237:G4242)</f>
        <v>11.062263599999998</v>
      </c>
      <c r="I4237" s="40"/>
      <c r="J4237" s="155">
        <v>0</v>
      </c>
    </row>
    <row r="4238" spans="1:10" ht="15.75" hidden="1" thickBot="1" x14ac:dyDescent="0.3">
      <c r="A4238" s="181"/>
      <c r="B4238" s="202"/>
      <c r="C4238" s="36" t="s">
        <v>3627</v>
      </c>
      <c r="D4238" s="36" t="s">
        <v>93</v>
      </c>
      <c r="E4238" s="37">
        <v>1.0289999999999999</v>
      </c>
      <c r="F4238" s="54" t="s">
        <v>558</v>
      </c>
      <c r="G4238" s="54" t="str">
        <f>IF(ISNUMBER(F4238),E4238*F4238,"")</f>
        <v/>
      </c>
      <c r="H4238" s="73"/>
      <c r="I4238" s="74"/>
      <c r="J4238" s="155">
        <v>0</v>
      </c>
    </row>
    <row r="4239" spans="1:10" ht="15.75" hidden="1" thickBot="1" x14ac:dyDescent="0.3">
      <c r="A4239" s="181"/>
      <c r="B4239" s="202"/>
      <c r="C4239" s="36" t="s">
        <v>743</v>
      </c>
      <c r="D4239" s="36" t="s">
        <v>742</v>
      </c>
      <c r="E4239" s="37">
        <v>7.2999999999999995E-2</v>
      </c>
      <c r="F4239" s="54">
        <v>16.729499999999998</v>
      </c>
      <c r="G4239" s="54">
        <f>IF(ISNUMBER(F4239),E4239*F4239,"")</f>
        <v>1.2212534999999998</v>
      </c>
      <c r="H4239" s="73"/>
      <c r="I4239" s="74"/>
      <c r="J4239" s="155">
        <v>0</v>
      </c>
    </row>
    <row r="4240" spans="1:10" ht="15.75" hidden="1" thickBot="1" x14ac:dyDescent="0.3">
      <c r="A4240" s="181"/>
      <c r="B4240" s="202"/>
      <c r="C4240" s="36" t="s">
        <v>1368</v>
      </c>
      <c r="D4240" s="36" t="s">
        <v>742</v>
      </c>
      <c r="E4240" s="37">
        <v>0.06</v>
      </c>
      <c r="F4240" s="54">
        <v>24.025499999999997</v>
      </c>
      <c r="G4240" s="54">
        <f>IF(ISNUMBER(F4240),E4240*F4240,"")</f>
        <v>1.4415299999999998</v>
      </c>
      <c r="H4240" s="73"/>
      <c r="I4240" s="74"/>
      <c r="J4240" s="155">
        <v>0</v>
      </c>
    </row>
    <row r="4241" spans="1:10" ht="26.25" hidden="1" thickBot="1" x14ac:dyDescent="0.3">
      <c r="A4241" s="181"/>
      <c r="B4241" s="202"/>
      <c r="C4241" s="36" t="s">
        <v>1369</v>
      </c>
      <c r="D4241" s="36" t="s">
        <v>982</v>
      </c>
      <c r="E4241" s="37">
        <v>1.8E-3</v>
      </c>
      <c r="F4241" s="54">
        <v>18.819499999999998</v>
      </c>
      <c r="G4241" s="54">
        <f>IF(ISNUMBER(F4241),E4241*F4241,"")</f>
        <v>3.3875099999999998E-2</v>
      </c>
      <c r="H4241" s="73"/>
      <c r="I4241" s="74"/>
      <c r="J4241" s="155">
        <v>0</v>
      </c>
    </row>
    <row r="4242" spans="1:10" ht="26.25" hidden="1" thickBot="1" x14ac:dyDescent="0.3">
      <c r="A4242" s="181"/>
      <c r="B4242" s="202"/>
      <c r="C4242" s="36" t="s">
        <v>1370</v>
      </c>
      <c r="D4242" s="36" t="s">
        <v>984</v>
      </c>
      <c r="E4242" s="37">
        <v>2.5999999999999999E-3</v>
      </c>
      <c r="F4242" s="54">
        <v>18.05</v>
      </c>
      <c r="G4242" s="54">
        <f>IF(ISNUMBER(F4242),E4242*F4242,"")</f>
        <v>4.6929999999999999E-2</v>
      </c>
      <c r="H4242" s="73"/>
      <c r="I4242" s="74"/>
      <c r="J4242" s="155">
        <v>0</v>
      </c>
    </row>
    <row r="4243" spans="1:10" ht="15.75" hidden="1" thickBot="1" x14ac:dyDescent="0.3">
      <c r="A4243" s="182"/>
      <c r="B4243" s="188"/>
      <c r="C4243" s="55"/>
      <c r="D4243" s="55"/>
      <c r="E4243" s="66"/>
      <c r="F4243" s="76" t="s">
        <v>558</v>
      </c>
      <c r="G4243" s="76" t="str">
        <f>IF(ISNUMBER(F4243),E4243*F4243,"")</f>
        <v/>
      </c>
      <c r="H4243" s="77"/>
      <c r="I4243" s="74"/>
      <c r="J4243" s="155">
        <v>0</v>
      </c>
    </row>
    <row r="4244" spans="1:10" ht="15.75" hidden="1" thickBot="1" x14ac:dyDescent="0.3">
      <c r="A4244" s="180" t="s">
        <v>1372</v>
      </c>
      <c r="B4244" s="186" t="str">
        <f>INDEX(Orçamentária!A:B,MATCH(Composições!A4244,Orçamentária!A:A,0),2)</f>
        <v>Telha metálica trapezoidal galvanizada - GR-25</v>
      </c>
      <c r="C4244" s="41"/>
      <c r="D4244" s="26" t="str">
        <f>TRIM(INDEX(Orçamentária!C:C,MATCH(Composições!A4244,Orçamentária!A:A,0),1))</f>
        <v>m2</v>
      </c>
      <c r="E4244" s="27"/>
      <c r="F4244" s="49" t="s">
        <v>558</v>
      </c>
      <c r="G4244" s="28" t="str">
        <f>IF(ISNUMBER(F4244),E4244*F4244,"")</f>
        <v/>
      </c>
      <c r="H4244" s="29"/>
      <c r="I4244" s="30"/>
      <c r="J4244" s="155">
        <v>0</v>
      </c>
    </row>
    <row r="4245" spans="1:10" ht="15.75" hidden="1" thickBot="1" x14ac:dyDescent="0.3">
      <c r="A4245" s="181"/>
      <c r="B4245" s="202"/>
      <c r="C4245" s="32"/>
      <c r="D4245" s="32"/>
      <c r="E4245" s="33"/>
      <c r="F4245" s="54" t="s">
        <v>558</v>
      </c>
      <c r="G4245" s="54" t="str">
        <f>IF(ISNUMBER(F4245),E4245*F4245,"")</f>
        <v/>
      </c>
      <c r="H4245" s="73"/>
      <c r="I4245" s="74"/>
      <c r="J4245" s="155">
        <v>0</v>
      </c>
    </row>
    <row r="4246" spans="1:10" ht="26.25" hidden="1" thickBot="1" x14ac:dyDescent="0.3">
      <c r="A4246" s="181"/>
      <c r="B4246" s="202"/>
      <c r="C4246" s="36" t="s">
        <v>1373</v>
      </c>
      <c r="D4246" s="47" t="s">
        <v>1034</v>
      </c>
      <c r="E4246" s="37">
        <v>1.1659999999999999</v>
      </c>
      <c r="F4246" s="54" t="s">
        <v>558</v>
      </c>
      <c r="G4246" s="54" t="str">
        <f>IF(ISNUMBER(F4246),E4246*F4246,"")</f>
        <v/>
      </c>
      <c r="H4246" s="39">
        <f>SUM(G4246:G4251)</f>
        <v>12.168159549999999</v>
      </c>
      <c r="I4246" s="40"/>
      <c r="J4246" s="155">
        <v>0</v>
      </c>
    </row>
    <row r="4247" spans="1:10" ht="39" hidden="1" thickBot="1" x14ac:dyDescent="0.3">
      <c r="A4247" s="181"/>
      <c r="B4247" s="202"/>
      <c r="C4247" s="36" t="s">
        <v>1367</v>
      </c>
      <c r="D4247" s="47" t="s">
        <v>779</v>
      </c>
      <c r="E4247" s="37">
        <v>4.1500000000000004</v>
      </c>
      <c r="F4247" s="54">
        <v>2.0044999999999997</v>
      </c>
      <c r="G4247" s="54">
        <f>IF(ISNUMBER(F4247),E4247*F4247,"")</f>
        <v>8.3186749999999989</v>
      </c>
      <c r="H4247" s="73"/>
      <c r="I4247" s="74"/>
      <c r="J4247" s="155">
        <v>0</v>
      </c>
    </row>
    <row r="4248" spans="1:10" ht="15.75" hidden="1" thickBot="1" x14ac:dyDescent="0.3">
      <c r="A4248" s="181"/>
      <c r="B4248" s="202"/>
      <c r="C4248" s="36" t="s">
        <v>743</v>
      </c>
      <c r="D4248" s="36" t="s">
        <v>742</v>
      </c>
      <c r="E4248" s="37">
        <v>9.7000000000000003E-2</v>
      </c>
      <c r="F4248" s="54">
        <v>16.729499999999998</v>
      </c>
      <c r="G4248" s="54">
        <f>IF(ISNUMBER(F4248),E4248*F4248,"")</f>
        <v>1.6227615</v>
      </c>
      <c r="H4248" s="73"/>
      <c r="I4248" s="74"/>
      <c r="J4248" s="155">
        <v>0</v>
      </c>
    </row>
    <row r="4249" spans="1:10" ht="15.75" hidden="1" thickBot="1" x14ac:dyDescent="0.3">
      <c r="A4249" s="181"/>
      <c r="B4249" s="202"/>
      <c r="C4249" s="36" t="s">
        <v>1368</v>
      </c>
      <c r="D4249" s="36" t="s">
        <v>742</v>
      </c>
      <c r="E4249" s="37">
        <v>9.0999999999999998E-2</v>
      </c>
      <c r="F4249" s="54">
        <v>24.025499999999997</v>
      </c>
      <c r="G4249" s="54">
        <f>IF(ISNUMBER(F4249),E4249*F4249,"")</f>
        <v>2.1863204999999999</v>
      </c>
      <c r="H4249" s="73"/>
      <c r="I4249" s="74"/>
      <c r="J4249" s="155">
        <v>0</v>
      </c>
    </row>
    <row r="4250" spans="1:10" ht="26.25" hidden="1" thickBot="1" x14ac:dyDescent="0.3">
      <c r="A4250" s="181"/>
      <c r="B4250" s="202"/>
      <c r="C4250" s="36" t="s">
        <v>1369</v>
      </c>
      <c r="D4250" s="36" t="s">
        <v>982</v>
      </c>
      <c r="E4250" s="37">
        <v>8.9999999999999998E-4</v>
      </c>
      <c r="F4250" s="54">
        <v>18.819499999999998</v>
      </c>
      <c r="G4250" s="54">
        <f>IF(ISNUMBER(F4250),E4250*F4250,"")</f>
        <v>1.6937549999999999E-2</v>
      </c>
      <c r="H4250" s="73"/>
      <c r="I4250" s="74"/>
      <c r="J4250" s="155">
        <v>0</v>
      </c>
    </row>
    <row r="4251" spans="1:10" ht="26.25" hidden="1" thickBot="1" x14ac:dyDescent="0.3">
      <c r="A4251" s="181"/>
      <c r="B4251" s="202"/>
      <c r="C4251" s="36" t="s">
        <v>1370</v>
      </c>
      <c r="D4251" s="36" t="s">
        <v>984</v>
      </c>
      <c r="E4251" s="37">
        <v>1.2999999999999999E-3</v>
      </c>
      <c r="F4251" s="54">
        <v>18.05</v>
      </c>
      <c r="G4251" s="54">
        <f>IF(ISNUMBER(F4251),E4251*F4251,"")</f>
        <v>2.3465E-2</v>
      </c>
      <c r="H4251" s="73"/>
      <c r="I4251" s="74"/>
      <c r="J4251" s="155">
        <v>0</v>
      </c>
    </row>
    <row r="4252" spans="1:10" ht="15.75" hidden="1" thickBot="1" x14ac:dyDescent="0.3">
      <c r="A4252" s="182"/>
      <c r="B4252" s="188"/>
      <c r="C4252" s="55"/>
      <c r="D4252" s="55"/>
      <c r="E4252" s="66"/>
      <c r="F4252" s="76" t="s">
        <v>558</v>
      </c>
      <c r="G4252" s="76" t="str">
        <f>IF(ISNUMBER(F4252),E4252*F4252,"")</f>
        <v/>
      </c>
      <c r="H4252" s="77"/>
      <c r="I4252" s="74"/>
      <c r="J4252" s="155">
        <v>0</v>
      </c>
    </row>
    <row r="4253" spans="1:10" ht="15.75" hidden="1" thickBot="1" x14ac:dyDescent="0.3">
      <c r="A4253" s="180" t="s">
        <v>1374</v>
      </c>
      <c r="B4253" s="186" t="str">
        <f>INDEX(Orçamentária!A:B,MATCH(Composições!A4253,Orçamentária!A:A,0),2)</f>
        <v>Cumeeira para telha metálica trapezoidal galvanizada - GR-25</v>
      </c>
      <c r="C4253" s="41"/>
      <c r="D4253" s="26" t="str">
        <f>TRIM(INDEX(Orçamentária!C:C,MATCH(Composições!A4253,Orçamentária!A:A,0),1))</f>
        <v>m</v>
      </c>
      <c r="E4253" s="27"/>
      <c r="F4253" s="49" t="s">
        <v>558</v>
      </c>
      <c r="G4253" s="28" t="str">
        <f>IF(ISNUMBER(F4253),E4253*F4253,"")</f>
        <v/>
      </c>
      <c r="H4253" s="29"/>
      <c r="I4253" s="30"/>
      <c r="J4253" s="155">
        <v>0</v>
      </c>
    </row>
    <row r="4254" spans="1:10" ht="15.75" hidden="1" thickBot="1" x14ac:dyDescent="0.3">
      <c r="A4254" s="181"/>
      <c r="B4254" s="202"/>
      <c r="C4254" s="32"/>
      <c r="D4254" s="32"/>
      <c r="E4254" s="33"/>
      <c r="F4254" s="54" t="s">
        <v>558</v>
      </c>
      <c r="G4254" s="54" t="str">
        <f>IF(ISNUMBER(F4254),E4254*F4254,"")</f>
        <v/>
      </c>
      <c r="H4254" s="73"/>
      <c r="I4254" s="74"/>
      <c r="J4254" s="155">
        <v>0</v>
      </c>
    </row>
    <row r="4255" spans="1:10" ht="39" hidden="1" thickBot="1" x14ac:dyDescent="0.3">
      <c r="A4255" s="181"/>
      <c r="B4255" s="202"/>
      <c r="C4255" s="36" t="s">
        <v>1367</v>
      </c>
      <c r="D4255" s="47" t="s">
        <v>779</v>
      </c>
      <c r="E4255" s="37">
        <v>4.1500000000000004</v>
      </c>
      <c r="F4255" s="54">
        <v>2.0044999999999997</v>
      </c>
      <c r="G4255" s="54">
        <f>IF(ISNUMBER(F4255),E4255*F4255,"")</f>
        <v>8.3186749999999989</v>
      </c>
      <c r="H4255" s="39">
        <f>SUM(G4255:G4260)</f>
        <v>11.062263599999998</v>
      </c>
      <c r="I4255" s="40"/>
      <c r="J4255" s="155">
        <v>0</v>
      </c>
    </row>
    <row r="4256" spans="1:10" ht="15.75" hidden="1" thickBot="1" x14ac:dyDescent="0.3">
      <c r="A4256" s="181"/>
      <c r="B4256" s="202"/>
      <c r="C4256" s="36" t="s">
        <v>3626</v>
      </c>
      <c r="D4256" s="36" t="s">
        <v>93</v>
      </c>
      <c r="E4256" s="37">
        <v>1.0289999999999999</v>
      </c>
      <c r="F4256" s="54" t="s">
        <v>558</v>
      </c>
      <c r="G4256" s="54" t="str">
        <f>IF(ISNUMBER(F4256),E4256*F4256,"")</f>
        <v/>
      </c>
      <c r="H4256" s="73"/>
      <c r="I4256" s="74"/>
      <c r="J4256" s="155">
        <v>0</v>
      </c>
    </row>
    <row r="4257" spans="1:10" ht="15.75" hidden="1" thickBot="1" x14ac:dyDescent="0.3">
      <c r="A4257" s="181"/>
      <c r="B4257" s="202"/>
      <c r="C4257" s="36" t="s">
        <v>743</v>
      </c>
      <c r="D4257" s="36" t="s">
        <v>742</v>
      </c>
      <c r="E4257" s="37">
        <v>7.2999999999999995E-2</v>
      </c>
      <c r="F4257" s="54">
        <v>16.729499999999998</v>
      </c>
      <c r="G4257" s="54">
        <f>IF(ISNUMBER(F4257),E4257*F4257,"")</f>
        <v>1.2212534999999998</v>
      </c>
      <c r="H4257" s="73"/>
      <c r="I4257" s="74"/>
      <c r="J4257" s="155">
        <v>0</v>
      </c>
    </row>
    <row r="4258" spans="1:10" ht="15.75" hidden="1" thickBot="1" x14ac:dyDescent="0.3">
      <c r="A4258" s="181"/>
      <c r="B4258" s="202"/>
      <c r="C4258" s="36" t="s">
        <v>1368</v>
      </c>
      <c r="D4258" s="36" t="s">
        <v>742</v>
      </c>
      <c r="E4258" s="37">
        <v>0.06</v>
      </c>
      <c r="F4258" s="54">
        <v>24.025499999999997</v>
      </c>
      <c r="G4258" s="54">
        <f>IF(ISNUMBER(F4258),E4258*F4258,"")</f>
        <v>1.4415299999999998</v>
      </c>
      <c r="H4258" s="73"/>
      <c r="I4258" s="74"/>
      <c r="J4258" s="155">
        <v>0</v>
      </c>
    </row>
    <row r="4259" spans="1:10" ht="26.25" hidden="1" thickBot="1" x14ac:dyDescent="0.3">
      <c r="A4259" s="181"/>
      <c r="B4259" s="202"/>
      <c r="C4259" s="36" t="s">
        <v>1369</v>
      </c>
      <c r="D4259" s="36" t="s">
        <v>982</v>
      </c>
      <c r="E4259" s="37">
        <v>1.8E-3</v>
      </c>
      <c r="F4259" s="54">
        <v>18.819499999999998</v>
      </c>
      <c r="G4259" s="54">
        <f>IF(ISNUMBER(F4259),E4259*F4259,"")</f>
        <v>3.3875099999999998E-2</v>
      </c>
      <c r="H4259" s="73"/>
      <c r="I4259" s="74"/>
      <c r="J4259" s="155">
        <v>0</v>
      </c>
    </row>
    <row r="4260" spans="1:10" ht="26.25" hidden="1" thickBot="1" x14ac:dyDescent="0.3">
      <c r="A4260" s="181"/>
      <c r="B4260" s="202"/>
      <c r="C4260" s="36" t="s">
        <v>1370</v>
      </c>
      <c r="D4260" s="36" t="s">
        <v>984</v>
      </c>
      <c r="E4260" s="37">
        <v>2.5999999999999999E-3</v>
      </c>
      <c r="F4260" s="54">
        <v>18.05</v>
      </c>
      <c r="G4260" s="54">
        <f>IF(ISNUMBER(F4260),E4260*F4260,"")</f>
        <v>4.6929999999999999E-2</v>
      </c>
      <c r="H4260" s="73"/>
      <c r="I4260" s="74"/>
      <c r="J4260" s="155">
        <v>0</v>
      </c>
    </row>
    <row r="4261" spans="1:10" ht="15.75" hidden="1" thickBot="1" x14ac:dyDescent="0.3">
      <c r="A4261" s="182"/>
      <c r="B4261" s="188"/>
      <c r="C4261" s="55"/>
      <c r="D4261" s="55"/>
      <c r="E4261" s="66"/>
      <c r="F4261" s="76" t="s">
        <v>558</v>
      </c>
      <c r="G4261" s="76" t="str">
        <f>IF(ISNUMBER(F4261),E4261*F4261,"")</f>
        <v/>
      </c>
      <c r="H4261" s="77"/>
      <c r="I4261" s="74"/>
      <c r="J4261" s="155">
        <v>0</v>
      </c>
    </row>
    <row r="4262" spans="1:10" ht="15.75" hidden="1" thickBot="1" x14ac:dyDescent="0.3">
      <c r="A4262" s="180" t="s">
        <v>1375</v>
      </c>
      <c r="B4262" s="186" t="str">
        <f>INDEX(Orçamentária!A:B,MATCH(Composições!A4262,Orçamentária!A:A,0),2)</f>
        <v>Telha de fibrocimento modulada - espessura 8mm</v>
      </c>
      <c r="C4262" s="41"/>
      <c r="D4262" s="26" t="str">
        <f>TRIM(INDEX(Orçamentária!C:C,MATCH(Composições!A4262,Orçamentária!A:A,0),1))</f>
        <v>m2</v>
      </c>
      <c r="E4262" s="27"/>
      <c r="F4262" s="49" t="s">
        <v>558</v>
      </c>
      <c r="G4262" s="28" t="str">
        <f>IF(ISNUMBER(F4262),E4262*F4262,"")</f>
        <v/>
      </c>
      <c r="H4262" s="29"/>
      <c r="I4262" s="30"/>
      <c r="J4262" s="155">
        <v>0</v>
      </c>
    </row>
    <row r="4263" spans="1:10" ht="15.75" hidden="1" thickBot="1" x14ac:dyDescent="0.3">
      <c r="A4263" s="181"/>
      <c r="B4263" s="202"/>
      <c r="C4263" s="32"/>
      <c r="D4263" s="32"/>
      <c r="E4263" s="33"/>
      <c r="F4263" s="54" t="s">
        <v>558</v>
      </c>
      <c r="G4263" s="54" t="str">
        <f>IF(ISNUMBER(F4263),E4263*F4263,"")</f>
        <v/>
      </c>
      <c r="H4263" s="73"/>
      <c r="I4263" s="74"/>
      <c r="J4263" s="155">
        <v>0</v>
      </c>
    </row>
    <row r="4264" spans="1:10" ht="15.75" hidden="1" thickBot="1" x14ac:dyDescent="0.3">
      <c r="A4264" s="181"/>
      <c r="B4264" s="202"/>
      <c r="C4264" s="36" t="s">
        <v>1368</v>
      </c>
      <c r="D4264" s="36" t="s">
        <v>12</v>
      </c>
      <c r="E4264" s="37">
        <v>0.3</v>
      </c>
      <c r="F4264" s="54">
        <v>24.025499999999997</v>
      </c>
      <c r="G4264" s="54">
        <f>IF(ISNUMBER(F4264),E4264*F4264,"")</f>
        <v>7.2076499999999992</v>
      </c>
      <c r="H4264" s="39">
        <f>SUM(G4264:G4270)</f>
        <v>17.245349999999998</v>
      </c>
      <c r="I4264" s="40"/>
      <c r="J4264" s="155">
        <v>0</v>
      </c>
    </row>
    <row r="4265" spans="1:10" ht="15.75" hidden="1" thickBot="1" x14ac:dyDescent="0.3">
      <c r="A4265" s="181"/>
      <c r="B4265" s="202"/>
      <c r="C4265" s="36" t="s">
        <v>743</v>
      </c>
      <c r="D4265" s="36" t="s">
        <v>12</v>
      </c>
      <c r="E4265" s="37">
        <v>0.6</v>
      </c>
      <c r="F4265" s="54">
        <v>16.729499999999998</v>
      </c>
      <c r="G4265" s="54">
        <f>IF(ISNUMBER(F4265),E4265*F4265,"")</f>
        <v>10.037699999999999</v>
      </c>
      <c r="H4265" s="73"/>
      <c r="I4265" s="74"/>
      <c r="J4265" s="155">
        <v>0</v>
      </c>
    </row>
    <row r="4266" spans="1:10" ht="15.75" hidden="1" thickBot="1" x14ac:dyDescent="0.3">
      <c r="A4266" s="181"/>
      <c r="B4266" s="202"/>
      <c r="C4266" s="36" t="s">
        <v>1376</v>
      </c>
      <c r="D4266" s="36" t="s">
        <v>292</v>
      </c>
      <c r="E4266" s="37">
        <v>1.1100000000000001</v>
      </c>
      <c r="F4266" s="54">
        <v>0</v>
      </c>
      <c r="G4266" s="54">
        <f>IF(ISNUMBER(F4266),E4266*F4266,"")</f>
        <v>0</v>
      </c>
      <c r="H4266" s="73"/>
      <c r="I4266" s="74"/>
      <c r="J4266" s="155">
        <v>0</v>
      </c>
    </row>
    <row r="4267" spans="1:10" ht="15.75" hidden="1" thickBot="1" x14ac:dyDescent="0.3">
      <c r="A4267" s="181"/>
      <c r="B4267" s="202"/>
      <c r="C4267" s="36" t="s">
        <v>1377</v>
      </c>
      <c r="D4267" s="36" t="s">
        <v>95</v>
      </c>
      <c r="E4267" s="37">
        <v>1.24</v>
      </c>
      <c r="F4267" s="54">
        <v>0</v>
      </c>
      <c r="G4267" s="54">
        <f>IF(ISNUMBER(F4267),E4267*F4267,"")</f>
        <v>0</v>
      </c>
      <c r="H4267" s="73"/>
      <c r="I4267" s="74"/>
      <c r="J4267" s="155">
        <v>0</v>
      </c>
    </row>
    <row r="4268" spans="1:10" ht="26.25" hidden="1" thickBot="1" x14ac:dyDescent="0.3">
      <c r="A4268" s="181"/>
      <c r="B4268" s="202"/>
      <c r="C4268" s="36" t="s">
        <v>1378</v>
      </c>
      <c r="D4268" s="36" t="s">
        <v>292</v>
      </c>
      <c r="E4268" s="37">
        <v>1.1100000000000001</v>
      </c>
      <c r="F4268" s="54">
        <v>0</v>
      </c>
      <c r="G4268" s="54">
        <f>IF(ISNUMBER(F4268),E4268*F4268,"")</f>
        <v>0</v>
      </c>
      <c r="H4268" s="73"/>
      <c r="I4268" s="74"/>
      <c r="J4268" s="155">
        <v>0</v>
      </c>
    </row>
    <row r="4269" spans="1:10" ht="15.75" hidden="1" thickBot="1" x14ac:dyDescent="0.3">
      <c r="A4269" s="181"/>
      <c r="B4269" s="202"/>
      <c r="C4269" s="36" t="s">
        <v>1379</v>
      </c>
      <c r="D4269" s="36" t="s">
        <v>292</v>
      </c>
      <c r="E4269" s="37">
        <v>1</v>
      </c>
      <c r="F4269" s="54">
        <v>0</v>
      </c>
      <c r="G4269" s="54">
        <f>IF(ISNUMBER(F4269),E4269*F4269,"")</f>
        <v>0</v>
      </c>
      <c r="H4269" s="73"/>
      <c r="I4269" s="74"/>
      <c r="J4269" s="155">
        <v>0</v>
      </c>
    </row>
    <row r="4270" spans="1:10" ht="15.75" hidden="1" thickBot="1" x14ac:dyDescent="0.3">
      <c r="A4270" s="181"/>
      <c r="B4270" s="202"/>
      <c r="C4270" s="36" t="s">
        <v>1380</v>
      </c>
      <c r="D4270" s="36" t="s">
        <v>292</v>
      </c>
      <c r="E4270" s="37">
        <v>1.1100000000000001</v>
      </c>
      <c r="F4270" s="54">
        <v>0</v>
      </c>
      <c r="G4270" s="54">
        <f>IF(ISNUMBER(F4270),E4270*F4270,"")</f>
        <v>0</v>
      </c>
      <c r="H4270" s="73"/>
      <c r="I4270" s="74"/>
      <c r="J4270" s="155">
        <v>0</v>
      </c>
    </row>
    <row r="4271" spans="1:10" ht="15.75" hidden="1" thickBot="1" x14ac:dyDescent="0.3">
      <c r="A4271" s="182"/>
      <c r="B4271" s="188"/>
      <c r="C4271" s="55"/>
      <c r="D4271" s="55"/>
      <c r="E4271" s="66"/>
      <c r="F4271" s="76" t="s">
        <v>558</v>
      </c>
      <c r="G4271" s="76" t="str">
        <f>IF(ISNUMBER(F4271),E4271*F4271,"")</f>
        <v/>
      </c>
      <c r="H4271" s="77"/>
      <c r="I4271" s="74"/>
      <c r="J4271" s="155">
        <v>0</v>
      </c>
    </row>
    <row r="4272" spans="1:10" ht="15.75" hidden="1" thickBot="1" x14ac:dyDescent="0.3">
      <c r="A4272" s="180" t="s">
        <v>1381</v>
      </c>
      <c r="B4272" s="186" t="str">
        <f>INDEX(Orçamentária!A:B,MATCH(Composições!A4272,Orçamentária!A:A,0),2)</f>
        <v>Cumeeira articulada ABA SUPERIOR de fibrocimento para telha modulada - espessura 6 mm</v>
      </c>
      <c r="C4272" s="41"/>
      <c r="D4272" s="26" t="str">
        <f>TRIM(INDEX(Orçamentária!C:C,MATCH(Composições!A4272,Orçamentária!A:A,0),1))</f>
        <v>m</v>
      </c>
      <c r="E4272" s="27"/>
      <c r="F4272" s="49" t="s">
        <v>558</v>
      </c>
      <c r="G4272" s="28" t="str">
        <f>IF(ISNUMBER(F4272),E4272*F4272,"")</f>
        <v/>
      </c>
      <c r="H4272" s="29"/>
      <c r="I4272" s="30"/>
      <c r="J4272" s="155">
        <v>0</v>
      </c>
    </row>
    <row r="4273" spans="1:10" ht="15.75" hidden="1" thickBot="1" x14ac:dyDescent="0.3">
      <c r="A4273" s="181"/>
      <c r="B4273" s="202"/>
      <c r="C4273" s="32"/>
      <c r="D4273" s="32"/>
      <c r="E4273" s="33"/>
      <c r="F4273" s="54" t="s">
        <v>558</v>
      </c>
      <c r="G4273" s="54" t="str">
        <f>IF(ISNUMBER(F4273),E4273*F4273,"")</f>
        <v/>
      </c>
      <c r="H4273" s="73"/>
      <c r="I4273" s="74"/>
      <c r="J4273" s="155">
        <v>0</v>
      </c>
    </row>
    <row r="4274" spans="1:10" ht="15.75" hidden="1" thickBot="1" x14ac:dyDescent="0.3">
      <c r="A4274" s="181"/>
      <c r="B4274" s="202"/>
      <c r="C4274" s="36" t="s">
        <v>1368</v>
      </c>
      <c r="D4274" s="36" t="s">
        <v>12</v>
      </c>
      <c r="E4274" s="37">
        <f>0.12/2</f>
        <v>0.06</v>
      </c>
      <c r="F4274" s="54">
        <v>24.025499999999997</v>
      </c>
      <c r="G4274" s="54">
        <f>IF(ISNUMBER(F4274),E4274*F4274,"")</f>
        <v>1.4415299999999998</v>
      </c>
      <c r="H4274" s="39">
        <f>SUM(G4274:G4278)</f>
        <v>2.4452999999999996</v>
      </c>
      <c r="I4274" s="40"/>
      <c r="J4274" s="155">
        <v>0</v>
      </c>
    </row>
    <row r="4275" spans="1:10" ht="15.75" hidden="1" thickBot="1" x14ac:dyDescent="0.3">
      <c r="A4275" s="181"/>
      <c r="B4275" s="202"/>
      <c r="C4275" s="36" t="s">
        <v>743</v>
      </c>
      <c r="D4275" s="36" t="s">
        <v>12</v>
      </c>
      <c r="E4275" s="37">
        <f>0.12/2</f>
        <v>0.06</v>
      </c>
      <c r="F4275" s="54">
        <v>16.729499999999998</v>
      </c>
      <c r="G4275" s="54">
        <f>IF(ISNUMBER(F4275),E4275*F4275,"")</f>
        <v>1.0037699999999998</v>
      </c>
      <c r="H4275" s="73"/>
      <c r="I4275" s="74"/>
      <c r="J4275" s="155">
        <v>0</v>
      </c>
    </row>
    <row r="4276" spans="1:10" ht="15.75" hidden="1" thickBot="1" x14ac:dyDescent="0.3">
      <c r="A4276" s="181"/>
      <c r="B4276" s="202"/>
      <c r="C4276" s="36" t="s">
        <v>1376</v>
      </c>
      <c r="D4276" s="36" t="s">
        <v>292</v>
      </c>
      <c r="E4276" s="37">
        <f>4.12/2</f>
        <v>2.06</v>
      </c>
      <c r="F4276" s="54">
        <v>0</v>
      </c>
      <c r="G4276" s="54">
        <f>IF(ISNUMBER(F4276),E4276*F4276,"")</f>
        <v>0</v>
      </c>
      <c r="H4276" s="73"/>
      <c r="I4276" s="74"/>
      <c r="J4276" s="155">
        <v>0</v>
      </c>
    </row>
    <row r="4277" spans="1:10" ht="26.25" hidden="1" thickBot="1" x14ac:dyDescent="0.3">
      <c r="A4277" s="181"/>
      <c r="B4277" s="202"/>
      <c r="C4277" s="36" t="s">
        <v>1382</v>
      </c>
      <c r="D4277" s="36" t="s">
        <v>292</v>
      </c>
      <c r="E4277" s="37">
        <v>2.06</v>
      </c>
      <c r="F4277" s="54">
        <v>0</v>
      </c>
      <c r="G4277" s="54">
        <f>IF(ISNUMBER(F4277),E4277*F4277,"")</f>
        <v>0</v>
      </c>
      <c r="H4277" s="73"/>
      <c r="I4277" s="74"/>
      <c r="J4277" s="155">
        <v>0</v>
      </c>
    </row>
    <row r="4278" spans="1:10" ht="15.75" hidden="1" thickBot="1" x14ac:dyDescent="0.3">
      <c r="A4278" s="181"/>
      <c r="B4278" s="202"/>
      <c r="C4278" s="36" t="s">
        <v>1380</v>
      </c>
      <c r="D4278" s="36" t="s">
        <v>292</v>
      </c>
      <c r="E4278" s="37">
        <f>4.12/2</f>
        <v>2.06</v>
      </c>
      <c r="F4278" s="54">
        <v>0</v>
      </c>
      <c r="G4278" s="54">
        <f>IF(ISNUMBER(F4278),E4278*F4278,"")</f>
        <v>0</v>
      </c>
      <c r="H4278" s="73"/>
      <c r="I4278" s="74"/>
      <c r="J4278" s="155">
        <v>0</v>
      </c>
    </row>
    <row r="4279" spans="1:10" ht="15.75" hidden="1" thickBot="1" x14ac:dyDescent="0.3">
      <c r="A4279" s="182"/>
      <c r="B4279" s="188"/>
      <c r="C4279" s="55"/>
      <c r="D4279" s="55"/>
      <c r="E4279" s="66"/>
      <c r="F4279" s="76" t="s">
        <v>558</v>
      </c>
      <c r="G4279" s="76" t="str">
        <f>IF(ISNUMBER(F4279),E4279*F4279,"")</f>
        <v/>
      </c>
      <c r="H4279" s="77"/>
      <c r="I4279" s="74"/>
      <c r="J4279" s="155">
        <v>0</v>
      </c>
    </row>
    <row r="4280" spans="1:10" ht="15.75" hidden="1" thickBot="1" x14ac:dyDescent="0.3">
      <c r="A4280" s="180" t="s">
        <v>1383</v>
      </c>
      <c r="B4280" s="186" t="str">
        <f>INDEX(Orçamentária!A:B,MATCH(Composições!A4280,Orçamentária!A:A,0),2)</f>
        <v>Cumeeira articulada ABA INFERIOR de fibrocimento para telha modulada - espessura 6 mm</v>
      </c>
      <c r="C4280" s="41"/>
      <c r="D4280" s="26" t="str">
        <f>TRIM(INDEX(Orçamentária!C:C,MATCH(Composições!A4280,Orçamentária!A:A,0),1))</f>
        <v>m</v>
      </c>
      <c r="E4280" s="27"/>
      <c r="F4280" s="49" t="s">
        <v>558</v>
      </c>
      <c r="G4280" s="28" t="str">
        <f>IF(ISNUMBER(F4280),E4280*F4280,"")</f>
        <v/>
      </c>
      <c r="H4280" s="29"/>
      <c r="I4280" s="30"/>
      <c r="J4280" s="155">
        <v>0</v>
      </c>
    </row>
    <row r="4281" spans="1:10" ht="15.75" hidden="1" thickBot="1" x14ac:dyDescent="0.3">
      <c r="A4281" s="181"/>
      <c r="B4281" s="202"/>
      <c r="C4281" s="32"/>
      <c r="D4281" s="32"/>
      <c r="E4281" s="33"/>
      <c r="F4281" s="54" t="s">
        <v>558</v>
      </c>
      <c r="G4281" s="54" t="str">
        <f>IF(ISNUMBER(F4281),E4281*F4281,"")</f>
        <v/>
      </c>
      <c r="H4281" s="73"/>
      <c r="I4281" s="74"/>
      <c r="J4281" s="155">
        <v>0</v>
      </c>
    </row>
    <row r="4282" spans="1:10" ht="15.75" hidden="1" thickBot="1" x14ac:dyDescent="0.3">
      <c r="A4282" s="181"/>
      <c r="B4282" s="202"/>
      <c r="C4282" s="36" t="s">
        <v>1368</v>
      </c>
      <c r="D4282" s="36" t="s">
        <v>12</v>
      </c>
      <c r="E4282" s="37">
        <f>0.12/2</f>
        <v>0.06</v>
      </c>
      <c r="F4282" s="54">
        <v>24.025499999999997</v>
      </c>
      <c r="G4282" s="54">
        <f>IF(ISNUMBER(F4282),E4282*F4282,"")</f>
        <v>1.4415299999999998</v>
      </c>
      <c r="H4282" s="39">
        <f>SUM(G4282:G4286)</f>
        <v>2.4452999999999996</v>
      </c>
      <c r="I4282" s="40"/>
      <c r="J4282" s="155">
        <v>0</v>
      </c>
    </row>
    <row r="4283" spans="1:10" ht="15.75" hidden="1" thickBot="1" x14ac:dyDescent="0.3">
      <c r="A4283" s="181"/>
      <c r="B4283" s="202"/>
      <c r="C4283" s="36" t="s">
        <v>743</v>
      </c>
      <c r="D4283" s="36" t="s">
        <v>12</v>
      </c>
      <c r="E4283" s="37">
        <f>0.12/2</f>
        <v>0.06</v>
      </c>
      <c r="F4283" s="54">
        <v>16.729499999999998</v>
      </c>
      <c r="G4283" s="54">
        <f>IF(ISNUMBER(F4283),E4283*F4283,"")</f>
        <v>1.0037699999999998</v>
      </c>
      <c r="H4283" s="73"/>
      <c r="I4283" s="74"/>
      <c r="J4283" s="155">
        <v>0</v>
      </c>
    </row>
    <row r="4284" spans="1:10" ht="15.75" hidden="1" thickBot="1" x14ac:dyDescent="0.3">
      <c r="A4284" s="181"/>
      <c r="B4284" s="202"/>
      <c r="C4284" s="36" t="s">
        <v>1376</v>
      </c>
      <c r="D4284" s="36" t="s">
        <v>292</v>
      </c>
      <c r="E4284" s="37">
        <f>4.12/2</f>
        <v>2.06</v>
      </c>
      <c r="F4284" s="54">
        <v>0</v>
      </c>
      <c r="G4284" s="54">
        <f>IF(ISNUMBER(F4284),E4284*F4284,"")</f>
        <v>0</v>
      </c>
      <c r="H4284" s="73"/>
      <c r="I4284" s="74"/>
      <c r="J4284" s="155">
        <v>0</v>
      </c>
    </row>
    <row r="4285" spans="1:10" ht="26.25" hidden="1" thickBot="1" x14ac:dyDescent="0.3">
      <c r="A4285" s="181"/>
      <c r="B4285" s="202"/>
      <c r="C4285" s="36" t="s">
        <v>1384</v>
      </c>
      <c r="D4285" s="36" t="s">
        <v>292</v>
      </c>
      <c r="E4285" s="37">
        <v>2.06</v>
      </c>
      <c r="F4285" s="54">
        <v>0</v>
      </c>
      <c r="G4285" s="54">
        <f>IF(ISNUMBER(F4285),E4285*F4285,"")</f>
        <v>0</v>
      </c>
      <c r="H4285" s="73"/>
      <c r="I4285" s="74"/>
      <c r="J4285" s="155">
        <v>0</v>
      </c>
    </row>
    <row r="4286" spans="1:10" ht="15.75" hidden="1" thickBot="1" x14ac:dyDescent="0.3">
      <c r="A4286" s="181"/>
      <c r="B4286" s="202"/>
      <c r="C4286" s="36" t="s">
        <v>1380</v>
      </c>
      <c r="D4286" s="36" t="s">
        <v>292</v>
      </c>
      <c r="E4286" s="37">
        <f>4.12/2</f>
        <v>2.06</v>
      </c>
      <c r="F4286" s="54">
        <v>0</v>
      </c>
      <c r="G4286" s="54">
        <f>IF(ISNUMBER(F4286),E4286*F4286,"")</f>
        <v>0</v>
      </c>
      <c r="H4286" s="73"/>
      <c r="I4286" s="74"/>
      <c r="J4286" s="155">
        <v>0</v>
      </c>
    </row>
    <row r="4287" spans="1:10" ht="15.75" hidden="1" thickBot="1" x14ac:dyDescent="0.3">
      <c r="A4287" s="182"/>
      <c r="B4287" s="188"/>
      <c r="C4287" s="55"/>
      <c r="D4287" s="55"/>
      <c r="E4287" s="66"/>
      <c r="F4287" s="76" t="s">
        <v>558</v>
      </c>
      <c r="G4287" s="76" t="str">
        <f>IF(ISNUMBER(F4287),E4287*F4287,"")</f>
        <v/>
      </c>
      <c r="H4287" s="77"/>
      <c r="I4287" s="74"/>
      <c r="J4287" s="155">
        <v>0</v>
      </c>
    </row>
    <row r="4288" spans="1:10" ht="15.75" hidden="1" thickBot="1" x14ac:dyDescent="0.3">
      <c r="A4288" s="180" t="s">
        <v>1385</v>
      </c>
      <c r="B4288" s="186" t="str">
        <f>INDEX(Orçamentária!A:B,MATCH(Composições!A4288,Orçamentária!A:A,0),2)</f>
        <v>Telha de fibrocimento ondulada - espessura 6mm</v>
      </c>
      <c r="C4288" s="41"/>
      <c r="D4288" s="26" t="str">
        <f>TRIM(INDEX(Orçamentária!C:C,MATCH(Composições!A4288,Orçamentária!A:A,0),1))</f>
        <v>m2</v>
      </c>
      <c r="E4288" s="27"/>
      <c r="F4288" s="49" t="s">
        <v>558</v>
      </c>
      <c r="G4288" s="28" t="str">
        <f>IF(ISNUMBER(F4288),E4288*F4288,"")</f>
        <v/>
      </c>
      <c r="H4288" s="29"/>
      <c r="I4288" s="30"/>
      <c r="J4288" s="155">
        <v>0</v>
      </c>
    </row>
    <row r="4289" spans="1:10" ht="15.75" hidden="1" thickBot="1" x14ac:dyDescent="0.3">
      <c r="A4289" s="181"/>
      <c r="B4289" s="202"/>
      <c r="C4289" s="32"/>
      <c r="D4289" s="32"/>
      <c r="E4289" s="33"/>
      <c r="F4289" s="54" t="s">
        <v>558</v>
      </c>
      <c r="G4289" s="54" t="str">
        <f>IF(ISNUMBER(F4289),E4289*F4289,"")</f>
        <v/>
      </c>
      <c r="H4289" s="73"/>
      <c r="I4289" s="74"/>
      <c r="J4289" s="155">
        <v>0</v>
      </c>
    </row>
    <row r="4290" spans="1:10" ht="39" hidden="1" thickBot="1" x14ac:dyDescent="0.3">
      <c r="A4290" s="181"/>
      <c r="B4290" s="202"/>
      <c r="C4290" s="36" t="s">
        <v>1386</v>
      </c>
      <c r="D4290" s="47" t="s">
        <v>779</v>
      </c>
      <c r="E4290" s="37">
        <v>1.27</v>
      </c>
      <c r="F4290" s="54">
        <v>0.26600000000000001</v>
      </c>
      <c r="G4290" s="54">
        <f>IF(ISNUMBER(F4290),E4290*F4290,"")</f>
        <v>0.33782000000000001</v>
      </c>
      <c r="H4290" s="39">
        <f>SUM(G4290:G4296)</f>
        <v>42.81217749999999</v>
      </c>
      <c r="I4290" s="40"/>
      <c r="J4290" s="155">
        <v>0</v>
      </c>
    </row>
    <row r="4291" spans="1:10" ht="26.25" hidden="1" thickBot="1" x14ac:dyDescent="0.3">
      <c r="A4291" s="181"/>
      <c r="B4291" s="202"/>
      <c r="C4291" s="36" t="s">
        <v>1387</v>
      </c>
      <c r="D4291" s="36" t="s">
        <v>292</v>
      </c>
      <c r="E4291" s="37">
        <v>1.27</v>
      </c>
      <c r="F4291" s="54">
        <v>4.0659999999999998</v>
      </c>
      <c r="G4291" s="54">
        <f>IF(ISNUMBER(F4291),E4291*F4291,"")</f>
        <v>5.1638200000000003</v>
      </c>
      <c r="H4291" s="73"/>
      <c r="I4291" s="74"/>
      <c r="J4291" s="155">
        <v>0</v>
      </c>
    </row>
    <row r="4292" spans="1:10" ht="26.25" hidden="1" thickBot="1" x14ac:dyDescent="0.3">
      <c r="A4292" s="181"/>
      <c r="B4292" s="202"/>
      <c r="C4292" s="36" t="s">
        <v>1388</v>
      </c>
      <c r="D4292" s="36" t="s">
        <v>1034</v>
      </c>
      <c r="E4292" s="37">
        <v>1.2749999999999999</v>
      </c>
      <c r="F4292" s="54">
        <v>24.956499999999998</v>
      </c>
      <c r="G4292" s="54">
        <f>IF(ISNUMBER(F4292),E4292*F4292,"")</f>
        <v>31.819537499999996</v>
      </c>
      <c r="H4292" s="73"/>
      <c r="I4292" s="74"/>
      <c r="J4292" s="155">
        <v>0</v>
      </c>
    </row>
    <row r="4293" spans="1:10" ht="15.75" hidden="1" thickBot="1" x14ac:dyDescent="0.3">
      <c r="A4293" s="181"/>
      <c r="B4293" s="202"/>
      <c r="C4293" s="36" t="s">
        <v>743</v>
      </c>
      <c r="D4293" s="36" t="s">
        <v>742</v>
      </c>
      <c r="E4293" s="37">
        <v>0.15</v>
      </c>
      <c r="F4293" s="54">
        <v>16.729499999999998</v>
      </c>
      <c r="G4293" s="54">
        <f>IF(ISNUMBER(F4293),E4293*F4293,"")</f>
        <v>2.5094249999999998</v>
      </c>
      <c r="H4293" s="73"/>
      <c r="I4293" s="74"/>
      <c r="J4293" s="155">
        <v>0</v>
      </c>
    </row>
    <row r="4294" spans="1:10" ht="15.75" hidden="1" thickBot="1" x14ac:dyDescent="0.3">
      <c r="A4294" s="181"/>
      <c r="B4294" s="202"/>
      <c r="C4294" s="36" t="s">
        <v>1368</v>
      </c>
      <c r="D4294" s="36" t="s">
        <v>742</v>
      </c>
      <c r="E4294" s="37">
        <v>0.115</v>
      </c>
      <c r="F4294" s="54">
        <v>24.025499999999997</v>
      </c>
      <c r="G4294" s="54">
        <f>IF(ISNUMBER(F4294),E4294*F4294,"")</f>
        <v>2.7629324999999998</v>
      </c>
      <c r="H4294" s="73"/>
      <c r="I4294" s="74"/>
      <c r="J4294" s="155">
        <v>0</v>
      </c>
    </row>
    <row r="4295" spans="1:10" ht="26.25" hidden="1" thickBot="1" x14ac:dyDescent="0.3">
      <c r="A4295" s="181"/>
      <c r="B4295" s="202"/>
      <c r="C4295" s="36" t="s">
        <v>1369</v>
      </c>
      <c r="D4295" s="36" t="s">
        <v>982</v>
      </c>
      <c r="E4295" s="37">
        <v>5.0000000000000001E-3</v>
      </c>
      <c r="F4295" s="54">
        <v>18.819499999999998</v>
      </c>
      <c r="G4295" s="54">
        <f>IF(ISNUMBER(F4295),E4295*F4295,"")</f>
        <v>9.4097499999999987E-2</v>
      </c>
      <c r="H4295" s="73"/>
      <c r="I4295" s="74"/>
      <c r="J4295" s="155">
        <v>0</v>
      </c>
    </row>
    <row r="4296" spans="1:10" ht="26.25" hidden="1" thickBot="1" x14ac:dyDescent="0.3">
      <c r="A4296" s="181"/>
      <c r="B4296" s="202"/>
      <c r="C4296" s="36" t="s">
        <v>1370</v>
      </c>
      <c r="D4296" s="36" t="s">
        <v>984</v>
      </c>
      <c r="E4296" s="37">
        <v>6.8999999999999999E-3</v>
      </c>
      <c r="F4296" s="54">
        <v>18.05</v>
      </c>
      <c r="G4296" s="54">
        <f>IF(ISNUMBER(F4296),E4296*F4296,"")</f>
        <v>0.124545</v>
      </c>
      <c r="H4296" s="73"/>
      <c r="I4296" s="74"/>
      <c r="J4296" s="155">
        <v>0</v>
      </c>
    </row>
    <row r="4297" spans="1:10" ht="15.75" hidden="1" thickBot="1" x14ac:dyDescent="0.3">
      <c r="A4297" s="182"/>
      <c r="B4297" s="188"/>
      <c r="C4297" s="55"/>
      <c r="D4297" s="55"/>
      <c r="E4297" s="66"/>
      <c r="F4297" s="76" t="s">
        <v>558</v>
      </c>
      <c r="G4297" s="76" t="str">
        <f>IF(ISNUMBER(F4297),E4297*F4297,"")</f>
        <v/>
      </c>
      <c r="H4297" s="77"/>
      <c r="I4297" s="74"/>
      <c r="J4297" s="155">
        <v>0</v>
      </c>
    </row>
    <row r="4298" spans="1:10" ht="15.75" hidden="1" thickBot="1" x14ac:dyDescent="0.3">
      <c r="A4298" s="180" t="s">
        <v>1389</v>
      </c>
      <c r="B4298" s="186" t="str">
        <f>INDEX(Orçamentária!A:B,MATCH(Composições!A4298,Orçamentária!A:A,0),2)</f>
        <v>Cumeeira UNIVERSAL para telha de fibrocimento ondulada - espessura 6 mm</v>
      </c>
      <c r="C4298" s="41"/>
      <c r="D4298" s="26" t="str">
        <f>TRIM(INDEX(Orçamentária!C:C,MATCH(Composições!A4298,Orçamentária!A:A,0),1))</f>
        <v>m</v>
      </c>
      <c r="E4298" s="27"/>
      <c r="F4298" s="49" t="s">
        <v>558</v>
      </c>
      <c r="G4298" s="28" t="str">
        <f>IF(ISNUMBER(F4298),E4298*F4298,"")</f>
        <v/>
      </c>
      <c r="H4298" s="29"/>
      <c r="I4298" s="30"/>
      <c r="J4298" s="155">
        <v>0</v>
      </c>
    </row>
    <row r="4299" spans="1:10" ht="15.75" hidden="1" thickBot="1" x14ac:dyDescent="0.3">
      <c r="A4299" s="181"/>
      <c r="B4299" s="202"/>
      <c r="C4299" s="32"/>
      <c r="D4299" s="32"/>
      <c r="E4299" s="33"/>
      <c r="F4299" s="54" t="s">
        <v>558</v>
      </c>
      <c r="G4299" s="54" t="str">
        <f>IF(ISNUMBER(F4299),E4299*F4299,"")</f>
        <v/>
      </c>
      <c r="H4299" s="73"/>
      <c r="I4299" s="74"/>
      <c r="J4299" s="155">
        <v>0</v>
      </c>
    </row>
    <row r="4300" spans="1:10" ht="39" hidden="1" thickBot="1" x14ac:dyDescent="0.3">
      <c r="A4300" s="181"/>
      <c r="B4300" s="202"/>
      <c r="C4300" s="36" t="s">
        <v>1386</v>
      </c>
      <c r="D4300" s="47" t="s">
        <v>779</v>
      </c>
      <c r="E4300" s="37">
        <v>4.2</v>
      </c>
      <c r="F4300" s="54">
        <v>0.26600000000000001</v>
      </c>
      <c r="G4300" s="54">
        <f>IF(ISNUMBER(F4300),E4300*F4300,"")</f>
        <v>1.1172000000000002</v>
      </c>
      <c r="H4300" s="39">
        <f>SUM(G4300:G4306)</f>
        <v>57.420154600000011</v>
      </c>
      <c r="I4300" s="40"/>
      <c r="J4300" s="155">
        <v>0</v>
      </c>
    </row>
    <row r="4301" spans="1:10" ht="26.25" hidden="1" thickBot="1" x14ac:dyDescent="0.3">
      <c r="A4301" s="181"/>
      <c r="B4301" s="202"/>
      <c r="C4301" s="36" t="s">
        <v>1387</v>
      </c>
      <c r="D4301" s="36" t="s">
        <v>292</v>
      </c>
      <c r="E4301" s="37">
        <v>4.2</v>
      </c>
      <c r="F4301" s="54">
        <v>4.0659999999999998</v>
      </c>
      <c r="G4301" s="54">
        <f>IF(ISNUMBER(F4301),E4301*F4301,"")</f>
        <v>17.077200000000001</v>
      </c>
      <c r="H4301" s="73"/>
      <c r="I4301" s="74"/>
      <c r="J4301" s="155">
        <v>0</v>
      </c>
    </row>
    <row r="4302" spans="1:10" ht="26.25" hidden="1" thickBot="1" x14ac:dyDescent="0.3">
      <c r="A4302" s="181"/>
      <c r="B4302" s="202"/>
      <c r="C4302" s="36" t="s">
        <v>1390</v>
      </c>
      <c r="D4302" s="36" t="s">
        <v>292</v>
      </c>
      <c r="E4302" s="37">
        <v>1.0289999999999999</v>
      </c>
      <c r="F4302" s="54">
        <v>35.454000000000001</v>
      </c>
      <c r="G4302" s="54">
        <f>IF(ISNUMBER(F4302),E4302*F4302,"")</f>
        <v>36.482165999999999</v>
      </c>
      <c r="H4302" s="73"/>
      <c r="I4302" s="74"/>
      <c r="J4302" s="155">
        <v>0</v>
      </c>
    </row>
    <row r="4303" spans="1:10" ht="15.75" hidden="1" thickBot="1" x14ac:dyDescent="0.3">
      <c r="A4303" s="181"/>
      <c r="B4303" s="202"/>
      <c r="C4303" s="36" t="s">
        <v>743</v>
      </c>
      <c r="D4303" s="36" t="s">
        <v>742</v>
      </c>
      <c r="E4303" s="37">
        <v>7.2999999999999995E-2</v>
      </c>
      <c r="F4303" s="54">
        <v>16.729499999999998</v>
      </c>
      <c r="G4303" s="54">
        <f>IF(ISNUMBER(F4303),E4303*F4303,"")</f>
        <v>1.2212534999999998</v>
      </c>
      <c r="H4303" s="73"/>
      <c r="I4303" s="74"/>
      <c r="J4303" s="155">
        <v>0</v>
      </c>
    </row>
    <row r="4304" spans="1:10" ht="15.75" hidden="1" thickBot="1" x14ac:dyDescent="0.3">
      <c r="A4304" s="181"/>
      <c r="B4304" s="202"/>
      <c r="C4304" s="36" t="s">
        <v>1368</v>
      </c>
      <c r="D4304" s="36" t="s">
        <v>742</v>
      </c>
      <c r="E4304" s="37">
        <v>0.06</v>
      </c>
      <c r="F4304" s="54">
        <v>24.025499999999997</v>
      </c>
      <c r="G4304" s="54">
        <f>IF(ISNUMBER(F4304),E4304*F4304,"")</f>
        <v>1.4415299999999998</v>
      </c>
      <c r="H4304" s="73"/>
      <c r="I4304" s="74"/>
      <c r="J4304" s="155">
        <v>0</v>
      </c>
    </row>
    <row r="4305" spans="1:10" ht="26.25" hidden="1" thickBot="1" x14ac:dyDescent="0.3">
      <c r="A4305" s="181"/>
      <c r="B4305" s="202"/>
      <c r="C4305" s="36" t="s">
        <v>1369</v>
      </c>
      <c r="D4305" s="36" t="s">
        <v>982</v>
      </c>
      <c r="E4305" s="37">
        <v>1.8E-3</v>
      </c>
      <c r="F4305" s="54">
        <v>18.819499999999998</v>
      </c>
      <c r="G4305" s="54">
        <f>IF(ISNUMBER(F4305),E4305*F4305,"")</f>
        <v>3.3875099999999998E-2</v>
      </c>
      <c r="H4305" s="73"/>
      <c r="I4305" s="74"/>
      <c r="J4305" s="155">
        <v>0</v>
      </c>
    </row>
    <row r="4306" spans="1:10" ht="26.25" hidden="1" thickBot="1" x14ac:dyDescent="0.3">
      <c r="A4306" s="181"/>
      <c r="B4306" s="202"/>
      <c r="C4306" s="36" t="s">
        <v>1370</v>
      </c>
      <c r="D4306" s="36" t="s">
        <v>984</v>
      </c>
      <c r="E4306" s="37">
        <v>2.5999999999999999E-3</v>
      </c>
      <c r="F4306" s="54">
        <v>18.05</v>
      </c>
      <c r="G4306" s="54">
        <f>IF(ISNUMBER(F4306),E4306*F4306,"")</f>
        <v>4.6929999999999999E-2</v>
      </c>
      <c r="H4306" s="73"/>
      <c r="I4306" s="74"/>
      <c r="J4306" s="155">
        <v>0</v>
      </c>
    </row>
    <row r="4307" spans="1:10" ht="15.75" hidden="1" thickBot="1" x14ac:dyDescent="0.3">
      <c r="A4307" s="182"/>
      <c r="B4307" s="188"/>
      <c r="C4307" s="55"/>
      <c r="D4307" s="55"/>
      <c r="E4307" s="66"/>
      <c r="F4307" s="76" t="s">
        <v>558</v>
      </c>
      <c r="G4307" s="76" t="str">
        <f>IF(ISNUMBER(F4307),E4307*F4307,"")</f>
        <v/>
      </c>
      <c r="H4307" s="77"/>
      <c r="I4307" s="74"/>
      <c r="J4307" s="155">
        <v>0</v>
      </c>
    </row>
    <row r="4308" spans="1:10" ht="15.75" hidden="1" thickBot="1" x14ac:dyDescent="0.3">
      <c r="A4308" s="180" t="s">
        <v>1391</v>
      </c>
      <c r="B4308" s="186" t="str">
        <f>INDEX(Orçamentária!A:B,MATCH(Composições!A4308,Orçamentária!A:A,0),2)</f>
        <v>Cumeeira TIPO SHED para telha de fibrocimento ondulada - espessura 6 mm</v>
      </c>
      <c r="C4308" s="41"/>
      <c r="D4308" s="26" t="str">
        <f>TRIM(INDEX(Orçamentária!C:C,MATCH(Composições!A4308,Orçamentária!A:A,0),1))</f>
        <v>m</v>
      </c>
      <c r="E4308" s="27"/>
      <c r="F4308" s="49" t="s">
        <v>558</v>
      </c>
      <c r="G4308" s="28" t="str">
        <f>IF(ISNUMBER(F4308),E4308*F4308,"")</f>
        <v/>
      </c>
      <c r="H4308" s="29"/>
      <c r="I4308" s="30"/>
      <c r="J4308" s="155">
        <v>0</v>
      </c>
    </row>
    <row r="4309" spans="1:10" ht="15.75" hidden="1" thickBot="1" x14ac:dyDescent="0.3">
      <c r="A4309" s="181"/>
      <c r="B4309" s="202"/>
      <c r="C4309" s="32"/>
      <c r="D4309" s="32"/>
      <c r="E4309" s="33"/>
      <c r="F4309" s="54" t="s">
        <v>558</v>
      </c>
      <c r="G4309" s="54" t="str">
        <f>IF(ISNUMBER(F4309),E4309*F4309,"")</f>
        <v/>
      </c>
      <c r="H4309" s="73"/>
      <c r="I4309" s="74"/>
      <c r="J4309" s="155">
        <v>0</v>
      </c>
    </row>
    <row r="4310" spans="1:10" ht="39" hidden="1" thickBot="1" x14ac:dyDescent="0.3">
      <c r="A4310" s="181"/>
      <c r="B4310" s="202"/>
      <c r="C4310" s="36" t="s">
        <v>1386</v>
      </c>
      <c r="D4310" s="47" t="s">
        <v>779</v>
      </c>
      <c r="E4310" s="37">
        <v>4.2</v>
      </c>
      <c r="F4310" s="54">
        <v>0.26600000000000001</v>
      </c>
      <c r="G4310" s="54">
        <f>IF(ISNUMBER(F4310),E4310*F4310,"")</f>
        <v>1.1172000000000002</v>
      </c>
      <c r="H4310" s="39">
        <f>SUM(G4310:G4316)</f>
        <v>55.430826099999997</v>
      </c>
      <c r="I4310" s="40"/>
      <c r="J4310" s="155">
        <v>0</v>
      </c>
    </row>
    <row r="4311" spans="1:10" ht="26.25" hidden="1" thickBot="1" x14ac:dyDescent="0.3">
      <c r="A4311" s="181"/>
      <c r="B4311" s="202"/>
      <c r="C4311" s="36" t="s">
        <v>1387</v>
      </c>
      <c r="D4311" s="36" t="s">
        <v>292</v>
      </c>
      <c r="E4311" s="37">
        <v>4.2</v>
      </c>
      <c r="F4311" s="54">
        <v>4.0659999999999998</v>
      </c>
      <c r="G4311" s="54">
        <f>IF(ISNUMBER(F4311),E4311*F4311,"")</f>
        <v>17.077200000000001</v>
      </c>
      <c r="H4311" s="73"/>
      <c r="I4311" s="74"/>
      <c r="J4311" s="155">
        <v>0</v>
      </c>
    </row>
    <row r="4312" spans="1:10" ht="26.25" hidden="1" thickBot="1" x14ac:dyDescent="0.3">
      <c r="A4312" s="181"/>
      <c r="B4312" s="202"/>
      <c r="C4312" s="36" t="s">
        <v>1392</v>
      </c>
      <c r="D4312" s="36" t="s">
        <v>292</v>
      </c>
      <c r="E4312" s="37">
        <v>1.0289999999999999</v>
      </c>
      <c r="F4312" s="54">
        <v>34.256999999999998</v>
      </c>
      <c r="G4312" s="54">
        <f>IF(ISNUMBER(F4312),E4312*F4312,"")</f>
        <v>35.250452999999993</v>
      </c>
      <c r="H4312" s="73"/>
      <c r="I4312" s="74"/>
      <c r="J4312" s="155">
        <v>0</v>
      </c>
    </row>
    <row r="4313" spans="1:10" ht="15.75" hidden="1" thickBot="1" x14ac:dyDescent="0.3">
      <c r="A4313" s="181"/>
      <c r="B4313" s="202"/>
      <c r="C4313" s="36" t="s">
        <v>743</v>
      </c>
      <c r="D4313" s="36" t="s">
        <v>742</v>
      </c>
      <c r="E4313" s="37">
        <v>5.5E-2</v>
      </c>
      <c r="F4313" s="54">
        <v>16.729499999999998</v>
      </c>
      <c r="G4313" s="54">
        <f>IF(ISNUMBER(F4313),E4313*F4313,"")</f>
        <v>0.92012249999999984</v>
      </c>
      <c r="H4313" s="73"/>
      <c r="I4313" s="74"/>
      <c r="J4313" s="155">
        <v>0</v>
      </c>
    </row>
    <row r="4314" spans="1:10" ht="15.75" hidden="1" thickBot="1" x14ac:dyDescent="0.3">
      <c r="A4314" s="181"/>
      <c r="B4314" s="202"/>
      <c r="C4314" s="36" t="s">
        <v>1368</v>
      </c>
      <c r="D4314" s="36" t="s">
        <v>742</v>
      </c>
      <c r="E4314" s="37">
        <v>4.1000000000000002E-2</v>
      </c>
      <c r="F4314" s="54">
        <v>24.025499999999997</v>
      </c>
      <c r="G4314" s="54">
        <f>IF(ISNUMBER(F4314),E4314*F4314,"")</f>
        <v>0.98504549999999991</v>
      </c>
      <c r="H4314" s="73"/>
      <c r="I4314" s="74"/>
      <c r="J4314" s="155">
        <v>0</v>
      </c>
    </row>
    <row r="4315" spans="1:10" ht="26.25" hidden="1" thickBot="1" x14ac:dyDescent="0.3">
      <c r="A4315" s="181"/>
      <c r="B4315" s="202"/>
      <c r="C4315" s="36" t="s">
        <v>1369</v>
      </c>
      <c r="D4315" s="36" t="s">
        <v>982</v>
      </c>
      <c r="E4315" s="37">
        <v>1.8E-3</v>
      </c>
      <c r="F4315" s="54">
        <v>18.819499999999998</v>
      </c>
      <c r="G4315" s="54">
        <f>IF(ISNUMBER(F4315),E4315*F4315,"")</f>
        <v>3.3875099999999998E-2</v>
      </c>
      <c r="H4315" s="73"/>
      <c r="I4315" s="74"/>
      <c r="J4315" s="155">
        <v>0</v>
      </c>
    </row>
    <row r="4316" spans="1:10" ht="26.25" hidden="1" thickBot="1" x14ac:dyDescent="0.3">
      <c r="A4316" s="181"/>
      <c r="B4316" s="202"/>
      <c r="C4316" s="36" t="s">
        <v>1370</v>
      </c>
      <c r="D4316" s="36" t="s">
        <v>984</v>
      </c>
      <c r="E4316" s="37">
        <v>2.5999999999999999E-3</v>
      </c>
      <c r="F4316" s="54">
        <v>18.05</v>
      </c>
      <c r="G4316" s="54">
        <f>IF(ISNUMBER(F4316),E4316*F4316,"")</f>
        <v>4.6929999999999999E-2</v>
      </c>
      <c r="H4316" s="73"/>
      <c r="I4316" s="74"/>
      <c r="J4316" s="155">
        <v>0</v>
      </c>
    </row>
    <row r="4317" spans="1:10" ht="15.75" hidden="1" thickBot="1" x14ac:dyDescent="0.3">
      <c r="A4317" s="182"/>
      <c r="B4317" s="188"/>
      <c r="C4317" s="55"/>
      <c r="D4317" s="55"/>
      <c r="E4317" s="66"/>
      <c r="F4317" s="76" t="s">
        <v>558</v>
      </c>
      <c r="G4317" s="76" t="str">
        <f>IF(ISNUMBER(F4317),E4317*F4317,"")</f>
        <v/>
      </c>
      <c r="H4317" s="77"/>
      <c r="I4317" s="74"/>
      <c r="J4317" s="155">
        <v>0</v>
      </c>
    </row>
    <row r="4318" spans="1:10" ht="15.75" hidden="1" thickBot="1" x14ac:dyDescent="0.3">
      <c r="A4318" s="180" t="s">
        <v>1393</v>
      </c>
      <c r="B4318" s="186" t="str">
        <f>INDEX(Orçamentária!A:B,MATCH(Composições!A4318,Orçamentária!A:A,0),2)</f>
        <v>Telha de fibrocimento - Canalete 49 Eternit</v>
      </c>
      <c r="C4318" s="41"/>
      <c r="D4318" s="26" t="str">
        <f>TRIM(INDEX(Orçamentária!C:C,MATCH(Composições!A4318,Orçamentária!A:A,0),1))</f>
        <v>m2</v>
      </c>
      <c r="E4318" s="27"/>
      <c r="F4318" s="49" t="s">
        <v>558</v>
      </c>
      <c r="G4318" s="28" t="str">
        <f>IF(ISNUMBER(F4318),E4318*F4318,"")</f>
        <v/>
      </c>
      <c r="H4318" s="29"/>
      <c r="I4318" s="30"/>
      <c r="J4318" s="155">
        <v>0</v>
      </c>
    </row>
    <row r="4319" spans="1:10" ht="15.75" hidden="1" thickBot="1" x14ac:dyDescent="0.3">
      <c r="A4319" s="181"/>
      <c r="B4319" s="202"/>
      <c r="C4319" s="32"/>
      <c r="D4319" s="32"/>
      <c r="E4319" s="33"/>
      <c r="F4319" s="54" t="s">
        <v>558</v>
      </c>
      <c r="G4319" s="54" t="str">
        <f>IF(ISNUMBER(F4319),E4319*F4319,"")</f>
        <v/>
      </c>
      <c r="H4319" s="73"/>
      <c r="I4319" s="74"/>
      <c r="J4319" s="155">
        <v>0</v>
      </c>
    </row>
    <row r="4320" spans="1:10" ht="15.75" hidden="1" thickBot="1" x14ac:dyDescent="0.3">
      <c r="A4320" s="181"/>
      <c r="B4320" s="202"/>
      <c r="C4320" s="36" t="s">
        <v>1368</v>
      </c>
      <c r="D4320" s="36" t="s">
        <v>12</v>
      </c>
      <c r="E4320" s="37">
        <v>0.15</v>
      </c>
      <c r="F4320" s="54">
        <v>24.025499999999997</v>
      </c>
      <c r="G4320" s="54">
        <f>IF(ISNUMBER(F4320),E4320*F4320,"")</f>
        <v>3.6038249999999996</v>
      </c>
      <c r="H4320" s="39">
        <f>SUM(G4320:G4324)</f>
        <v>6.113249999999999</v>
      </c>
      <c r="I4320" s="40"/>
      <c r="J4320" s="155">
        <v>0</v>
      </c>
    </row>
    <row r="4321" spans="1:10" ht="15.75" hidden="1" thickBot="1" x14ac:dyDescent="0.3">
      <c r="A4321" s="181"/>
      <c r="B4321" s="202"/>
      <c r="C4321" s="36" t="s">
        <v>743</v>
      </c>
      <c r="D4321" s="36" t="s">
        <v>12</v>
      </c>
      <c r="E4321" s="37">
        <v>0.15</v>
      </c>
      <c r="F4321" s="54">
        <v>16.729499999999998</v>
      </c>
      <c r="G4321" s="54">
        <f>IF(ISNUMBER(F4321),E4321*F4321,"")</f>
        <v>2.5094249999999998</v>
      </c>
      <c r="H4321" s="73"/>
      <c r="I4321" s="74"/>
      <c r="J4321" s="155">
        <v>0</v>
      </c>
    </row>
    <row r="4322" spans="1:10" ht="15.75" hidden="1" thickBot="1" x14ac:dyDescent="0.3">
      <c r="A4322" s="181"/>
      <c r="B4322" s="202"/>
      <c r="C4322" s="36" t="s">
        <v>1376</v>
      </c>
      <c r="D4322" s="36" t="s">
        <v>292</v>
      </c>
      <c r="E4322" s="37">
        <v>4.12</v>
      </c>
      <c r="F4322" s="54">
        <v>0</v>
      </c>
      <c r="G4322" s="54">
        <f>IF(ISNUMBER(F4322),E4322*F4322,"")</f>
        <v>0</v>
      </c>
      <c r="H4322" s="73"/>
      <c r="I4322" s="74"/>
      <c r="J4322" s="155">
        <v>0</v>
      </c>
    </row>
    <row r="4323" spans="1:10" ht="15.75" hidden="1" thickBot="1" x14ac:dyDescent="0.3">
      <c r="A4323" s="181"/>
      <c r="B4323" s="202"/>
      <c r="C4323" s="36" t="s">
        <v>3622</v>
      </c>
      <c r="D4323" s="36" t="s">
        <v>95</v>
      </c>
      <c r="E4323" s="37">
        <v>1.06</v>
      </c>
      <c r="F4323" s="54">
        <v>0</v>
      </c>
      <c r="G4323" s="54">
        <f>IF(ISNUMBER(F4323),E4323*F4323,"")</f>
        <v>0</v>
      </c>
      <c r="H4323" s="73"/>
      <c r="I4323" s="74"/>
      <c r="J4323" s="155">
        <v>0</v>
      </c>
    </row>
    <row r="4324" spans="1:10" ht="15.75" hidden="1" thickBot="1" x14ac:dyDescent="0.3">
      <c r="A4324" s="181"/>
      <c r="B4324" s="202"/>
      <c r="C4324" s="36" t="s">
        <v>1394</v>
      </c>
      <c r="D4324" s="36" t="s">
        <v>292</v>
      </c>
      <c r="E4324" s="37">
        <v>4.12</v>
      </c>
      <c r="F4324" s="54">
        <v>0</v>
      </c>
      <c r="G4324" s="54">
        <f>IF(ISNUMBER(F4324),E4324*F4324,"")</f>
        <v>0</v>
      </c>
      <c r="H4324" s="73"/>
      <c r="I4324" s="74"/>
      <c r="J4324" s="155">
        <v>0</v>
      </c>
    </row>
    <row r="4325" spans="1:10" ht="15.75" hidden="1" thickBot="1" x14ac:dyDescent="0.3">
      <c r="A4325" s="182"/>
      <c r="B4325" s="188"/>
      <c r="C4325" s="55"/>
      <c r="D4325" s="55"/>
      <c r="E4325" s="66"/>
      <c r="F4325" s="76" t="s">
        <v>558</v>
      </c>
      <c r="G4325" s="76" t="str">
        <f>IF(ISNUMBER(F4325),E4325*F4325,"")</f>
        <v/>
      </c>
      <c r="H4325" s="77"/>
      <c r="I4325" s="74"/>
      <c r="J4325" s="155">
        <v>0</v>
      </c>
    </row>
    <row r="4326" spans="1:10" ht="15.75" hidden="1" thickBot="1" x14ac:dyDescent="0.3">
      <c r="A4326" s="204" t="s">
        <v>1395</v>
      </c>
      <c r="B4326" s="183" t="str">
        <f>INDEX(Orçamentária!A:B,MATCH(Composições!A4326,Orçamentária!A:A,0),2)</f>
        <v>Escada tipo marinheiro COM proteção</v>
      </c>
      <c r="C4326" s="41"/>
      <c r="D4326" s="26" t="str">
        <f>TRIM(INDEX(Orçamentária!C:C,MATCH(Composições!A4326,Orçamentária!A:A,0),1))</f>
        <v>m</v>
      </c>
      <c r="E4326" s="27"/>
      <c r="F4326" s="49" t="s">
        <v>558</v>
      </c>
      <c r="G4326" s="28" t="str">
        <f>IF(ISNUMBER(F4326),E4326*F4326,"")</f>
        <v/>
      </c>
      <c r="H4326" s="29"/>
      <c r="I4326" s="30"/>
      <c r="J4326" s="155">
        <v>0</v>
      </c>
    </row>
    <row r="4327" spans="1:10" ht="15.75" hidden="1" thickBot="1" x14ac:dyDescent="0.3">
      <c r="A4327" s="205"/>
      <c r="B4327" s="207"/>
      <c r="C4327" s="32"/>
      <c r="D4327" s="32"/>
      <c r="E4327" s="33"/>
      <c r="F4327" s="54" t="s">
        <v>558</v>
      </c>
      <c r="G4327" s="54" t="str">
        <f>IF(ISNUMBER(F4327),E4327*F4327,"")</f>
        <v/>
      </c>
      <c r="H4327" s="73"/>
      <c r="I4327" s="74"/>
      <c r="J4327" s="155">
        <v>0</v>
      </c>
    </row>
    <row r="4328" spans="1:10" ht="15.75" hidden="1" thickBot="1" x14ac:dyDescent="0.3">
      <c r="A4328" s="205"/>
      <c r="B4328" s="207"/>
      <c r="C4328" s="36" t="s">
        <v>810</v>
      </c>
      <c r="D4328" s="47" t="s">
        <v>938</v>
      </c>
      <c r="E4328" s="37">
        <v>2.8</v>
      </c>
      <c r="F4328" s="54">
        <v>11.561499999999999</v>
      </c>
      <c r="G4328" s="54">
        <f>IF(ISNUMBER(F4328),E4328*F4328,"")</f>
        <v>32.372199999999992</v>
      </c>
      <c r="H4328" s="39">
        <f>SUM(G4328:G4336)</f>
        <v>267.47482725751718</v>
      </c>
      <c r="I4328" s="40"/>
      <c r="J4328" s="155">
        <v>0</v>
      </c>
    </row>
    <row r="4329" spans="1:10" ht="15.75" hidden="1" thickBot="1" x14ac:dyDescent="0.3">
      <c r="A4329" s="205"/>
      <c r="B4329" s="207"/>
      <c r="C4329" s="36" t="s">
        <v>1396</v>
      </c>
      <c r="D4329" s="36" t="s">
        <v>103</v>
      </c>
      <c r="E4329" s="37">
        <v>2.5000000000000001E-2</v>
      </c>
      <c r="F4329" s="54">
        <v>29.164999999999999</v>
      </c>
      <c r="G4329" s="54">
        <f>IF(ISNUMBER(F4329),E4329*F4329,"")</f>
        <v>0.72912500000000002</v>
      </c>
      <c r="H4329" s="73"/>
      <c r="I4329" s="74"/>
      <c r="J4329" s="155">
        <v>0</v>
      </c>
    </row>
    <row r="4330" spans="1:10" ht="15.75" hidden="1" thickBot="1" x14ac:dyDescent="0.3">
      <c r="A4330" s="205"/>
      <c r="B4330" s="207"/>
      <c r="C4330" s="36" t="s">
        <v>941</v>
      </c>
      <c r="D4330" s="36" t="s">
        <v>742</v>
      </c>
      <c r="E4330" s="37">
        <v>0.35</v>
      </c>
      <c r="F4330" s="54">
        <v>22.591000000000001</v>
      </c>
      <c r="G4330" s="54">
        <f>IF(ISNUMBER(F4330),E4330*F4330,"")</f>
        <v>7.9068499999999995</v>
      </c>
      <c r="H4330" s="73"/>
      <c r="I4330" s="74"/>
      <c r="J4330" s="155">
        <v>0</v>
      </c>
    </row>
    <row r="4331" spans="1:10" ht="15.75" hidden="1" thickBot="1" x14ac:dyDescent="0.3">
      <c r="A4331" s="205"/>
      <c r="B4331" s="207"/>
      <c r="C4331" s="36" t="s">
        <v>750</v>
      </c>
      <c r="D4331" s="36" t="s">
        <v>742</v>
      </c>
      <c r="E4331" s="37">
        <v>1.1000000000000001</v>
      </c>
      <c r="F4331" s="54">
        <v>22.704999999999998</v>
      </c>
      <c r="G4331" s="54">
        <f>IF(ISNUMBER(F4331),E4331*F4331,"")</f>
        <v>24.9755</v>
      </c>
      <c r="H4331" s="73"/>
      <c r="I4331" s="74"/>
      <c r="J4331" s="155">
        <v>0</v>
      </c>
    </row>
    <row r="4332" spans="1:10" ht="15.75" hidden="1" thickBot="1" x14ac:dyDescent="0.3">
      <c r="A4332" s="205"/>
      <c r="B4332" s="207"/>
      <c r="C4332" s="36" t="s">
        <v>743</v>
      </c>
      <c r="D4332" s="36" t="s">
        <v>742</v>
      </c>
      <c r="E4332" s="37">
        <v>1.1299999999999999</v>
      </c>
      <c r="F4332" s="54">
        <v>16.729499999999998</v>
      </c>
      <c r="G4332" s="54">
        <f>IF(ISNUMBER(F4332),E4332*F4332,"")</f>
        <v>18.904334999999996</v>
      </c>
      <c r="H4332" s="73"/>
      <c r="I4332" s="74"/>
      <c r="J4332" s="155">
        <v>0</v>
      </c>
    </row>
    <row r="4333" spans="1:10" ht="26.25" hidden="1" thickBot="1" x14ac:dyDescent="0.3">
      <c r="A4333" s="205"/>
      <c r="B4333" s="207"/>
      <c r="C4333" s="36" t="s">
        <v>109</v>
      </c>
      <c r="D4333" s="36" t="s">
        <v>122</v>
      </c>
      <c r="E4333" s="37">
        <v>3.5000000000000001E-3</v>
      </c>
      <c r="F4333" s="54">
        <v>536.51921643349988</v>
      </c>
      <c r="G4333" s="54">
        <f>IF(ISNUMBER(F4333),E4333*F4333,"")</f>
        <v>1.8778172575172496</v>
      </c>
      <c r="H4333" s="73"/>
      <c r="I4333" s="74"/>
      <c r="J4333" s="155">
        <v>0</v>
      </c>
    </row>
    <row r="4334" spans="1:10" ht="15.75" hidden="1" thickBot="1" x14ac:dyDescent="0.3">
      <c r="A4334" s="205"/>
      <c r="B4334" s="207"/>
      <c r="C4334" s="36" t="s">
        <v>810</v>
      </c>
      <c r="D4334" s="47" t="s">
        <v>938</v>
      </c>
      <c r="E4334" s="37">
        <v>3</v>
      </c>
      <c r="F4334" s="54">
        <v>11.561499999999999</v>
      </c>
      <c r="G4334" s="54">
        <f>IF(ISNUMBER(F4334),E4334*F4334,"")</f>
        <v>34.6845</v>
      </c>
      <c r="H4334" s="73"/>
      <c r="I4334" s="74"/>
      <c r="J4334" s="155">
        <v>0</v>
      </c>
    </row>
    <row r="4335" spans="1:10" ht="26.25" hidden="1" thickBot="1" x14ac:dyDescent="0.3">
      <c r="A4335" s="205"/>
      <c r="B4335" s="207"/>
      <c r="C4335" s="36" t="s">
        <v>133</v>
      </c>
      <c r="D4335" s="47" t="s">
        <v>938</v>
      </c>
      <c r="E4335" s="37">
        <v>15</v>
      </c>
      <c r="F4335" s="54">
        <v>9.1294999999999984</v>
      </c>
      <c r="G4335" s="54">
        <f>IF(ISNUMBER(F4335),E4335*F4335,"")</f>
        <v>136.94249999999997</v>
      </c>
      <c r="H4335" s="73"/>
      <c r="I4335" s="74"/>
      <c r="J4335" s="155">
        <v>0</v>
      </c>
    </row>
    <row r="4336" spans="1:10" ht="15.75" hidden="1" thickBot="1" x14ac:dyDescent="0.3">
      <c r="A4336" s="205"/>
      <c r="B4336" s="207"/>
      <c r="C4336" s="36" t="s">
        <v>750</v>
      </c>
      <c r="D4336" s="36" t="s">
        <v>742</v>
      </c>
      <c r="E4336" s="37">
        <v>0.4</v>
      </c>
      <c r="F4336" s="54">
        <v>22.704999999999998</v>
      </c>
      <c r="G4336" s="54">
        <f>IF(ISNUMBER(F4336),E4336*F4336,"")</f>
        <v>9.081999999999999</v>
      </c>
      <c r="H4336" s="73"/>
      <c r="I4336" s="74"/>
      <c r="J4336" s="155">
        <v>0</v>
      </c>
    </row>
    <row r="4337" spans="1:10" ht="15.75" hidden="1" thickBot="1" x14ac:dyDescent="0.3">
      <c r="A4337" s="206"/>
      <c r="B4337" s="185"/>
      <c r="C4337" s="55"/>
      <c r="D4337" s="55"/>
      <c r="E4337" s="66"/>
      <c r="F4337" s="76" t="s">
        <v>558</v>
      </c>
      <c r="G4337" s="76" t="str">
        <f>IF(ISNUMBER(F4337),E4337*F4337,"")</f>
        <v/>
      </c>
      <c r="H4337" s="77"/>
      <c r="I4337" s="74"/>
      <c r="J4337" s="155">
        <v>0</v>
      </c>
    </row>
    <row r="4338" spans="1:10" ht="15.75" hidden="1" thickBot="1" x14ac:dyDescent="0.3">
      <c r="A4338" s="204" t="s">
        <v>1397</v>
      </c>
      <c r="B4338" s="183" t="str">
        <f>INDEX(Orçamentária!A:B,MATCH(Composições!A4338,Orçamentária!A:A,0),2)</f>
        <v>Escada tipo marinheiro SEM proteção</v>
      </c>
      <c r="C4338" s="41"/>
      <c r="D4338" s="26" t="str">
        <f>TRIM(INDEX(Orçamentária!C:C,MATCH(Composições!A4338,Orçamentária!A:A,0),1))</f>
        <v>m</v>
      </c>
      <c r="E4338" s="27"/>
      <c r="F4338" s="49" t="s">
        <v>558</v>
      </c>
      <c r="G4338" s="28" t="str">
        <f>IF(ISNUMBER(F4338),E4338*F4338,"")</f>
        <v/>
      </c>
      <c r="H4338" s="29"/>
      <c r="I4338" s="30"/>
      <c r="J4338" s="155">
        <v>0</v>
      </c>
    </row>
    <row r="4339" spans="1:10" ht="15.75" hidden="1" thickBot="1" x14ac:dyDescent="0.3">
      <c r="A4339" s="205"/>
      <c r="B4339" s="207"/>
      <c r="C4339" s="32"/>
      <c r="D4339" s="32"/>
      <c r="E4339" s="33"/>
      <c r="F4339" s="54" t="s">
        <v>558</v>
      </c>
      <c r="G4339" s="54" t="str">
        <f>IF(ISNUMBER(F4339),E4339*F4339,"")</f>
        <v/>
      </c>
      <c r="H4339" s="73"/>
      <c r="I4339" s="74"/>
      <c r="J4339" s="155">
        <v>0</v>
      </c>
    </row>
    <row r="4340" spans="1:10" ht="15.75" hidden="1" thickBot="1" x14ac:dyDescent="0.3">
      <c r="A4340" s="205"/>
      <c r="B4340" s="207"/>
      <c r="C4340" s="36" t="s">
        <v>810</v>
      </c>
      <c r="D4340" s="47" t="s">
        <v>938</v>
      </c>
      <c r="E4340" s="37">
        <v>2.8</v>
      </c>
      <c r="F4340" s="54">
        <v>11.561499999999999</v>
      </c>
      <c r="G4340" s="54">
        <f>IF(ISNUMBER(F4340),E4340*F4340,"")</f>
        <v>32.372199999999992</v>
      </c>
      <c r="H4340" s="39">
        <f>SUM(G4340:G4348)</f>
        <v>132.52347951503447</v>
      </c>
      <c r="I4340" s="40"/>
      <c r="J4340" s="155">
        <v>0</v>
      </c>
    </row>
    <row r="4341" spans="1:10" ht="15.75" hidden="1" thickBot="1" x14ac:dyDescent="0.3">
      <c r="A4341" s="205"/>
      <c r="B4341" s="207"/>
      <c r="C4341" s="36" t="s">
        <v>1396</v>
      </c>
      <c r="D4341" s="36" t="s">
        <v>103</v>
      </c>
      <c r="E4341" s="37">
        <v>2.5000000000000001E-2</v>
      </c>
      <c r="F4341" s="54">
        <v>29.164999999999999</v>
      </c>
      <c r="G4341" s="54">
        <f>IF(ISNUMBER(F4341),E4341*F4341,"")</f>
        <v>0.72912500000000002</v>
      </c>
      <c r="H4341" s="73"/>
      <c r="I4341" s="74"/>
      <c r="J4341" s="155">
        <v>0</v>
      </c>
    </row>
    <row r="4342" spans="1:10" ht="15.75" hidden="1" thickBot="1" x14ac:dyDescent="0.3">
      <c r="A4342" s="205"/>
      <c r="B4342" s="207"/>
      <c r="C4342" s="36" t="s">
        <v>941</v>
      </c>
      <c r="D4342" s="36" t="s">
        <v>742</v>
      </c>
      <c r="E4342" s="37">
        <v>0.35</v>
      </c>
      <c r="F4342" s="54">
        <v>22.591000000000001</v>
      </c>
      <c r="G4342" s="54">
        <f>IF(ISNUMBER(F4342),E4342*F4342,"")</f>
        <v>7.9068499999999995</v>
      </c>
      <c r="H4342" s="73"/>
      <c r="I4342" s="74"/>
      <c r="J4342" s="155">
        <v>0</v>
      </c>
    </row>
    <row r="4343" spans="1:10" ht="15.75" hidden="1" thickBot="1" x14ac:dyDescent="0.3">
      <c r="A4343" s="205"/>
      <c r="B4343" s="207"/>
      <c r="C4343" s="36" t="s">
        <v>750</v>
      </c>
      <c r="D4343" s="36" t="s">
        <v>742</v>
      </c>
      <c r="E4343" s="37">
        <v>1.1000000000000001</v>
      </c>
      <c r="F4343" s="54">
        <v>22.704999999999998</v>
      </c>
      <c r="G4343" s="54">
        <f>IF(ISNUMBER(F4343),E4343*F4343,"")</f>
        <v>24.9755</v>
      </c>
      <c r="H4343" s="73"/>
      <c r="I4343" s="74"/>
      <c r="J4343" s="155">
        <v>0</v>
      </c>
    </row>
    <row r="4344" spans="1:10" ht="15.75" hidden="1" thickBot="1" x14ac:dyDescent="0.3">
      <c r="A4344" s="205"/>
      <c r="B4344" s="207"/>
      <c r="C4344" s="36" t="s">
        <v>743</v>
      </c>
      <c r="D4344" s="36" t="s">
        <v>742</v>
      </c>
      <c r="E4344" s="37">
        <v>1.1299999999999999</v>
      </c>
      <c r="F4344" s="54">
        <v>16.729499999999998</v>
      </c>
      <c r="G4344" s="54">
        <f>IF(ISNUMBER(F4344),E4344*F4344,"")</f>
        <v>18.904334999999996</v>
      </c>
      <c r="H4344" s="73"/>
      <c r="I4344" s="74"/>
      <c r="J4344" s="155">
        <v>0</v>
      </c>
    </row>
    <row r="4345" spans="1:10" ht="26.25" hidden="1" thickBot="1" x14ac:dyDescent="0.3">
      <c r="A4345" s="205"/>
      <c r="B4345" s="207"/>
      <c r="C4345" s="36" t="s">
        <v>109</v>
      </c>
      <c r="D4345" s="36" t="s">
        <v>122</v>
      </c>
      <c r="E4345" s="37">
        <v>3.5000000000000001E-3</v>
      </c>
      <c r="F4345" s="54">
        <v>536.51921643349988</v>
      </c>
      <c r="G4345" s="54">
        <f>IF(ISNUMBER(F4345),E4345*F4345,"")</f>
        <v>1.8778172575172496</v>
      </c>
      <c r="H4345" s="73"/>
      <c r="I4345" s="74"/>
      <c r="J4345" s="155">
        <v>0</v>
      </c>
    </row>
    <row r="4346" spans="1:10" ht="15.75" hidden="1" thickBot="1" x14ac:dyDescent="0.3">
      <c r="A4346" s="205"/>
      <c r="B4346" s="207"/>
      <c r="C4346" s="36" t="s">
        <v>750</v>
      </c>
      <c r="D4346" s="36" t="s">
        <v>742</v>
      </c>
      <c r="E4346" s="37">
        <v>1.1000000000000001</v>
      </c>
      <c r="F4346" s="54">
        <v>22.704999999999998</v>
      </c>
      <c r="G4346" s="54">
        <f>IF(ISNUMBER(F4346),E4346*F4346,"")</f>
        <v>24.9755</v>
      </c>
      <c r="H4346" s="73"/>
      <c r="I4346" s="74"/>
      <c r="J4346" s="155">
        <v>0</v>
      </c>
    </row>
    <row r="4347" spans="1:10" ht="15.75" hidden="1" thickBot="1" x14ac:dyDescent="0.3">
      <c r="A4347" s="205"/>
      <c r="B4347" s="207"/>
      <c r="C4347" s="36" t="s">
        <v>743</v>
      </c>
      <c r="D4347" s="36" t="s">
        <v>742</v>
      </c>
      <c r="E4347" s="37">
        <v>1.1299999999999999</v>
      </c>
      <c r="F4347" s="54">
        <v>16.729499999999998</v>
      </c>
      <c r="G4347" s="54">
        <f>IF(ISNUMBER(F4347),E4347*F4347,"")</f>
        <v>18.904334999999996</v>
      </c>
      <c r="H4347" s="73"/>
      <c r="I4347" s="74"/>
      <c r="J4347" s="155">
        <v>0</v>
      </c>
    </row>
    <row r="4348" spans="1:10" ht="26.25" hidden="1" thickBot="1" x14ac:dyDescent="0.3">
      <c r="A4348" s="205"/>
      <c r="B4348" s="207"/>
      <c r="C4348" s="36" t="s">
        <v>109</v>
      </c>
      <c r="D4348" s="36" t="s">
        <v>122</v>
      </c>
      <c r="E4348" s="37">
        <v>3.5000000000000001E-3</v>
      </c>
      <c r="F4348" s="54">
        <v>536.51921643349988</v>
      </c>
      <c r="G4348" s="54">
        <f>IF(ISNUMBER(F4348),E4348*F4348,"")</f>
        <v>1.8778172575172496</v>
      </c>
      <c r="H4348" s="73"/>
      <c r="I4348" s="74"/>
      <c r="J4348" s="155">
        <v>0</v>
      </c>
    </row>
    <row r="4349" spans="1:10" ht="15.75" hidden="1" thickBot="1" x14ac:dyDescent="0.3">
      <c r="A4349" s="206"/>
      <c r="B4349" s="185"/>
      <c r="C4349" s="55"/>
      <c r="D4349" s="55"/>
      <c r="E4349" s="66"/>
      <c r="F4349" s="76" t="s">
        <v>558</v>
      </c>
      <c r="G4349" s="76" t="str">
        <f>IF(ISNUMBER(F4349),E4349*F4349,"")</f>
        <v/>
      </c>
      <c r="H4349" s="77"/>
      <c r="I4349" s="74"/>
      <c r="J4349" s="155">
        <v>0</v>
      </c>
    </row>
    <row r="4350" spans="1:10" ht="15.75" hidden="1" thickBot="1" x14ac:dyDescent="0.3">
      <c r="A4350" s="180" t="s">
        <v>1398</v>
      </c>
      <c r="B4350" s="186" t="str">
        <f>INDEX(Orçamentária!A:B,MATCH(Composições!A4350,Orçamentária!A:A,0),2)</f>
        <v>Limpeza e Preparação do Substrato para Impermeabilização</v>
      </c>
      <c r="C4350" s="41"/>
      <c r="D4350" s="26" t="str">
        <f>TRIM(INDEX(Orçamentária!C:C,MATCH(Composições!A4350,Orçamentária!A:A,0),1))</f>
        <v>m2</v>
      </c>
      <c r="E4350" s="27"/>
      <c r="F4350" s="49" t="s">
        <v>558</v>
      </c>
      <c r="G4350" s="28" t="str">
        <f>IF(ISNUMBER(F4350),E4350*F4350,"")</f>
        <v/>
      </c>
      <c r="H4350" s="29"/>
      <c r="I4350" s="30"/>
      <c r="J4350" s="155">
        <v>0</v>
      </c>
    </row>
    <row r="4351" spans="1:10" ht="15.75" hidden="1" thickBot="1" x14ac:dyDescent="0.3">
      <c r="A4351" s="181"/>
      <c r="B4351" s="202"/>
      <c r="C4351" s="32"/>
      <c r="D4351" s="32"/>
      <c r="E4351" s="33"/>
      <c r="F4351" s="54" t="s">
        <v>558</v>
      </c>
      <c r="G4351" s="54" t="str">
        <f>IF(ISNUMBER(F4351),E4351*F4351,"")</f>
        <v/>
      </c>
      <c r="H4351" s="73"/>
      <c r="I4351" s="74"/>
      <c r="J4351" s="155">
        <v>0</v>
      </c>
    </row>
    <row r="4352" spans="1:10" ht="15.75" hidden="1" thickBot="1" x14ac:dyDescent="0.3">
      <c r="A4352" s="181"/>
      <c r="B4352" s="202"/>
      <c r="C4352" s="36" t="s">
        <v>743</v>
      </c>
      <c r="D4352" s="36" t="s">
        <v>12</v>
      </c>
      <c r="E4352" s="37">
        <v>0.11</v>
      </c>
      <c r="F4352" s="54">
        <v>16.729499999999998</v>
      </c>
      <c r="G4352" s="54">
        <f>IF(ISNUMBER(F4352),E4352*F4352,"")</f>
        <v>1.8402449999999997</v>
      </c>
      <c r="H4352" s="39">
        <f>SUM(G4352:G4354)</f>
        <v>1.8402449999999997</v>
      </c>
      <c r="I4352" s="40"/>
      <c r="J4352" s="155">
        <v>0</v>
      </c>
    </row>
    <row r="4353" spans="1:10" ht="15.75" hidden="1" thickBot="1" x14ac:dyDescent="0.3">
      <c r="A4353" s="181"/>
      <c r="B4353" s="202"/>
      <c r="C4353" s="36" t="s">
        <v>1399</v>
      </c>
      <c r="D4353" s="36" t="s">
        <v>1400</v>
      </c>
      <c r="E4353" s="37">
        <v>0.22</v>
      </c>
      <c r="F4353" s="54">
        <v>0</v>
      </c>
      <c r="G4353" s="54">
        <f>IF(ISNUMBER(F4353),E4353*F4353,"")</f>
        <v>0</v>
      </c>
      <c r="H4353" s="73"/>
      <c r="I4353" s="74"/>
      <c r="J4353" s="155">
        <v>0</v>
      </c>
    </row>
    <row r="4354" spans="1:10" ht="15.75" hidden="1" thickBot="1" x14ac:dyDescent="0.3">
      <c r="A4354" s="181"/>
      <c r="B4354" s="202"/>
      <c r="C4354" s="36" t="s">
        <v>1401</v>
      </c>
      <c r="D4354" s="36" t="s">
        <v>103</v>
      </c>
      <c r="E4354" s="37">
        <v>0.4</v>
      </c>
      <c r="F4354" s="54">
        <v>0</v>
      </c>
      <c r="G4354" s="54">
        <f>IF(ISNUMBER(F4354),E4354*F4354,"")</f>
        <v>0</v>
      </c>
      <c r="H4354" s="73"/>
      <c r="I4354" s="74"/>
      <c r="J4354" s="155">
        <v>0</v>
      </c>
    </row>
    <row r="4355" spans="1:10" ht="15.75" hidden="1" thickBot="1" x14ac:dyDescent="0.3">
      <c r="A4355" s="182"/>
      <c r="B4355" s="188"/>
      <c r="C4355" s="55"/>
      <c r="D4355" s="55"/>
      <c r="E4355" s="66"/>
      <c r="F4355" s="76" t="s">
        <v>558</v>
      </c>
      <c r="G4355" s="76" t="str">
        <f>IF(ISNUMBER(F4355),E4355*F4355,"")</f>
        <v/>
      </c>
      <c r="H4355" s="77"/>
      <c r="I4355" s="74"/>
      <c r="J4355" s="155">
        <v>0</v>
      </c>
    </row>
    <row r="4356" spans="1:10" ht="15.75" hidden="1" thickBot="1" x14ac:dyDescent="0.3">
      <c r="A4356" s="180" t="s">
        <v>1402</v>
      </c>
      <c r="B4356" s="186" t="str">
        <f>INDEX(Orçamentária!A:B,MATCH(Composições!A4356,Orçamentária!A:A,0),2)</f>
        <v>Substituição de Coletores de Águas Pluviais</v>
      </c>
      <c r="C4356" s="41"/>
      <c r="D4356" s="26" t="str">
        <f>TRIM(INDEX(Orçamentária!C:C,MATCH(Composições!A4356,Orçamentária!A:A,0),1))</f>
        <v>un</v>
      </c>
      <c r="E4356" s="27"/>
      <c r="F4356" s="49" t="s">
        <v>558</v>
      </c>
      <c r="G4356" s="28" t="str">
        <f>IF(ISNUMBER(F4356),E4356*F4356,"")</f>
        <v/>
      </c>
      <c r="H4356" s="29"/>
      <c r="I4356" s="30"/>
      <c r="J4356" s="155">
        <v>0</v>
      </c>
    </row>
    <row r="4357" spans="1:10" ht="15.75" hidden="1" thickBot="1" x14ac:dyDescent="0.3">
      <c r="A4357" s="181"/>
      <c r="B4357" s="202"/>
      <c r="C4357" s="32"/>
      <c r="D4357" s="32"/>
      <c r="E4357" s="33"/>
      <c r="F4357" s="54" t="s">
        <v>558</v>
      </c>
      <c r="G4357" s="54" t="str">
        <f>IF(ISNUMBER(F4357),E4357*F4357,"")</f>
        <v/>
      </c>
      <c r="H4357" s="73"/>
      <c r="I4357" s="74"/>
      <c r="J4357" s="155">
        <v>0</v>
      </c>
    </row>
    <row r="4358" spans="1:10" ht="26.25" hidden="1" thickBot="1" x14ac:dyDescent="0.3">
      <c r="A4358" s="181"/>
      <c r="B4358" s="202"/>
      <c r="C4358" s="36" t="s">
        <v>1403</v>
      </c>
      <c r="D4358" s="47" t="s">
        <v>292</v>
      </c>
      <c r="E4358" s="37">
        <v>1</v>
      </c>
      <c r="F4358" s="54">
        <v>11.494999999999999</v>
      </c>
      <c r="G4358" s="54">
        <f>IF(ISNUMBER(F4358),E4358*F4358,"")</f>
        <v>11.494999999999999</v>
      </c>
      <c r="H4358" s="39">
        <f>SUM(G4358:G4372)</f>
        <v>214.20985604999998</v>
      </c>
      <c r="I4358" s="40"/>
      <c r="J4358" s="155">
        <v>0</v>
      </c>
    </row>
    <row r="4359" spans="1:10" ht="26.25" hidden="1" thickBot="1" x14ac:dyDescent="0.3">
      <c r="A4359" s="181"/>
      <c r="B4359" s="202"/>
      <c r="C4359" s="36" t="s">
        <v>3841</v>
      </c>
      <c r="D4359" s="36" t="s">
        <v>292</v>
      </c>
      <c r="E4359" s="37">
        <v>1</v>
      </c>
      <c r="F4359" s="54">
        <v>45.096499999999999</v>
      </c>
      <c r="G4359" s="54">
        <f>IF(ISNUMBER(F4359),E4359*F4359,"")</f>
        <v>45.096499999999999</v>
      </c>
      <c r="H4359" s="73"/>
      <c r="I4359" s="74"/>
      <c r="J4359" s="155">
        <v>0</v>
      </c>
    </row>
    <row r="4360" spans="1:10" ht="39" hidden="1" thickBot="1" x14ac:dyDescent="0.3">
      <c r="A4360" s="181"/>
      <c r="B4360" s="202"/>
      <c r="C4360" s="36" t="s">
        <v>1404</v>
      </c>
      <c r="D4360" s="36" t="s">
        <v>292</v>
      </c>
      <c r="E4360" s="37">
        <v>7.0000000000000007E-2</v>
      </c>
      <c r="F4360" s="54">
        <v>27.645</v>
      </c>
      <c r="G4360" s="54">
        <f>IF(ISNUMBER(F4360),E4360*F4360,"")</f>
        <v>1.9351500000000001</v>
      </c>
      <c r="H4360" s="73"/>
      <c r="I4360" s="74"/>
      <c r="J4360" s="155">
        <v>0</v>
      </c>
    </row>
    <row r="4361" spans="1:10" ht="26.25" hidden="1" thickBot="1" x14ac:dyDescent="0.3">
      <c r="A4361" s="181"/>
      <c r="B4361" s="202"/>
      <c r="C4361" s="36" t="s">
        <v>993</v>
      </c>
      <c r="D4361" s="36" t="s">
        <v>742</v>
      </c>
      <c r="E4361" s="37">
        <v>0.11</v>
      </c>
      <c r="F4361" s="54">
        <v>17.3185</v>
      </c>
      <c r="G4361" s="54">
        <f>IF(ISNUMBER(F4361),E4361*F4361,"")</f>
        <v>1.905035</v>
      </c>
      <c r="H4361" s="73"/>
      <c r="I4361" s="74"/>
      <c r="J4361" s="155">
        <v>0</v>
      </c>
    </row>
    <row r="4362" spans="1:10" ht="26.25" hidden="1" thickBot="1" x14ac:dyDescent="0.3">
      <c r="A4362" s="181"/>
      <c r="B4362" s="202"/>
      <c r="C4362" s="36" t="s">
        <v>994</v>
      </c>
      <c r="D4362" s="36" t="s">
        <v>742</v>
      </c>
      <c r="E4362" s="37">
        <v>0.11</v>
      </c>
      <c r="F4362" s="54">
        <v>22.2395</v>
      </c>
      <c r="G4362" s="54">
        <f>IF(ISNUMBER(F4362),E4362*F4362,"")</f>
        <v>2.446345</v>
      </c>
      <c r="H4362" s="73"/>
      <c r="I4362" s="74"/>
      <c r="J4362" s="155">
        <v>0</v>
      </c>
    </row>
    <row r="4363" spans="1:10" ht="15.75" hidden="1" thickBot="1" x14ac:dyDescent="0.3">
      <c r="A4363" s="181"/>
      <c r="B4363" s="202"/>
      <c r="C4363" s="36" t="s">
        <v>1405</v>
      </c>
      <c r="D4363" s="36" t="s">
        <v>292</v>
      </c>
      <c r="E4363" s="37">
        <v>6.1999999999999998E-3</v>
      </c>
      <c r="F4363" s="54">
        <v>75.515499999999989</v>
      </c>
      <c r="G4363" s="54">
        <f>IF(ISNUMBER(F4363),E4363*F4363,"")</f>
        <v>0.46819609999999989</v>
      </c>
      <c r="H4363" s="73"/>
      <c r="I4363" s="74"/>
      <c r="J4363" s="155">
        <v>0</v>
      </c>
    </row>
    <row r="4364" spans="1:10" ht="26.25" hidden="1" thickBot="1" x14ac:dyDescent="0.3">
      <c r="A4364" s="181"/>
      <c r="B4364" s="202"/>
      <c r="C4364" s="36" t="s">
        <v>3847</v>
      </c>
      <c r="D4364" s="36" t="s">
        <v>513</v>
      </c>
      <c r="E4364" s="37">
        <f>1.04/2</f>
        <v>0.52</v>
      </c>
      <c r="F4364" s="54">
        <v>65.853999999999985</v>
      </c>
      <c r="G4364" s="54">
        <f>IF(ISNUMBER(F4364),E4364*F4364,"")</f>
        <v>34.244079999999997</v>
      </c>
      <c r="H4364" s="73"/>
      <c r="I4364" s="74"/>
      <c r="J4364" s="155">
        <v>0</v>
      </c>
    </row>
    <row r="4365" spans="1:10" ht="15.75" hidden="1" thickBot="1" x14ac:dyDescent="0.3">
      <c r="A4365" s="181"/>
      <c r="B4365" s="202"/>
      <c r="C4365" s="36" t="s">
        <v>1406</v>
      </c>
      <c r="D4365" s="36" t="s">
        <v>292</v>
      </c>
      <c r="E4365" s="37">
        <v>1.0200000000000001E-2</v>
      </c>
      <c r="F4365" s="54">
        <v>65.578499999999991</v>
      </c>
      <c r="G4365" s="54">
        <f>IF(ISNUMBER(F4365),E4365*F4365,"")</f>
        <v>0.6689006999999999</v>
      </c>
      <c r="H4365" s="73"/>
      <c r="I4365" s="74"/>
      <c r="J4365" s="155">
        <v>0</v>
      </c>
    </row>
    <row r="4366" spans="1:10" ht="15.75" hidden="1" thickBot="1" x14ac:dyDescent="0.3">
      <c r="A4366" s="181"/>
      <c r="B4366" s="202"/>
      <c r="C4366" s="36" t="s">
        <v>1248</v>
      </c>
      <c r="D4366" s="36" t="s">
        <v>292</v>
      </c>
      <c r="E4366" s="37">
        <v>3.6999999999999998E-2</v>
      </c>
      <c r="F4366" s="54">
        <v>2.09</v>
      </c>
      <c r="G4366" s="54">
        <f>IF(ISNUMBER(F4366),E4366*F4366,"")</f>
        <v>7.7329999999999996E-2</v>
      </c>
      <c r="H4366" s="73"/>
      <c r="I4366" s="74"/>
      <c r="J4366" s="155">
        <v>0</v>
      </c>
    </row>
    <row r="4367" spans="1:10" ht="26.25" hidden="1" thickBot="1" x14ac:dyDescent="0.3">
      <c r="A4367" s="181"/>
      <c r="B4367" s="202"/>
      <c r="C4367" s="36" t="s">
        <v>993</v>
      </c>
      <c r="D4367" s="36" t="s">
        <v>742</v>
      </c>
      <c r="E4367" s="37">
        <v>0.18</v>
      </c>
      <c r="F4367" s="54">
        <v>17.3185</v>
      </c>
      <c r="G4367" s="54">
        <f>IF(ISNUMBER(F4367),E4367*F4367,"")</f>
        <v>3.1173299999999999</v>
      </c>
      <c r="H4367" s="73"/>
      <c r="I4367" s="74"/>
      <c r="J4367" s="155">
        <v>0</v>
      </c>
    </row>
    <row r="4368" spans="1:10" ht="26.25" hidden="1" thickBot="1" x14ac:dyDescent="0.3">
      <c r="A4368" s="181"/>
      <c r="B4368" s="202"/>
      <c r="C4368" s="36" t="s">
        <v>994</v>
      </c>
      <c r="D4368" s="36" t="s">
        <v>742</v>
      </c>
      <c r="E4368" s="37">
        <v>0.18</v>
      </c>
      <c r="F4368" s="54">
        <v>22.2395</v>
      </c>
      <c r="G4368" s="54">
        <f>IF(ISNUMBER(F4368),E4368*F4368,"")</f>
        <v>4.0031099999999995</v>
      </c>
      <c r="H4368" s="73"/>
      <c r="I4368" s="74"/>
      <c r="J4368" s="155">
        <v>0</v>
      </c>
    </row>
    <row r="4369" spans="1:10" ht="15.75" hidden="1" thickBot="1" x14ac:dyDescent="0.3">
      <c r="A4369" s="181"/>
      <c r="B4369" s="202"/>
      <c r="C4369" s="36" t="s">
        <v>750</v>
      </c>
      <c r="D4369" s="47" t="s">
        <v>742</v>
      </c>
      <c r="E4369" s="37">
        <v>1</v>
      </c>
      <c r="F4369" s="54">
        <v>22.704999999999998</v>
      </c>
      <c r="G4369" s="54">
        <f>IF(ISNUMBER(F4369),E4369*F4369,"")</f>
        <v>22.704999999999998</v>
      </c>
      <c r="H4369" s="73"/>
      <c r="I4369" s="74"/>
      <c r="J4369" s="155">
        <v>0</v>
      </c>
    </row>
    <row r="4370" spans="1:10" ht="26.25" hidden="1" thickBot="1" x14ac:dyDescent="0.3">
      <c r="A4370" s="181"/>
      <c r="B4370" s="202"/>
      <c r="C4370" s="36" t="s">
        <v>815</v>
      </c>
      <c r="D4370" s="47" t="s">
        <v>938</v>
      </c>
      <c r="E4370" s="37">
        <f>ROUND(1.8*(PI()*(0.25-0.15)*0.1)*10,4)</f>
        <v>0.5655</v>
      </c>
      <c r="F4370" s="54">
        <v>40.403500000000001</v>
      </c>
      <c r="G4370" s="54">
        <f>IF(ISNUMBER(F4370),E4370*F4370,"")</f>
        <v>22.848179250000001</v>
      </c>
      <c r="H4370" s="73"/>
      <c r="I4370" s="74"/>
      <c r="J4370" s="155">
        <v>0</v>
      </c>
    </row>
    <row r="4371" spans="1:10" ht="26.25" hidden="1" thickBot="1" x14ac:dyDescent="0.3">
      <c r="A4371" s="181"/>
      <c r="B4371" s="202"/>
      <c r="C4371" s="36" t="s">
        <v>1105</v>
      </c>
      <c r="D4371" s="37" t="s">
        <v>1106</v>
      </c>
      <c r="E4371" s="37">
        <v>0.2</v>
      </c>
      <c r="F4371" s="54">
        <v>30.570999999999998</v>
      </c>
      <c r="G4371" s="54">
        <f>IF(ISNUMBER(F4371),E4371*F4371,"")</f>
        <v>6.1142000000000003</v>
      </c>
      <c r="H4371" s="73"/>
      <c r="I4371" s="74"/>
      <c r="J4371" s="155">
        <v>0</v>
      </c>
    </row>
    <row r="4372" spans="1:10" ht="15.75" hidden="1" thickBot="1" x14ac:dyDescent="0.3">
      <c r="A4372" s="181"/>
      <c r="B4372" s="202"/>
      <c r="C4372" s="36" t="s">
        <v>1407</v>
      </c>
      <c r="D4372" s="36" t="s">
        <v>292</v>
      </c>
      <c r="E4372" s="37">
        <v>1</v>
      </c>
      <c r="F4372" s="54">
        <v>57.085500000000003</v>
      </c>
      <c r="G4372" s="54">
        <f>IF(ISNUMBER(F4372),E4372*F4372,"")</f>
        <v>57.085500000000003</v>
      </c>
      <c r="H4372" s="73"/>
      <c r="I4372" s="74"/>
      <c r="J4372" s="155">
        <v>0</v>
      </c>
    </row>
    <row r="4373" spans="1:10" ht="15.75" hidden="1" thickBot="1" x14ac:dyDescent="0.3">
      <c r="A4373" s="181"/>
      <c r="B4373" s="202"/>
      <c r="C4373" s="36"/>
      <c r="D4373" s="36"/>
      <c r="E4373" s="37"/>
      <c r="F4373" s="54"/>
      <c r="G4373" s="54"/>
      <c r="H4373" s="73"/>
      <c r="I4373" s="74"/>
      <c r="J4373" s="155">
        <v>0</v>
      </c>
    </row>
    <row r="4374" spans="1:10" ht="26.25" hidden="1" thickBot="1" x14ac:dyDescent="0.3">
      <c r="A4374" s="181"/>
      <c r="B4374" s="202"/>
      <c r="C4374" s="48" t="s">
        <v>3629</v>
      </c>
      <c r="D4374" s="36"/>
      <c r="E4374" s="37"/>
      <c r="F4374" s="54"/>
      <c r="G4374" s="54"/>
      <c r="H4374" s="73"/>
      <c r="I4374" s="74"/>
      <c r="J4374" s="155">
        <v>0</v>
      </c>
    </row>
    <row r="4375" spans="1:10" ht="15.75" hidden="1" thickBot="1" x14ac:dyDescent="0.3">
      <c r="A4375" s="182"/>
      <c r="B4375" s="188"/>
      <c r="C4375" s="55"/>
      <c r="D4375" s="55"/>
      <c r="E4375" s="66"/>
      <c r="F4375" s="76" t="s">
        <v>558</v>
      </c>
      <c r="G4375" s="76" t="str">
        <f>IF(ISNUMBER(F4375),E4375*F4375,"")</f>
        <v/>
      </c>
      <c r="H4375" s="77"/>
      <c r="I4375" s="74"/>
      <c r="J4375" s="155">
        <v>0</v>
      </c>
    </row>
    <row r="4376" spans="1:10" ht="15.75" hidden="1" thickBot="1" x14ac:dyDescent="0.3">
      <c r="A4376" s="180" t="s">
        <v>1408</v>
      </c>
      <c r="B4376" s="186" t="str">
        <f>INDEX(Orçamentária!A:B,MATCH(Composições!A4376,Orçamentária!A:A,0),2)</f>
        <v>Tratamento de Tubulação Passante para Impermeabilização</v>
      </c>
      <c r="C4376" s="41"/>
      <c r="D4376" s="26" t="str">
        <f>TRIM(INDEX(Orçamentária!C:C,MATCH(Composições!A4376,Orçamentária!A:A,0),1))</f>
        <v>un</v>
      </c>
      <c r="E4376" s="27"/>
      <c r="F4376" s="49" t="s">
        <v>558</v>
      </c>
      <c r="G4376" s="28" t="str">
        <f>IF(ISNUMBER(F4376),E4376*F4376,"")</f>
        <v/>
      </c>
      <c r="H4376" s="29"/>
      <c r="I4376" s="30"/>
      <c r="J4376" s="155">
        <v>0</v>
      </c>
    </row>
    <row r="4377" spans="1:10" ht="15.75" hidden="1" thickBot="1" x14ac:dyDescent="0.3">
      <c r="A4377" s="181"/>
      <c r="B4377" s="202"/>
      <c r="C4377" s="32"/>
      <c r="D4377" s="32"/>
      <c r="E4377" s="33"/>
      <c r="F4377" s="54" t="s">
        <v>558</v>
      </c>
      <c r="G4377" s="54" t="str">
        <f>IF(ISNUMBER(F4377),E4377*F4377,"")</f>
        <v/>
      </c>
      <c r="H4377" s="73"/>
      <c r="I4377" s="74"/>
      <c r="J4377" s="155">
        <v>0</v>
      </c>
    </row>
    <row r="4378" spans="1:10" ht="15.75" hidden="1" thickBot="1" x14ac:dyDescent="0.3">
      <c r="A4378" s="181"/>
      <c r="B4378" s="202"/>
      <c r="C4378" s="36" t="s">
        <v>1056</v>
      </c>
      <c r="D4378" s="36" t="s">
        <v>742</v>
      </c>
      <c r="E4378" s="37">
        <v>0.5</v>
      </c>
      <c r="F4378" s="54">
        <v>22.704999999999998</v>
      </c>
      <c r="G4378" s="54">
        <f>IF(ISNUMBER(F4378),E4378*F4378,"")</f>
        <v>11.352499999999999</v>
      </c>
      <c r="H4378" s="39">
        <f>SUM(G4378:G4380)</f>
        <v>40.314879250000004</v>
      </c>
      <c r="I4378" s="40"/>
      <c r="J4378" s="155">
        <v>0</v>
      </c>
    </row>
    <row r="4379" spans="1:10" ht="26.25" hidden="1" thickBot="1" x14ac:dyDescent="0.3">
      <c r="A4379" s="181"/>
      <c r="B4379" s="202"/>
      <c r="C4379" s="36" t="s">
        <v>815</v>
      </c>
      <c r="D4379" s="47" t="s">
        <v>938</v>
      </c>
      <c r="E4379" s="37">
        <f>ROUND(1.8*(PI()*(0.25-0.15)*0.1)*10,4)</f>
        <v>0.5655</v>
      </c>
      <c r="F4379" s="54">
        <v>40.403500000000001</v>
      </c>
      <c r="G4379" s="54">
        <f>IF(ISNUMBER(F4379),E4379*F4379,"")</f>
        <v>22.848179250000001</v>
      </c>
      <c r="H4379" s="73"/>
      <c r="I4379" s="74"/>
      <c r="J4379" s="155">
        <v>0</v>
      </c>
    </row>
    <row r="4380" spans="1:10" ht="26.25" hidden="1" thickBot="1" x14ac:dyDescent="0.3">
      <c r="A4380" s="181"/>
      <c r="B4380" s="202"/>
      <c r="C4380" s="36" t="s">
        <v>1105</v>
      </c>
      <c r="D4380" s="37" t="s">
        <v>1106</v>
      </c>
      <c r="E4380" s="37">
        <v>0.2</v>
      </c>
      <c r="F4380" s="54">
        <v>30.570999999999998</v>
      </c>
      <c r="G4380" s="54">
        <f>IF(ISNUMBER(F4380),E4380*F4380,"")</f>
        <v>6.1142000000000003</v>
      </c>
      <c r="H4380" s="73"/>
      <c r="I4380" s="74"/>
      <c r="J4380" s="155">
        <v>0</v>
      </c>
    </row>
    <row r="4381" spans="1:10" ht="15.75" hidden="1" thickBot="1" x14ac:dyDescent="0.3">
      <c r="A4381" s="181"/>
      <c r="B4381" s="202"/>
      <c r="C4381" s="36"/>
      <c r="D4381" s="37"/>
      <c r="E4381" s="37"/>
      <c r="F4381" s="54"/>
      <c r="G4381" s="54"/>
      <c r="H4381" s="73"/>
      <c r="I4381" s="74"/>
      <c r="J4381" s="155">
        <v>0</v>
      </c>
    </row>
    <row r="4382" spans="1:10" ht="26.25" hidden="1" thickBot="1" x14ac:dyDescent="0.3">
      <c r="A4382" s="181"/>
      <c r="B4382" s="202"/>
      <c r="C4382" s="48" t="s">
        <v>3629</v>
      </c>
      <c r="D4382" s="37"/>
      <c r="E4382" s="37"/>
      <c r="F4382" s="54"/>
      <c r="G4382" s="54"/>
      <c r="H4382" s="73"/>
      <c r="I4382" s="74"/>
      <c r="J4382" s="155">
        <v>0</v>
      </c>
    </row>
    <row r="4383" spans="1:10" ht="15.75" hidden="1" thickBot="1" x14ac:dyDescent="0.3">
      <c r="A4383" s="182"/>
      <c r="B4383" s="188"/>
      <c r="C4383" s="55"/>
      <c r="D4383" s="55"/>
      <c r="E4383" s="66"/>
      <c r="F4383" s="76" t="s">
        <v>558</v>
      </c>
      <c r="G4383" s="76" t="str">
        <f>IF(ISNUMBER(F4383),E4383*F4383,"")</f>
        <v/>
      </c>
      <c r="H4383" s="77"/>
      <c r="I4383" s="74"/>
      <c r="J4383" s="155">
        <v>0</v>
      </c>
    </row>
    <row r="4384" spans="1:10" ht="15.75" hidden="1" thickBot="1" x14ac:dyDescent="0.3">
      <c r="A4384" s="180" t="s">
        <v>1409</v>
      </c>
      <c r="B4384" s="186" t="str">
        <f>INDEX(Orçamentária!A:B,MATCH(Composições!A4384,Orçamentária!A:A,0),2)</f>
        <v>Regularização de substrato para Impermeabilização - 3cm</v>
      </c>
      <c r="C4384" s="41"/>
      <c r="D4384" s="26" t="str">
        <f>TRIM(INDEX(Orçamentária!C:C,MATCH(Composições!A4384,Orçamentária!A:A,0),1))</f>
        <v>m2</v>
      </c>
      <c r="E4384" s="27"/>
      <c r="F4384" s="49" t="s">
        <v>558</v>
      </c>
      <c r="G4384" s="28" t="str">
        <f>IF(ISNUMBER(F4384),E4384*F4384,"")</f>
        <v/>
      </c>
      <c r="H4384" s="29"/>
      <c r="I4384" s="30"/>
      <c r="J4384" s="155">
        <v>0</v>
      </c>
    </row>
    <row r="4385" spans="1:10" ht="15.75" hidden="1" thickBot="1" x14ac:dyDescent="0.3">
      <c r="A4385" s="181"/>
      <c r="B4385" s="202"/>
      <c r="C4385" s="32"/>
      <c r="D4385" s="32"/>
      <c r="E4385" s="33"/>
      <c r="F4385" s="54" t="s">
        <v>558</v>
      </c>
      <c r="G4385" s="54" t="str">
        <f>IF(ISNUMBER(F4385),E4385*F4385,"")</f>
        <v/>
      </c>
      <c r="H4385" s="73"/>
      <c r="I4385" s="74"/>
      <c r="J4385" s="155">
        <v>0</v>
      </c>
    </row>
    <row r="4386" spans="1:10" ht="15.75" hidden="1" thickBot="1" x14ac:dyDescent="0.3">
      <c r="A4386" s="181"/>
      <c r="B4386" s="202"/>
      <c r="C4386" s="36" t="s">
        <v>787</v>
      </c>
      <c r="D4386" s="36" t="s">
        <v>938</v>
      </c>
      <c r="E4386" s="37">
        <v>0.5</v>
      </c>
      <c r="F4386" s="54">
        <v>0.52249999999999996</v>
      </c>
      <c r="G4386" s="54">
        <f>IF(ISNUMBER(F4386),E4386*F4386,"")</f>
        <v>0.26124999999999998</v>
      </c>
      <c r="H4386" s="39">
        <f>SUM(G4386:G4390)</f>
        <v>37.0687019908748</v>
      </c>
      <c r="I4386" s="40"/>
      <c r="J4386" s="155">
        <v>0</v>
      </c>
    </row>
    <row r="4387" spans="1:10" ht="26.25" hidden="1" thickBot="1" x14ac:dyDescent="0.3">
      <c r="A4387" s="181"/>
      <c r="B4387" s="202"/>
      <c r="C4387" s="36" t="s">
        <v>1410</v>
      </c>
      <c r="D4387" s="36" t="s">
        <v>103</v>
      </c>
      <c r="E4387" s="37">
        <v>0.435</v>
      </c>
      <c r="F4387" s="54">
        <v>11.105499999999999</v>
      </c>
      <c r="G4387" s="54">
        <f>IF(ISNUMBER(F4387),E4387*F4387,"")</f>
        <v>4.8308925</v>
      </c>
      <c r="H4387" s="73"/>
      <c r="I4387" s="74"/>
      <c r="J4387" s="155">
        <v>0</v>
      </c>
    </row>
    <row r="4388" spans="1:10" ht="39" hidden="1" thickBot="1" x14ac:dyDescent="0.3">
      <c r="A4388" s="181"/>
      <c r="B4388" s="202"/>
      <c r="C4388" s="36" t="s">
        <v>1411</v>
      </c>
      <c r="D4388" s="36" t="s">
        <v>122</v>
      </c>
      <c r="E4388" s="37">
        <v>4.3099999999999999E-2</v>
      </c>
      <c r="F4388" s="54">
        <v>504.02649630800005</v>
      </c>
      <c r="G4388" s="54">
        <f>IF(ISNUMBER(F4388),E4388*F4388,"")</f>
        <v>21.723541990874804</v>
      </c>
      <c r="H4388" s="73"/>
      <c r="I4388" s="74"/>
      <c r="J4388" s="155">
        <v>0</v>
      </c>
    </row>
    <row r="4389" spans="1:10" ht="15.75" hidden="1" thickBot="1" x14ac:dyDescent="0.3">
      <c r="A4389" s="181"/>
      <c r="B4389" s="202"/>
      <c r="C4389" s="36" t="s">
        <v>750</v>
      </c>
      <c r="D4389" s="47" t="s">
        <v>742</v>
      </c>
      <c r="E4389" s="37">
        <v>0.33</v>
      </c>
      <c r="F4389" s="54">
        <v>22.704999999999998</v>
      </c>
      <c r="G4389" s="54">
        <f>IF(ISNUMBER(F4389),E4389*F4389,"")</f>
        <v>7.4926499999999994</v>
      </c>
      <c r="H4389" s="73"/>
      <c r="I4389" s="74"/>
      <c r="J4389" s="155">
        <v>0</v>
      </c>
    </row>
    <row r="4390" spans="1:10" ht="15.75" hidden="1" thickBot="1" x14ac:dyDescent="0.3">
      <c r="A4390" s="181"/>
      <c r="B4390" s="202"/>
      <c r="C4390" s="36" t="s">
        <v>743</v>
      </c>
      <c r="D4390" s="36" t="s">
        <v>742</v>
      </c>
      <c r="E4390" s="37">
        <v>0.16500000000000001</v>
      </c>
      <c r="F4390" s="54">
        <v>16.729499999999998</v>
      </c>
      <c r="G4390" s="54">
        <f>IF(ISNUMBER(F4390),E4390*F4390,"")</f>
        <v>2.7603674999999996</v>
      </c>
      <c r="H4390" s="73"/>
      <c r="I4390" s="74"/>
      <c r="J4390" s="155">
        <v>0</v>
      </c>
    </row>
    <row r="4391" spans="1:10" ht="15.75" hidden="1" thickBot="1" x14ac:dyDescent="0.3">
      <c r="A4391" s="181"/>
      <c r="B4391" s="202"/>
      <c r="C4391" s="36"/>
      <c r="D4391" s="36"/>
      <c r="E4391" s="37"/>
      <c r="F4391" s="54" t="s">
        <v>558</v>
      </c>
      <c r="G4391" s="54" t="str">
        <f>IF(ISNUMBER(F4391),E4391*F4391,"")</f>
        <v/>
      </c>
      <c r="H4391" s="73"/>
      <c r="I4391" s="74"/>
      <c r="J4391" s="155">
        <v>0</v>
      </c>
    </row>
    <row r="4392" spans="1:10" ht="15.75" hidden="1" thickBot="1" x14ac:dyDescent="0.3">
      <c r="A4392" s="180" t="s">
        <v>1412</v>
      </c>
      <c r="B4392" s="186" t="str">
        <f>INDEX(Orçamentária!A:B,MATCH(Composições!A4392,Orçamentária!A:A,0),2)</f>
        <v>Regularização de substrato para Impermeabilização - 6cm</v>
      </c>
      <c r="C4392" s="41"/>
      <c r="D4392" s="26" t="str">
        <f>TRIM(INDEX(Orçamentária!C:C,MATCH(Composições!A4392,Orçamentária!A:A,0),1))</f>
        <v>m2</v>
      </c>
      <c r="E4392" s="27"/>
      <c r="F4392" s="49" t="s">
        <v>558</v>
      </c>
      <c r="G4392" s="28" t="str">
        <f>IF(ISNUMBER(F4392),E4392*F4392,"")</f>
        <v/>
      </c>
      <c r="H4392" s="29"/>
      <c r="I4392" s="30"/>
      <c r="J4392" s="155">
        <v>0</v>
      </c>
    </row>
    <row r="4393" spans="1:10" ht="15.75" hidden="1" thickBot="1" x14ac:dyDescent="0.3">
      <c r="A4393" s="181"/>
      <c r="B4393" s="202"/>
      <c r="C4393" s="32"/>
      <c r="D4393" s="32"/>
      <c r="E4393" s="33"/>
      <c r="F4393" s="54" t="s">
        <v>558</v>
      </c>
      <c r="G4393" s="54" t="str">
        <f>IF(ISNUMBER(F4393),E4393*F4393,"")</f>
        <v/>
      </c>
      <c r="H4393" s="73"/>
      <c r="I4393" s="74"/>
      <c r="J4393" s="155">
        <v>0</v>
      </c>
    </row>
    <row r="4394" spans="1:10" ht="15.75" hidden="1" thickBot="1" x14ac:dyDescent="0.3">
      <c r="A4394" s="181"/>
      <c r="B4394" s="202"/>
      <c r="C4394" s="36" t="s">
        <v>750</v>
      </c>
      <c r="D4394" s="36" t="s">
        <v>12</v>
      </c>
      <c r="E4394" s="37">
        <v>0.38</v>
      </c>
      <c r="F4394" s="54">
        <v>22.704999999999998</v>
      </c>
      <c r="G4394" s="54">
        <f>IF(ISNUMBER(F4394),E4394*F4394,"")</f>
        <v>8.6278999999999986</v>
      </c>
      <c r="H4394" s="39">
        <f>SUM(G4394:G4396)</f>
        <v>45.039008905958802</v>
      </c>
      <c r="I4394" s="40"/>
      <c r="J4394" s="155">
        <v>0</v>
      </c>
    </row>
    <row r="4395" spans="1:10" ht="15.75" hidden="1" thickBot="1" x14ac:dyDescent="0.3">
      <c r="A4395" s="181"/>
      <c r="B4395" s="202"/>
      <c r="C4395" s="36" t="s">
        <v>743</v>
      </c>
      <c r="D4395" s="36" t="s">
        <v>12</v>
      </c>
      <c r="E4395" s="37">
        <v>0.185</v>
      </c>
      <c r="F4395" s="54">
        <v>16.729499999999998</v>
      </c>
      <c r="G4395" s="54">
        <f>IF(ISNUMBER(F4395),E4395*F4395,"")</f>
        <v>3.0949574999999996</v>
      </c>
      <c r="H4395" s="73"/>
      <c r="I4395" s="74"/>
      <c r="J4395" s="155">
        <v>0</v>
      </c>
    </row>
    <row r="4396" spans="1:10" ht="39" hidden="1" thickBot="1" x14ac:dyDescent="0.3">
      <c r="A4396" s="181"/>
      <c r="B4396" s="202"/>
      <c r="C4396" s="36" t="s">
        <v>1411</v>
      </c>
      <c r="D4396" s="36" t="s">
        <v>122</v>
      </c>
      <c r="E4396" s="37">
        <v>6.6100000000000006E-2</v>
      </c>
      <c r="F4396" s="54">
        <v>504.02649630800005</v>
      </c>
      <c r="G4396" s="54">
        <f>IF(ISNUMBER(F4396),E4396*F4396,"")</f>
        <v>33.316151405958806</v>
      </c>
      <c r="H4396" s="73"/>
      <c r="I4396" s="74"/>
      <c r="J4396" s="155">
        <v>0</v>
      </c>
    </row>
    <row r="4397" spans="1:10" ht="15.75" hidden="1" thickBot="1" x14ac:dyDescent="0.3">
      <c r="A4397" s="182"/>
      <c r="B4397" s="188"/>
      <c r="C4397" s="55"/>
      <c r="D4397" s="55"/>
      <c r="E4397" s="66"/>
      <c r="F4397" s="76" t="s">
        <v>558</v>
      </c>
      <c r="G4397" s="76" t="str">
        <f>IF(ISNUMBER(F4397),E4397*F4397,"")</f>
        <v/>
      </c>
      <c r="H4397" s="77"/>
      <c r="I4397" s="74"/>
      <c r="J4397" s="155">
        <v>0</v>
      </c>
    </row>
    <row r="4398" spans="1:10" ht="15.75" hidden="1" thickBot="1" x14ac:dyDescent="0.3">
      <c r="A4398" s="180" t="s">
        <v>1413</v>
      </c>
      <c r="B4398" s="186" t="str">
        <f>INDEX(Orçamentária!A:B,MATCH(Composições!A4398,Orçamentária!A:A,0),2)</f>
        <v>Camada Separadora para Impermeabilização</v>
      </c>
      <c r="C4398" s="41"/>
      <c r="D4398" s="26" t="str">
        <f>TRIM(INDEX(Orçamentária!C:C,MATCH(Composições!A4398,Orçamentária!A:A,0),1))</f>
        <v>m2</v>
      </c>
      <c r="E4398" s="27"/>
      <c r="F4398" s="49" t="s">
        <v>558</v>
      </c>
      <c r="G4398" s="28" t="str">
        <f>IF(ISNUMBER(F4398),E4398*F4398,"")</f>
        <v/>
      </c>
      <c r="H4398" s="29"/>
      <c r="I4398" s="30"/>
      <c r="J4398" s="155">
        <v>0</v>
      </c>
    </row>
    <row r="4399" spans="1:10" ht="15.75" hidden="1" thickBot="1" x14ac:dyDescent="0.3">
      <c r="A4399" s="181"/>
      <c r="B4399" s="202"/>
      <c r="C4399" s="32"/>
      <c r="D4399" s="32"/>
      <c r="E4399" s="33"/>
      <c r="F4399" s="54" t="s">
        <v>558</v>
      </c>
      <c r="G4399" s="54" t="str">
        <f>IF(ISNUMBER(F4399),E4399*F4399,"")</f>
        <v/>
      </c>
      <c r="H4399" s="73"/>
      <c r="I4399" s="74"/>
      <c r="J4399" s="155">
        <v>0</v>
      </c>
    </row>
    <row r="4400" spans="1:10" ht="15.75" hidden="1" thickBot="1" x14ac:dyDescent="0.3">
      <c r="A4400" s="181"/>
      <c r="B4400" s="202"/>
      <c r="C4400" s="36" t="s">
        <v>743</v>
      </c>
      <c r="D4400" s="36" t="s">
        <v>742</v>
      </c>
      <c r="E4400" s="37">
        <v>0.01</v>
      </c>
      <c r="F4400" s="54">
        <v>16.729499999999998</v>
      </c>
      <c r="G4400" s="54">
        <f>IF(ISNUMBER(F4400),E4400*F4400,"")</f>
        <v>0.16729499999999997</v>
      </c>
      <c r="H4400" s="39">
        <f>SUM(G4400:G4401)</f>
        <v>5.9043450000000002</v>
      </c>
      <c r="I4400" s="40"/>
      <c r="J4400" s="155">
        <v>0</v>
      </c>
    </row>
    <row r="4401" spans="1:10" ht="26.25" hidden="1" thickBot="1" x14ac:dyDescent="0.3">
      <c r="A4401" s="181"/>
      <c r="B4401" s="202"/>
      <c r="C4401" s="36" t="s">
        <v>1414</v>
      </c>
      <c r="D4401" s="36" t="s">
        <v>95</v>
      </c>
      <c r="E4401" s="37">
        <v>1.1000000000000001</v>
      </c>
      <c r="F4401" s="54">
        <v>5.2154999999999996</v>
      </c>
      <c r="G4401" s="54">
        <f>IF(ISNUMBER(F4401),E4401*F4401,"")</f>
        <v>5.73705</v>
      </c>
      <c r="H4401" s="73"/>
      <c r="I4401" s="74"/>
      <c r="J4401" s="155">
        <v>0</v>
      </c>
    </row>
    <row r="4402" spans="1:10" ht="15.75" hidden="1" thickBot="1" x14ac:dyDescent="0.3">
      <c r="A4402" s="182"/>
      <c r="B4402" s="188"/>
      <c r="C4402" s="55"/>
      <c r="D4402" s="55"/>
      <c r="E4402" s="66"/>
      <c r="F4402" s="76" t="s">
        <v>558</v>
      </c>
      <c r="G4402" s="76" t="str">
        <f>IF(ISNUMBER(F4402),E4402*F4402,"")</f>
        <v/>
      </c>
      <c r="H4402" s="77"/>
      <c r="I4402" s="74"/>
      <c r="J4402" s="155">
        <v>0</v>
      </c>
    </row>
    <row r="4403" spans="1:10" ht="15.75" hidden="1" thickBot="1" x14ac:dyDescent="0.3">
      <c r="A4403" s="180" t="s">
        <v>1415</v>
      </c>
      <c r="B4403" s="186" t="str">
        <f>INDEX(Orçamentária!A:B,MATCH(Composições!A4403,Orçamentária!A:A,0),2)</f>
        <v>Camada de Proteção Térmica para Impermeabilização</v>
      </c>
      <c r="C4403" s="41"/>
      <c r="D4403" s="26" t="str">
        <f>TRIM(INDEX(Orçamentária!C:C,MATCH(Composições!A4403,Orçamentária!A:A,0),1))</f>
        <v>m2</v>
      </c>
      <c r="E4403" s="27"/>
      <c r="F4403" s="49" t="s">
        <v>558</v>
      </c>
      <c r="G4403" s="28" t="str">
        <f>IF(ISNUMBER(F4403),E4403*F4403,"")</f>
        <v/>
      </c>
      <c r="H4403" s="29"/>
      <c r="I4403" s="30"/>
      <c r="J4403" s="155">
        <v>0</v>
      </c>
    </row>
    <row r="4404" spans="1:10" ht="15.75" hidden="1" thickBot="1" x14ac:dyDescent="0.3">
      <c r="A4404" s="181"/>
      <c r="B4404" s="202"/>
      <c r="C4404" s="32"/>
      <c r="D4404" s="32"/>
      <c r="E4404" s="33"/>
      <c r="F4404" s="54" t="s">
        <v>558</v>
      </c>
      <c r="G4404" s="54" t="str">
        <f>IF(ISNUMBER(F4404),E4404*F4404,"")</f>
        <v/>
      </c>
      <c r="H4404" s="73"/>
      <c r="I4404" s="74"/>
      <c r="J4404" s="155">
        <v>0</v>
      </c>
    </row>
    <row r="4405" spans="1:10" ht="15.75" hidden="1" thickBot="1" x14ac:dyDescent="0.3">
      <c r="A4405" s="181"/>
      <c r="B4405" s="202"/>
      <c r="C4405" s="36" t="s">
        <v>743</v>
      </c>
      <c r="D4405" s="36" t="s">
        <v>742</v>
      </c>
      <c r="E4405" s="37">
        <v>0.05</v>
      </c>
      <c r="F4405" s="54">
        <v>16.729499999999998</v>
      </c>
      <c r="G4405" s="54">
        <f>IF(ISNUMBER(F4405),E4405*F4405,"")</f>
        <v>0.83647499999999997</v>
      </c>
      <c r="H4405" s="39">
        <f>SUM(G4405:G4406)</f>
        <v>11.22045</v>
      </c>
      <c r="I4405" s="40"/>
      <c r="J4405" s="155">
        <v>0</v>
      </c>
    </row>
    <row r="4406" spans="1:10" ht="26.25" hidden="1" thickBot="1" x14ac:dyDescent="0.3">
      <c r="A4406" s="181"/>
      <c r="B4406" s="202"/>
      <c r="C4406" s="36" t="s">
        <v>1416</v>
      </c>
      <c r="D4406" s="36" t="s">
        <v>95</v>
      </c>
      <c r="E4406" s="37">
        <v>1.05</v>
      </c>
      <c r="F4406" s="54">
        <v>9.8895</v>
      </c>
      <c r="G4406" s="54">
        <f>IF(ISNUMBER(F4406),E4406*F4406,"")</f>
        <v>10.383975</v>
      </c>
      <c r="H4406" s="73"/>
      <c r="I4406" s="74"/>
      <c r="J4406" s="155">
        <v>0</v>
      </c>
    </row>
    <row r="4407" spans="1:10" ht="15.75" hidden="1" thickBot="1" x14ac:dyDescent="0.3">
      <c r="A4407" s="182"/>
      <c r="B4407" s="188"/>
      <c r="C4407" s="55"/>
      <c r="D4407" s="55"/>
      <c r="E4407" s="66"/>
      <c r="F4407" s="76" t="s">
        <v>558</v>
      </c>
      <c r="G4407" s="76" t="str">
        <f>IF(ISNUMBER(F4407),E4407*F4407,"")</f>
        <v/>
      </c>
      <c r="H4407" s="77"/>
      <c r="I4407" s="74"/>
      <c r="J4407" s="155">
        <v>0</v>
      </c>
    </row>
    <row r="4408" spans="1:10" ht="15.75" hidden="1" thickBot="1" x14ac:dyDescent="0.3">
      <c r="A4408" s="180" t="s">
        <v>1417</v>
      </c>
      <c r="B4408" s="186" t="str">
        <f>INDEX(Orçamentária!A:B,MATCH(Composições!A4408,Orçamentária!A:A,0),2)</f>
        <v>Camada de Amortecimento para Impermeabilização</v>
      </c>
      <c r="C4408" s="41"/>
      <c r="D4408" s="26" t="str">
        <f>TRIM(INDEX(Orçamentária!C:C,MATCH(Composições!A4408,Orçamentária!A:A,0),1))</f>
        <v>m2</v>
      </c>
      <c r="E4408" s="27"/>
      <c r="F4408" s="49" t="s">
        <v>558</v>
      </c>
      <c r="G4408" s="28" t="str">
        <f>IF(ISNUMBER(F4408),E4408*F4408,"")</f>
        <v/>
      </c>
      <c r="H4408" s="29"/>
      <c r="I4408" s="30"/>
      <c r="J4408" s="155">
        <v>0</v>
      </c>
    </row>
    <row r="4409" spans="1:10" ht="15.75" hidden="1" thickBot="1" x14ac:dyDescent="0.3">
      <c r="A4409" s="181"/>
      <c r="B4409" s="202"/>
      <c r="C4409" s="32"/>
      <c r="D4409" s="32"/>
      <c r="E4409" s="33"/>
      <c r="F4409" s="54" t="s">
        <v>558</v>
      </c>
      <c r="G4409" s="54" t="str">
        <f>IF(ISNUMBER(F4409),E4409*F4409,"")</f>
        <v/>
      </c>
      <c r="H4409" s="73"/>
      <c r="I4409" s="74"/>
      <c r="J4409" s="155">
        <v>0</v>
      </c>
    </row>
    <row r="4410" spans="1:10" ht="15.75" hidden="1" thickBot="1" x14ac:dyDescent="0.3">
      <c r="A4410" s="181"/>
      <c r="B4410" s="202"/>
      <c r="C4410" s="36" t="s">
        <v>750</v>
      </c>
      <c r="D4410" s="36" t="s">
        <v>12</v>
      </c>
      <c r="E4410" s="37">
        <v>0.28999999999999998</v>
      </c>
      <c r="F4410" s="54">
        <v>22.704999999999998</v>
      </c>
      <c r="G4410" s="54">
        <f>IF(ISNUMBER(F4410),E4410*F4410,"")</f>
        <v>6.5844499999999995</v>
      </c>
      <c r="H4410" s="39">
        <f>SUM(G4410:G4412)</f>
        <v>24.173185719437996</v>
      </c>
      <c r="I4410" s="40"/>
      <c r="J4410" s="155">
        <v>0</v>
      </c>
    </row>
    <row r="4411" spans="1:10" ht="15.75" hidden="1" thickBot="1" x14ac:dyDescent="0.3">
      <c r="A4411" s="181"/>
      <c r="B4411" s="202"/>
      <c r="C4411" s="36" t="s">
        <v>743</v>
      </c>
      <c r="D4411" s="36" t="s">
        <v>12</v>
      </c>
      <c r="E4411" s="37">
        <v>0.14499999999999999</v>
      </c>
      <c r="F4411" s="54">
        <v>16.729499999999998</v>
      </c>
      <c r="G4411" s="54">
        <f>IF(ISNUMBER(F4411),E4411*F4411,"")</f>
        <v>2.4257774999999997</v>
      </c>
      <c r="H4411" s="73"/>
      <c r="I4411" s="74"/>
      <c r="J4411" s="155">
        <v>0</v>
      </c>
    </row>
    <row r="4412" spans="1:10" ht="51.75" hidden="1" thickBot="1" x14ac:dyDescent="0.3">
      <c r="A4412" s="181"/>
      <c r="B4412" s="202"/>
      <c r="C4412" s="36" t="s">
        <v>157</v>
      </c>
      <c r="D4412" s="36" t="s">
        <v>122</v>
      </c>
      <c r="E4412" s="37">
        <v>3.1E-2</v>
      </c>
      <c r="F4412" s="54">
        <v>489.12768449799989</v>
      </c>
      <c r="G4412" s="54">
        <f>IF(ISNUMBER(F4412),E4412*F4412,"")</f>
        <v>15.162958219437996</v>
      </c>
      <c r="H4412" s="73"/>
      <c r="I4412" s="74"/>
      <c r="J4412" s="155">
        <v>0</v>
      </c>
    </row>
    <row r="4413" spans="1:10" ht="15.75" hidden="1" thickBot="1" x14ac:dyDescent="0.3">
      <c r="A4413" s="182"/>
      <c r="B4413" s="188"/>
      <c r="C4413" s="55"/>
      <c r="D4413" s="55"/>
      <c r="E4413" s="66"/>
      <c r="F4413" s="76" t="s">
        <v>558</v>
      </c>
      <c r="G4413" s="76" t="str">
        <f>IF(ISNUMBER(F4413),E4413*F4413,"")</f>
        <v/>
      </c>
      <c r="H4413" s="77"/>
      <c r="I4413" s="74"/>
      <c r="J4413" s="155">
        <v>0</v>
      </c>
    </row>
    <row r="4414" spans="1:10" ht="15.75" hidden="1" thickBot="1" x14ac:dyDescent="0.3">
      <c r="A4414" s="180" t="s">
        <v>1418</v>
      </c>
      <c r="B4414" s="186" t="str">
        <f>INDEX(Orçamentária!A:B,MATCH(Composições!A4414,Orçamentária!A:A,0),2)</f>
        <v>Camada de Proteção Mecânica em Placas de Impermeabilização</v>
      </c>
      <c r="C4414" s="41"/>
      <c r="D4414" s="26" t="str">
        <f>TRIM(INDEX(Orçamentária!C:C,MATCH(Composições!A4414,Orçamentária!A:A,0),1))</f>
        <v>m2</v>
      </c>
      <c r="E4414" s="27"/>
      <c r="F4414" s="49" t="s">
        <v>558</v>
      </c>
      <c r="G4414" s="28" t="str">
        <f>IF(ISNUMBER(F4414),E4414*F4414,"")</f>
        <v/>
      </c>
      <c r="H4414" s="29"/>
      <c r="I4414" s="30"/>
      <c r="J4414" s="155">
        <v>0</v>
      </c>
    </row>
    <row r="4415" spans="1:10" ht="15.75" hidden="1" thickBot="1" x14ac:dyDescent="0.3">
      <c r="A4415" s="181"/>
      <c r="B4415" s="202"/>
      <c r="C4415" s="32"/>
      <c r="D4415" s="32"/>
      <c r="E4415" s="33"/>
      <c r="F4415" s="54" t="s">
        <v>558</v>
      </c>
      <c r="G4415" s="54" t="str">
        <f>IF(ISNUMBER(F4415),E4415*F4415,"")</f>
        <v/>
      </c>
      <c r="H4415" s="73"/>
      <c r="I4415" s="74"/>
      <c r="J4415" s="155">
        <v>0</v>
      </c>
    </row>
    <row r="4416" spans="1:10" ht="15.75" hidden="1" thickBot="1" x14ac:dyDescent="0.3">
      <c r="A4416" s="181"/>
      <c r="B4416" s="202"/>
      <c r="C4416" s="36" t="s">
        <v>1058</v>
      </c>
      <c r="D4416" s="36" t="s">
        <v>1034</v>
      </c>
      <c r="E4416" s="37">
        <v>1.04</v>
      </c>
      <c r="F4416" s="54">
        <v>1.4249999999999998</v>
      </c>
      <c r="G4416" s="54">
        <f>IF(ISNUMBER(F4416),E4416*F4416,"")</f>
        <v>1.4819999999999998</v>
      </c>
      <c r="H4416" s="39">
        <f>SUM(G4416:G4420)</f>
        <v>69.141214172749997</v>
      </c>
      <c r="I4416" s="40"/>
      <c r="J4416" s="155">
        <v>0</v>
      </c>
    </row>
    <row r="4417" spans="1:10" ht="26.25" hidden="1" thickBot="1" x14ac:dyDescent="0.3">
      <c r="A4417" s="181"/>
      <c r="B4417" s="202"/>
      <c r="C4417" s="36" t="s">
        <v>1059</v>
      </c>
      <c r="D4417" s="36" t="s">
        <v>122</v>
      </c>
      <c r="E4417" s="37">
        <v>4.3999999999999997E-2</v>
      </c>
      <c r="F4417" s="54">
        <v>653.86136756250005</v>
      </c>
      <c r="G4417" s="54">
        <f>IF(ISNUMBER(F4417),E4417*F4417,"")</f>
        <v>28.769900172749999</v>
      </c>
      <c r="H4417" s="73"/>
      <c r="I4417" s="74"/>
      <c r="J4417" s="155">
        <v>0</v>
      </c>
    </row>
    <row r="4418" spans="1:10" ht="15.75" hidden="1" thickBot="1" x14ac:dyDescent="0.3">
      <c r="A4418" s="181"/>
      <c r="B4418" s="202"/>
      <c r="C4418" s="36" t="s">
        <v>750</v>
      </c>
      <c r="D4418" s="36" t="s">
        <v>742</v>
      </c>
      <c r="E4418" s="37">
        <v>0.89900000000000002</v>
      </c>
      <c r="F4418" s="54">
        <v>22.704999999999998</v>
      </c>
      <c r="G4418" s="54">
        <f>IF(ISNUMBER(F4418),E4418*F4418,"")</f>
        <v>20.411794999999998</v>
      </c>
      <c r="H4418" s="73"/>
      <c r="I4418" s="74"/>
      <c r="J4418" s="155">
        <v>0</v>
      </c>
    </row>
    <row r="4419" spans="1:10" ht="15.75" hidden="1" thickBot="1" x14ac:dyDescent="0.3">
      <c r="A4419" s="181"/>
      <c r="B4419" s="202"/>
      <c r="C4419" s="36" t="s">
        <v>743</v>
      </c>
      <c r="D4419" s="36" t="s">
        <v>742</v>
      </c>
      <c r="E4419" s="37">
        <v>0.182</v>
      </c>
      <c r="F4419" s="54">
        <v>16.729499999999998</v>
      </c>
      <c r="G4419" s="54">
        <f>IF(ISNUMBER(F4419),E4419*F4419,"")</f>
        <v>3.0447689999999996</v>
      </c>
      <c r="H4419" s="73"/>
      <c r="I4419" s="74"/>
      <c r="J4419" s="155">
        <v>0</v>
      </c>
    </row>
    <row r="4420" spans="1:10" ht="39" hidden="1" thickBot="1" x14ac:dyDescent="0.3">
      <c r="A4420" s="181"/>
      <c r="B4420" s="202"/>
      <c r="C4420" s="36" t="s">
        <v>1054</v>
      </c>
      <c r="D4420" s="36" t="s">
        <v>938</v>
      </c>
      <c r="E4420" s="37">
        <f>0.15*2.5*(6/2)</f>
        <v>1.125</v>
      </c>
      <c r="F4420" s="54">
        <v>13.717999999999998</v>
      </c>
      <c r="G4420" s="54">
        <f>IF(ISNUMBER(F4420),E4420*F4420,"")</f>
        <v>15.432749999999999</v>
      </c>
      <c r="H4420" s="73"/>
      <c r="I4420" s="74"/>
      <c r="J4420" s="155">
        <v>0</v>
      </c>
    </row>
    <row r="4421" spans="1:10" ht="15.75" hidden="1" thickBot="1" x14ac:dyDescent="0.3">
      <c r="A4421" s="181"/>
      <c r="B4421" s="202"/>
      <c r="C4421" s="36"/>
      <c r="D4421" s="36"/>
      <c r="E4421" s="37"/>
      <c r="F4421" s="54" t="s">
        <v>558</v>
      </c>
      <c r="G4421" s="54" t="str">
        <f>IF(ISNUMBER(F4421),E4421*F4421,"")</f>
        <v/>
      </c>
      <c r="H4421" s="73"/>
      <c r="I4421" s="74"/>
      <c r="J4421" s="155">
        <v>0</v>
      </c>
    </row>
    <row r="4422" spans="1:10" ht="15.75" hidden="1" thickBot="1" x14ac:dyDescent="0.3">
      <c r="A4422" s="180" t="s">
        <v>1419</v>
      </c>
      <c r="B4422" s="186" t="str">
        <f>INDEX(Orçamentária!A:B,MATCH(Composições!A4422,Orçamentária!A:A,0),2)</f>
        <v>Pintura Inibidora de Raízes em Estrutura Impermeabilizada</v>
      </c>
      <c r="C4422" s="41"/>
      <c r="D4422" s="26" t="str">
        <f>TRIM(INDEX(Orçamentária!C:C,MATCH(Composições!A4422,Orçamentária!A:A,0),1))</f>
        <v>m2</v>
      </c>
      <c r="E4422" s="27"/>
      <c r="F4422" s="49" t="s">
        <v>558</v>
      </c>
      <c r="G4422" s="28" t="str">
        <f>IF(ISNUMBER(F4422),E4422*F4422,"")</f>
        <v/>
      </c>
      <c r="H4422" s="29"/>
      <c r="I4422" s="30"/>
      <c r="J4422" s="155">
        <v>0</v>
      </c>
    </row>
    <row r="4423" spans="1:10" ht="15.75" hidden="1" thickBot="1" x14ac:dyDescent="0.3">
      <c r="A4423" s="181"/>
      <c r="B4423" s="202"/>
      <c r="C4423" s="32"/>
      <c r="D4423" s="32"/>
      <c r="E4423" s="33"/>
      <c r="F4423" s="54" t="s">
        <v>558</v>
      </c>
      <c r="G4423" s="54" t="str">
        <f>IF(ISNUMBER(F4423),E4423*F4423,"")</f>
        <v/>
      </c>
      <c r="H4423" s="73"/>
      <c r="I4423" s="74"/>
      <c r="J4423" s="155">
        <v>0</v>
      </c>
    </row>
    <row r="4424" spans="1:10" ht="15.75" hidden="1" thickBot="1" x14ac:dyDescent="0.3">
      <c r="A4424" s="181"/>
      <c r="B4424" s="202"/>
      <c r="C4424" s="36" t="s">
        <v>1420</v>
      </c>
      <c r="D4424" s="36" t="s">
        <v>103</v>
      </c>
      <c r="E4424" s="37">
        <v>0.32569999999999999</v>
      </c>
      <c r="F4424" s="54" t="s">
        <v>558</v>
      </c>
      <c r="G4424" s="54" t="str">
        <f>IF(ISNUMBER(F4424),E4424*F4424,"")</f>
        <v/>
      </c>
      <c r="H4424" s="39">
        <f>SUM(G4424:G4425)</f>
        <v>10.709046949999999</v>
      </c>
      <c r="I4424" s="40"/>
      <c r="J4424" s="155">
        <v>0</v>
      </c>
    </row>
    <row r="4425" spans="1:10" ht="15.75" hidden="1" thickBot="1" x14ac:dyDescent="0.3">
      <c r="A4425" s="181"/>
      <c r="B4425" s="202"/>
      <c r="C4425" s="36" t="s">
        <v>1137</v>
      </c>
      <c r="D4425" s="36" t="s">
        <v>742</v>
      </c>
      <c r="E4425" s="37">
        <v>0.45290000000000002</v>
      </c>
      <c r="F4425" s="54">
        <v>23.645499999999998</v>
      </c>
      <c r="G4425" s="54">
        <f>IF(ISNUMBER(F4425),E4425*F4425,"")</f>
        <v>10.709046949999999</v>
      </c>
      <c r="H4425" s="73"/>
      <c r="I4425" s="74"/>
      <c r="J4425" s="155">
        <v>0</v>
      </c>
    </row>
    <row r="4426" spans="1:10" ht="15.75" hidden="1" thickBot="1" x14ac:dyDescent="0.3">
      <c r="A4426" s="182"/>
      <c r="B4426" s="188"/>
      <c r="C4426" s="55"/>
      <c r="D4426" s="55"/>
      <c r="E4426" s="66"/>
      <c r="F4426" s="76" t="s">
        <v>558</v>
      </c>
      <c r="G4426" s="76" t="str">
        <f>IF(ISNUMBER(F4426),E4426*F4426,"")</f>
        <v/>
      </c>
      <c r="H4426" s="77"/>
      <c r="I4426" s="74"/>
      <c r="J4426" s="155">
        <v>0</v>
      </c>
    </row>
    <row r="4427" spans="1:10" ht="15.75" hidden="1" thickBot="1" x14ac:dyDescent="0.3">
      <c r="A4427" s="180" t="s">
        <v>1421</v>
      </c>
      <c r="B4427" s="186" t="str">
        <f>INDEX(Orçamentária!A:B,MATCH(Composições!A4427,Orçamentária!A:A,0),2)</f>
        <v>Camada Drenante para Impermeabilização</v>
      </c>
      <c r="C4427" s="41"/>
      <c r="D4427" s="26" t="str">
        <f>TRIM(INDEX(Orçamentária!C:C,MATCH(Composições!A4427,Orçamentária!A:A,0),1))</f>
        <v>m2</v>
      </c>
      <c r="E4427" s="27"/>
      <c r="F4427" s="49" t="s">
        <v>558</v>
      </c>
      <c r="G4427" s="28" t="str">
        <f>IF(ISNUMBER(F4427),E4427*F4427,"")</f>
        <v/>
      </c>
      <c r="H4427" s="29"/>
      <c r="I4427" s="30"/>
      <c r="J4427" s="155">
        <v>0</v>
      </c>
    </row>
    <row r="4428" spans="1:10" ht="15.75" hidden="1" thickBot="1" x14ac:dyDescent="0.3">
      <c r="A4428" s="181"/>
      <c r="B4428" s="202"/>
      <c r="C4428" s="32"/>
      <c r="D4428" s="32"/>
      <c r="E4428" s="33"/>
      <c r="F4428" s="54" t="s">
        <v>558</v>
      </c>
      <c r="G4428" s="54" t="str">
        <f>IF(ISNUMBER(F4428),E4428*F4428,"")</f>
        <v/>
      </c>
      <c r="H4428" s="73"/>
      <c r="I4428" s="74"/>
      <c r="J4428" s="155">
        <v>0</v>
      </c>
    </row>
    <row r="4429" spans="1:10" ht="15.75" hidden="1" thickBot="1" x14ac:dyDescent="0.3">
      <c r="A4429" s="181"/>
      <c r="B4429" s="202"/>
      <c r="C4429" s="36" t="s">
        <v>743</v>
      </c>
      <c r="D4429" s="36" t="s">
        <v>742</v>
      </c>
      <c r="E4429" s="37">
        <v>0.02</v>
      </c>
      <c r="F4429" s="54">
        <v>16.729499999999998</v>
      </c>
      <c r="G4429" s="54">
        <f>IF(ISNUMBER(F4429),E4429*F4429,"")</f>
        <v>0.33458999999999994</v>
      </c>
      <c r="H4429" s="39">
        <f>SUM(G4429:G4431)</f>
        <v>6.0716400000000004</v>
      </c>
      <c r="I4429" s="40"/>
      <c r="J4429" s="155">
        <v>0</v>
      </c>
    </row>
    <row r="4430" spans="1:10" ht="26.25" hidden="1" thickBot="1" x14ac:dyDescent="0.3">
      <c r="A4430" s="181"/>
      <c r="B4430" s="202"/>
      <c r="C4430" s="36" t="s">
        <v>1422</v>
      </c>
      <c r="D4430" s="36" t="s">
        <v>95</v>
      </c>
      <c r="E4430" s="37">
        <v>1.05</v>
      </c>
      <c r="F4430" s="54" t="s">
        <v>558</v>
      </c>
      <c r="G4430" s="54" t="str">
        <f>IF(ISNUMBER(F4430),E4430*F4430,"")</f>
        <v/>
      </c>
      <c r="H4430" s="73"/>
      <c r="I4430" s="74"/>
      <c r="J4430" s="155">
        <v>0</v>
      </c>
    </row>
    <row r="4431" spans="1:10" ht="26.25" hidden="1" thickBot="1" x14ac:dyDescent="0.3">
      <c r="A4431" s="181"/>
      <c r="B4431" s="202"/>
      <c r="C4431" s="36" t="s">
        <v>1414</v>
      </c>
      <c r="D4431" s="36" t="s">
        <v>95</v>
      </c>
      <c r="E4431" s="37">
        <v>1.1000000000000001</v>
      </c>
      <c r="F4431" s="54">
        <v>5.2154999999999996</v>
      </c>
      <c r="G4431" s="54">
        <f>IF(ISNUMBER(F4431),E4431*F4431,"")</f>
        <v>5.73705</v>
      </c>
      <c r="H4431" s="73"/>
      <c r="I4431" s="74"/>
      <c r="J4431" s="155">
        <v>0</v>
      </c>
    </row>
    <row r="4432" spans="1:10" ht="15.75" hidden="1" thickBot="1" x14ac:dyDescent="0.3">
      <c r="A4432" s="182"/>
      <c r="B4432" s="188"/>
      <c r="C4432" s="55"/>
      <c r="D4432" s="55"/>
      <c r="E4432" s="66"/>
      <c r="F4432" s="76" t="s">
        <v>558</v>
      </c>
      <c r="G4432" s="76" t="str">
        <f>IF(ISNUMBER(F4432),E4432*F4432,"")</f>
        <v/>
      </c>
      <c r="H4432" s="77"/>
      <c r="I4432" s="74"/>
      <c r="J4432" s="155">
        <v>0</v>
      </c>
    </row>
    <row r="4433" spans="1:10" ht="15.75" hidden="1" thickBot="1" x14ac:dyDescent="0.3">
      <c r="A4433" s="180" t="s">
        <v>1423</v>
      </c>
      <c r="B4433" s="186" t="str">
        <f>INDEX(Orçamentária!A:B,MATCH(Composições!A4433,Orçamentária!A:A,0),2)</f>
        <v>Calha em Chapa de Aço Galvanizado nº 24</v>
      </c>
      <c r="C4433" s="41"/>
      <c r="D4433" s="26" t="str">
        <f>TRIM(INDEX(Orçamentária!C:C,MATCH(Composições!A4433,Orçamentária!A:A,0),1))</f>
        <v>m2</v>
      </c>
      <c r="E4433" s="27"/>
      <c r="F4433" s="49" t="s">
        <v>558</v>
      </c>
      <c r="G4433" s="28" t="str">
        <f>IF(ISNUMBER(F4433),E4433*F4433,"")</f>
        <v/>
      </c>
      <c r="H4433" s="29"/>
      <c r="I4433" s="30"/>
      <c r="J4433" s="155">
        <v>0</v>
      </c>
    </row>
    <row r="4434" spans="1:10" ht="15.75" hidden="1" thickBot="1" x14ac:dyDescent="0.3">
      <c r="A4434" s="181"/>
      <c r="B4434" s="202"/>
      <c r="C4434" s="32"/>
      <c r="D4434" s="32"/>
      <c r="E4434" s="33"/>
      <c r="F4434" s="54" t="s">
        <v>558</v>
      </c>
      <c r="G4434" s="54" t="str">
        <f>IF(ISNUMBER(F4434),E4434*F4434,"")</f>
        <v/>
      </c>
      <c r="H4434" s="73"/>
      <c r="I4434" s="74"/>
      <c r="J4434" s="155">
        <v>0</v>
      </c>
    </row>
    <row r="4435" spans="1:10" ht="26.25" hidden="1" thickBot="1" x14ac:dyDescent="0.3">
      <c r="A4435" s="181"/>
      <c r="B4435" s="202"/>
      <c r="C4435" s="36" t="s">
        <v>1105</v>
      </c>
      <c r="D4435" s="47" t="s">
        <v>1116</v>
      </c>
      <c r="E4435" s="37">
        <v>0.161</v>
      </c>
      <c r="F4435" s="54">
        <v>30.570999999999998</v>
      </c>
      <c r="G4435" s="54">
        <f>IF(ISNUMBER(F4435),E4435*F4435,"")</f>
        <v>4.9219309999999998</v>
      </c>
      <c r="H4435" s="39">
        <f>SUM(G4435:G4443)</f>
        <v>161.09409540000001</v>
      </c>
      <c r="I4435" s="40"/>
      <c r="J4435" s="155">
        <v>0</v>
      </c>
    </row>
    <row r="4436" spans="1:10" ht="15.75" hidden="1" thickBot="1" x14ac:dyDescent="0.3">
      <c r="A4436" s="181"/>
      <c r="B4436" s="202"/>
      <c r="C4436" s="36" t="s">
        <v>1424</v>
      </c>
      <c r="D4436" s="36" t="s">
        <v>938</v>
      </c>
      <c r="E4436" s="37">
        <v>2.5000000000000001E-2</v>
      </c>
      <c r="F4436" s="54">
        <v>18.904999999999998</v>
      </c>
      <c r="G4436" s="54">
        <f>IF(ISNUMBER(F4436),E4436*F4436,"")</f>
        <v>0.47262499999999996</v>
      </c>
      <c r="H4436" s="73"/>
      <c r="I4436" s="74"/>
      <c r="J4436" s="155">
        <v>0</v>
      </c>
    </row>
    <row r="4437" spans="1:10" ht="26.25" hidden="1" thickBot="1" x14ac:dyDescent="0.3">
      <c r="A4437" s="181"/>
      <c r="B4437" s="202"/>
      <c r="C4437" s="36" t="s">
        <v>1425</v>
      </c>
      <c r="D4437" s="36" t="s">
        <v>938</v>
      </c>
      <c r="E4437" s="37">
        <v>4.8999999999999998E-3</v>
      </c>
      <c r="F4437" s="54">
        <v>62.509999999999991</v>
      </c>
      <c r="G4437" s="54">
        <f>IF(ISNUMBER(F4437),E4437*F4437,"")</f>
        <v>0.30629899999999993</v>
      </c>
      <c r="H4437" s="73"/>
      <c r="I4437" s="74"/>
      <c r="J4437" s="155">
        <v>0</v>
      </c>
    </row>
    <row r="4438" spans="1:10" ht="15.75" hidden="1" thickBot="1" x14ac:dyDescent="0.3">
      <c r="A4438" s="181"/>
      <c r="B4438" s="202"/>
      <c r="C4438" s="36" t="s">
        <v>1426</v>
      </c>
      <c r="D4438" s="36" t="s">
        <v>938</v>
      </c>
      <c r="E4438" s="37">
        <v>0.18</v>
      </c>
      <c r="F4438" s="54">
        <v>91.902999999999992</v>
      </c>
      <c r="G4438" s="54">
        <f>IF(ISNUMBER(F4438),E4438*F4438,"")</f>
        <v>16.542539999999999</v>
      </c>
      <c r="H4438" s="73"/>
      <c r="I4438" s="74"/>
      <c r="J4438" s="155">
        <v>0</v>
      </c>
    </row>
    <row r="4439" spans="1:10" ht="26.25" hidden="1" thickBot="1" x14ac:dyDescent="0.3">
      <c r="A4439" s="181"/>
      <c r="B4439" s="202"/>
      <c r="C4439" s="36" t="s">
        <v>1427</v>
      </c>
      <c r="D4439" s="36" t="s">
        <v>513</v>
      </c>
      <c r="E4439" s="37">
        <v>1.05</v>
      </c>
      <c r="F4439" s="54">
        <v>109.26899999999999</v>
      </c>
      <c r="G4439" s="54">
        <f>IF(ISNUMBER(F4439),E4439*F4439,"")</f>
        <v>114.73245</v>
      </c>
      <c r="H4439" s="73"/>
      <c r="I4439" s="74"/>
      <c r="J4439" s="155">
        <v>0</v>
      </c>
    </row>
    <row r="4440" spans="1:10" ht="15.75" hidden="1" thickBot="1" x14ac:dyDescent="0.3">
      <c r="A4440" s="181"/>
      <c r="B4440" s="202"/>
      <c r="C4440" s="36" t="s">
        <v>743</v>
      </c>
      <c r="D4440" s="36" t="s">
        <v>742</v>
      </c>
      <c r="E4440" s="37">
        <v>0.63300000000000001</v>
      </c>
      <c r="F4440" s="54">
        <v>16.729499999999998</v>
      </c>
      <c r="G4440" s="54">
        <f>IF(ISNUMBER(F4440),E4440*F4440,"")</f>
        <v>10.5897735</v>
      </c>
      <c r="H4440" s="73"/>
      <c r="I4440" s="74"/>
      <c r="J4440" s="155">
        <v>0</v>
      </c>
    </row>
    <row r="4441" spans="1:10" ht="15.75" hidden="1" thickBot="1" x14ac:dyDescent="0.3">
      <c r="A4441" s="181"/>
      <c r="B4441" s="202"/>
      <c r="C4441" s="36" t="s">
        <v>1368</v>
      </c>
      <c r="D4441" s="36" t="s">
        <v>742</v>
      </c>
      <c r="E4441" s="37">
        <v>0.53900000000000003</v>
      </c>
      <c r="F4441" s="54">
        <v>24.025499999999997</v>
      </c>
      <c r="G4441" s="54">
        <f>IF(ISNUMBER(F4441),E4441*F4441,"")</f>
        <v>12.9497445</v>
      </c>
      <c r="H4441" s="73"/>
      <c r="I4441" s="74"/>
      <c r="J4441" s="155">
        <v>0</v>
      </c>
    </row>
    <row r="4442" spans="1:10" ht="26.25" hidden="1" thickBot="1" x14ac:dyDescent="0.3">
      <c r="A4442" s="181"/>
      <c r="B4442" s="202"/>
      <c r="C4442" s="36" t="s">
        <v>1369</v>
      </c>
      <c r="D4442" s="36" t="s">
        <v>982</v>
      </c>
      <c r="E4442" s="37">
        <v>1.32E-2</v>
      </c>
      <c r="F4442" s="54">
        <v>18.819499999999998</v>
      </c>
      <c r="G4442" s="54">
        <f>IF(ISNUMBER(F4442),E4442*F4442,"")</f>
        <v>0.24841739999999998</v>
      </c>
      <c r="H4442" s="73"/>
      <c r="I4442" s="74"/>
      <c r="J4442" s="155">
        <v>0</v>
      </c>
    </row>
    <row r="4443" spans="1:10" ht="26.25" hidden="1" thickBot="1" x14ac:dyDescent="0.3">
      <c r="A4443" s="181"/>
      <c r="B4443" s="202"/>
      <c r="C4443" s="36" t="s">
        <v>1370</v>
      </c>
      <c r="D4443" s="36" t="s">
        <v>984</v>
      </c>
      <c r="E4443" s="37">
        <v>1.83E-2</v>
      </c>
      <c r="F4443" s="54">
        <v>18.05</v>
      </c>
      <c r="G4443" s="54">
        <f>IF(ISNUMBER(F4443),E4443*F4443,"")</f>
        <v>0.33031500000000003</v>
      </c>
      <c r="H4443" s="73"/>
      <c r="I4443" s="74"/>
      <c r="J4443" s="155">
        <v>0</v>
      </c>
    </row>
    <row r="4444" spans="1:10" ht="15.75" hidden="1" thickBot="1" x14ac:dyDescent="0.3">
      <c r="A4444" s="182"/>
      <c r="B4444" s="188"/>
      <c r="C4444" s="55"/>
      <c r="D4444" s="55"/>
      <c r="E4444" s="66"/>
      <c r="F4444" s="76" t="s">
        <v>558</v>
      </c>
      <c r="G4444" s="76" t="str">
        <f>IF(ISNUMBER(F4444),E4444*F4444,"")</f>
        <v/>
      </c>
      <c r="H4444" s="77"/>
      <c r="I4444" s="74"/>
      <c r="J4444" s="155">
        <v>0</v>
      </c>
    </row>
    <row r="4445" spans="1:10" ht="15.75" hidden="1" thickBot="1" x14ac:dyDescent="0.3">
      <c r="A4445" s="180" t="s">
        <v>1428</v>
      </c>
      <c r="B4445" s="186" t="str">
        <f>INDEX(Orçamentária!A:B,MATCH(Composições!A4445,Orçamentária!A:A,0),2)</f>
        <v>Rufo em Chapa de Aço Galvanizado nº 24</v>
      </c>
      <c r="C4445" s="41"/>
      <c r="D4445" s="26" t="str">
        <f>TRIM(INDEX(Orçamentária!C:C,MATCH(Composições!A4445,Orçamentária!A:A,0),1))</f>
        <v>m2</v>
      </c>
      <c r="E4445" s="27"/>
      <c r="F4445" s="49" t="s">
        <v>558</v>
      </c>
      <c r="G4445" s="28" t="str">
        <f>IF(ISNUMBER(F4445),E4445*F4445,"")</f>
        <v/>
      </c>
      <c r="H4445" s="29"/>
      <c r="I4445" s="30"/>
      <c r="J4445" s="155">
        <v>0</v>
      </c>
    </row>
    <row r="4446" spans="1:10" ht="15.75" hidden="1" thickBot="1" x14ac:dyDescent="0.3">
      <c r="A4446" s="181"/>
      <c r="B4446" s="202"/>
      <c r="C4446" s="32"/>
      <c r="D4446" s="32"/>
      <c r="E4446" s="33"/>
      <c r="F4446" s="54" t="s">
        <v>558</v>
      </c>
      <c r="G4446" s="54" t="str">
        <f>IF(ISNUMBER(F4446),E4446*F4446,"")</f>
        <v/>
      </c>
      <c r="H4446" s="73"/>
      <c r="I4446" s="74"/>
      <c r="J4446" s="155">
        <v>0</v>
      </c>
    </row>
    <row r="4447" spans="1:10" ht="26.25" hidden="1" thickBot="1" x14ac:dyDescent="0.3">
      <c r="A4447" s="181"/>
      <c r="B4447" s="202"/>
      <c r="C4447" s="36" t="s">
        <v>1105</v>
      </c>
      <c r="D4447" s="47" t="s">
        <v>1116</v>
      </c>
      <c r="E4447" s="37">
        <f>0.198*2</f>
        <v>0.39600000000000002</v>
      </c>
      <c r="F4447" s="54">
        <v>30.570999999999998</v>
      </c>
      <c r="G4447" s="54">
        <f>IF(ISNUMBER(F4447),E4447*F4447,"")</f>
        <v>12.106116</v>
      </c>
      <c r="H4447" s="39">
        <f>SUM(G4447:G4455)</f>
        <v>157.68056490000001</v>
      </c>
      <c r="I4447" s="40"/>
      <c r="J4447" s="155">
        <v>0</v>
      </c>
    </row>
    <row r="4448" spans="1:10" ht="15.75" hidden="1" thickBot="1" x14ac:dyDescent="0.3">
      <c r="A4448" s="181"/>
      <c r="B4448" s="202"/>
      <c r="C4448" s="36" t="s">
        <v>1424</v>
      </c>
      <c r="D4448" s="36" t="s">
        <v>938</v>
      </c>
      <c r="E4448" s="37">
        <f>0.006*2</f>
        <v>1.2E-2</v>
      </c>
      <c r="F4448" s="54">
        <v>18.904999999999998</v>
      </c>
      <c r="G4448" s="54">
        <f>IF(ISNUMBER(F4448),E4448*F4448,"")</f>
        <v>0.22685999999999998</v>
      </c>
      <c r="H4448" s="73"/>
      <c r="I4448" s="74"/>
      <c r="J4448" s="155">
        <v>0</v>
      </c>
    </row>
    <row r="4449" spans="1:10" ht="26.25" hidden="1" thickBot="1" x14ac:dyDescent="0.3">
      <c r="A4449" s="181"/>
      <c r="B4449" s="202"/>
      <c r="C4449" s="36" t="s">
        <v>1425</v>
      </c>
      <c r="D4449" s="36" t="s">
        <v>938</v>
      </c>
      <c r="E4449" s="37">
        <f>0.0012*2</f>
        <v>2.3999999999999998E-3</v>
      </c>
      <c r="F4449" s="54">
        <v>62.509999999999991</v>
      </c>
      <c r="G4449" s="54">
        <f>IF(ISNUMBER(F4449),E4449*F4449,"")</f>
        <v>0.15002399999999996</v>
      </c>
      <c r="H4449" s="73"/>
      <c r="I4449" s="74"/>
      <c r="J4449" s="155">
        <v>0</v>
      </c>
    </row>
    <row r="4450" spans="1:10" ht="15.75" hidden="1" thickBot="1" x14ac:dyDescent="0.3">
      <c r="A4450" s="181"/>
      <c r="B4450" s="202"/>
      <c r="C4450" s="36" t="s">
        <v>1426</v>
      </c>
      <c r="D4450" s="36" t="s">
        <v>938</v>
      </c>
      <c r="E4450" s="37">
        <f>0.045*2</f>
        <v>0.09</v>
      </c>
      <c r="F4450" s="54">
        <v>91.902999999999992</v>
      </c>
      <c r="G4450" s="54">
        <f>IF(ISNUMBER(F4450),E4450*F4450,"")</f>
        <v>8.2712699999999995</v>
      </c>
      <c r="H4450" s="73"/>
      <c r="I4450" s="74"/>
      <c r="J4450" s="155">
        <v>0</v>
      </c>
    </row>
    <row r="4451" spans="1:10" ht="26.25" hidden="1" thickBot="1" x14ac:dyDescent="0.3">
      <c r="A4451" s="181"/>
      <c r="B4451" s="202"/>
      <c r="C4451" s="36" t="s">
        <v>1429</v>
      </c>
      <c r="D4451" s="36" t="s">
        <v>513</v>
      </c>
      <c r="E4451" s="37">
        <f>4*1.05</f>
        <v>4.2</v>
      </c>
      <c r="F4451" s="54">
        <v>30.9985</v>
      </c>
      <c r="G4451" s="54">
        <f>IF(ISNUMBER(F4451),E4451*F4451,"")</f>
        <v>130.19370000000001</v>
      </c>
      <c r="H4451" s="73"/>
      <c r="I4451" s="74"/>
      <c r="J4451" s="155">
        <v>0</v>
      </c>
    </row>
    <row r="4452" spans="1:10" ht="15.75" hidden="1" thickBot="1" x14ac:dyDescent="0.3">
      <c r="A4452" s="181"/>
      <c r="B4452" s="202"/>
      <c r="C4452" s="36" t="s">
        <v>743</v>
      </c>
      <c r="D4452" s="36" t="s">
        <v>742</v>
      </c>
      <c r="E4452" s="37">
        <v>0.20699999999999999</v>
      </c>
      <c r="F4452" s="54">
        <v>16.729499999999998</v>
      </c>
      <c r="G4452" s="54">
        <f>IF(ISNUMBER(F4452),E4452*F4452,"")</f>
        <v>3.4630064999999992</v>
      </c>
      <c r="H4452" s="73"/>
      <c r="I4452" s="74"/>
      <c r="J4452" s="155">
        <v>0</v>
      </c>
    </row>
    <row r="4453" spans="1:10" ht="15.75" hidden="1" thickBot="1" x14ac:dyDescent="0.3">
      <c r="A4453" s="181"/>
      <c r="B4453" s="202"/>
      <c r="C4453" s="36" t="s">
        <v>1368</v>
      </c>
      <c r="D4453" s="36" t="s">
        <v>742</v>
      </c>
      <c r="E4453" s="37">
        <v>0.112</v>
      </c>
      <c r="F4453" s="54">
        <v>24.025499999999997</v>
      </c>
      <c r="G4453" s="54">
        <f>IF(ISNUMBER(F4453),E4453*F4453,"")</f>
        <v>2.6908559999999997</v>
      </c>
      <c r="H4453" s="73"/>
      <c r="I4453" s="74"/>
      <c r="J4453" s="155">
        <v>0</v>
      </c>
    </row>
    <row r="4454" spans="1:10" ht="26.25" hidden="1" thickBot="1" x14ac:dyDescent="0.3">
      <c r="A4454" s="181"/>
      <c r="B4454" s="202"/>
      <c r="C4454" s="36" t="s">
        <v>1369</v>
      </c>
      <c r="D4454" s="36" t="s">
        <v>982</v>
      </c>
      <c r="E4454" s="37">
        <v>1.32E-2</v>
      </c>
      <c r="F4454" s="54">
        <v>18.819499999999998</v>
      </c>
      <c r="G4454" s="54">
        <f>IF(ISNUMBER(F4454),E4454*F4454,"")</f>
        <v>0.24841739999999998</v>
      </c>
      <c r="H4454" s="73"/>
      <c r="I4454" s="74"/>
      <c r="J4454" s="155">
        <v>0</v>
      </c>
    </row>
    <row r="4455" spans="1:10" ht="26.25" hidden="1" thickBot="1" x14ac:dyDescent="0.3">
      <c r="A4455" s="181"/>
      <c r="B4455" s="202"/>
      <c r="C4455" s="36" t="s">
        <v>1370</v>
      </c>
      <c r="D4455" s="36" t="s">
        <v>984</v>
      </c>
      <c r="E4455" s="37">
        <v>1.83E-2</v>
      </c>
      <c r="F4455" s="54">
        <v>18.05</v>
      </c>
      <c r="G4455" s="54">
        <f>IF(ISNUMBER(F4455),E4455*F4455,"")</f>
        <v>0.33031500000000003</v>
      </c>
      <c r="H4455" s="73"/>
      <c r="I4455" s="74"/>
      <c r="J4455" s="155">
        <v>0</v>
      </c>
    </row>
    <row r="4456" spans="1:10" ht="15.75" hidden="1" thickBot="1" x14ac:dyDescent="0.3">
      <c r="A4456" s="182"/>
      <c r="B4456" s="188"/>
      <c r="C4456" s="55"/>
      <c r="D4456" s="55"/>
      <c r="E4456" s="66"/>
      <c r="F4456" s="76" t="s">
        <v>558</v>
      </c>
      <c r="G4456" s="76" t="str">
        <f>IF(ISNUMBER(F4456),E4456*F4456,"")</f>
        <v/>
      </c>
      <c r="H4456" s="77"/>
      <c r="I4456" s="74"/>
      <c r="J4456" s="155">
        <v>0</v>
      </c>
    </row>
    <row r="4457" spans="1:10" ht="15.75" hidden="1" thickBot="1" x14ac:dyDescent="0.3">
      <c r="A4457" s="180" t="s">
        <v>1430</v>
      </c>
      <c r="B4457" s="186" t="str">
        <f>INDEX(Orçamentária!A:B,MATCH(Composições!A4457,Orçamentária!A:A,0),2)</f>
        <v>Chapim Pré-Moldado de Concreto Aparente</v>
      </c>
      <c r="C4457" s="41"/>
      <c r="D4457" s="26" t="str">
        <f>TRIM(INDEX(Orçamentária!C:C,MATCH(Composições!A4457,Orçamentária!A:A,0),1))</f>
        <v>m</v>
      </c>
      <c r="E4457" s="27"/>
      <c r="F4457" s="49" t="s">
        <v>558</v>
      </c>
      <c r="G4457" s="28" t="str">
        <f>IF(ISNUMBER(F4457),E4457*F4457,"")</f>
        <v/>
      </c>
      <c r="H4457" s="29"/>
      <c r="I4457" s="30"/>
      <c r="J4457" s="155">
        <v>0</v>
      </c>
    </row>
    <row r="4458" spans="1:10" ht="15.75" hidden="1" thickBot="1" x14ac:dyDescent="0.3">
      <c r="A4458" s="181"/>
      <c r="B4458" s="202"/>
      <c r="C4458" s="32"/>
      <c r="D4458" s="32"/>
      <c r="E4458" s="33"/>
      <c r="F4458" s="54" t="s">
        <v>558</v>
      </c>
      <c r="G4458" s="54" t="str">
        <f>IF(ISNUMBER(F4458),E4458*F4458,"")</f>
        <v/>
      </c>
      <c r="H4458" s="73"/>
      <c r="I4458" s="74"/>
      <c r="J4458" s="155">
        <v>0</v>
      </c>
    </row>
    <row r="4459" spans="1:10" ht="26.25" hidden="1" thickBot="1" x14ac:dyDescent="0.3">
      <c r="A4459" s="181"/>
      <c r="B4459" s="202"/>
      <c r="C4459" s="36" t="s">
        <v>3598</v>
      </c>
      <c r="D4459" s="36" t="s">
        <v>938</v>
      </c>
      <c r="E4459" s="37">
        <v>0.02</v>
      </c>
      <c r="F4459" s="54">
        <v>21.754999999999999</v>
      </c>
      <c r="G4459" s="54">
        <f>IF(ISNUMBER(F4459),E4459*F4459,"")</f>
        <v>0.43509999999999999</v>
      </c>
      <c r="H4459" s="39">
        <f>SUM(G4459:G4472)</f>
        <v>108.84106035899998</v>
      </c>
      <c r="I4459" s="40"/>
      <c r="J4459" s="155">
        <v>0</v>
      </c>
    </row>
    <row r="4460" spans="1:10" ht="26.25" hidden="1" thickBot="1" x14ac:dyDescent="0.3">
      <c r="A4460" s="181"/>
      <c r="B4460" s="202"/>
      <c r="C4460" s="36" t="s">
        <v>1349</v>
      </c>
      <c r="D4460" s="36" t="s">
        <v>110</v>
      </c>
      <c r="E4460" s="37">
        <v>0.04</v>
      </c>
      <c r="F4460" s="54">
        <v>133.38</v>
      </c>
      <c r="G4460" s="54">
        <f>IF(ISNUMBER(F4460),E4460*F4460,"")</f>
        <v>5.3351999999999995</v>
      </c>
      <c r="H4460" s="73"/>
      <c r="I4460" s="74"/>
      <c r="J4460" s="155">
        <v>0</v>
      </c>
    </row>
    <row r="4461" spans="1:10" ht="15.75" hidden="1" thickBot="1" x14ac:dyDescent="0.3">
      <c r="A4461" s="181"/>
      <c r="B4461" s="202"/>
      <c r="C4461" s="36" t="s">
        <v>941</v>
      </c>
      <c r="D4461" s="36" t="s">
        <v>742</v>
      </c>
      <c r="E4461" s="37">
        <v>0.8</v>
      </c>
      <c r="F4461" s="54">
        <v>22.591000000000001</v>
      </c>
      <c r="G4461" s="54">
        <f>IF(ISNUMBER(F4461),E4461*F4461,"")</f>
        <v>18.072800000000001</v>
      </c>
      <c r="H4461" s="73"/>
      <c r="I4461" s="74"/>
      <c r="J4461" s="155">
        <v>0</v>
      </c>
    </row>
    <row r="4462" spans="1:10" ht="26.25" hidden="1" thickBot="1" x14ac:dyDescent="0.3">
      <c r="A4462" s="181"/>
      <c r="B4462" s="202"/>
      <c r="C4462" s="36" t="s">
        <v>1431</v>
      </c>
      <c r="D4462" s="36" t="s">
        <v>938</v>
      </c>
      <c r="E4462" s="37">
        <v>1.35</v>
      </c>
      <c r="F4462" s="54">
        <v>11.504499999999998</v>
      </c>
      <c r="G4462" s="54">
        <f>IF(ISNUMBER(F4462),E4462*F4462,"")</f>
        <v>15.531075</v>
      </c>
      <c r="H4462" s="73"/>
      <c r="I4462" s="74"/>
      <c r="J4462" s="155">
        <v>0</v>
      </c>
    </row>
    <row r="4463" spans="1:10" ht="15.75" hidden="1" thickBot="1" x14ac:dyDescent="0.3">
      <c r="A4463" s="181"/>
      <c r="B4463" s="202"/>
      <c r="C4463" s="36" t="s">
        <v>78</v>
      </c>
      <c r="D4463" s="36" t="s">
        <v>742</v>
      </c>
      <c r="E4463" s="37">
        <v>0.7</v>
      </c>
      <c r="F4463" s="54">
        <v>22.495999999999999</v>
      </c>
      <c r="G4463" s="54">
        <f>IF(ISNUMBER(F4463),E4463*F4463,"")</f>
        <v>15.747199999999998</v>
      </c>
      <c r="H4463" s="73"/>
      <c r="I4463" s="74"/>
      <c r="J4463" s="155">
        <v>0</v>
      </c>
    </row>
    <row r="4464" spans="1:10" ht="15.75" hidden="1" thickBot="1" x14ac:dyDescent="0.3">
      <c r="A4464" s="181"/>
      <c r="B4464" s="202"/>
      <c r="C4464" s="36" t="s">
        <v>1432</v>
      </c>
      <c r="D4464" s="36" t="s">
        <v>95</v>
      </c>
      <c r="E4464" s="37">
        <v>1</v>
      </c>
      <c r="F4464" s="54">
        <v>0</v>
      </c>
      <c r="G4464" s="54">
        <f>IF(ISNUMBER(F4464),E4464*F4464,"")</f>
        <v>0</v>
      </c>
      <c r="H4464" s="73"/>
      <c r="I4464" s="74"/>
      <c r="J4464" s="155">
        <v>0</v>
      </c>
    </row>
    <row r="4465" spans="1:10" ht="39" hidden="1" thickBot="1" x14ac:dyDescent="0.3">
      <c r="A4465" s="181"/>
      <c r="B4465" s="202"/>
      <c r="C4465" s="36" t="s">
        <v>1433</v>
      </c>
      <c r="D4465" s="36" t="s">
        <v>982</v>
      </c>
      <c r="E4465" s="37">
        <v>0.02</v>
      </c>
      <c r="F4465" s="54">
        <v>3.9425000000000003</v>
      </c>
      <c r="G4465" s="54">
        <f>IF(ISNUMBER(F4465),E4465*F4465,"")</f>
        <v>7.8850000000000003E-2</v>
      </c>
      <c r="H4465" s="73"/>
      <c r="I4465" s="74"/>
      <c r="J4465" s="155">
        <v>0</v>
      </c>
    </row>
    <row r="4466" spans="1:10" ht="15.75" hidden="1" thickBot="1" x14ac:dyDescent="0.3">
      <c r="A4466" s="181"/>
      <c r="B4466" s="202"/>
      <c r="C4466" s="36" t="s">
        <v>787</v>
      </c>
      <c r="D4466" s="36" t="s">
        <v>938</v>
      </c>
      <c r="E4466" s="37">
        <v>17.36</v>
      </c>
      <c r="F4466" s="54">
        <v>0.52249999999999996</v>
      </c>
      <c r="G4466" s="54">
        <f>IF(ISNUMBER(F4466),E4466*F4466,"")</f>
        <v>9.0705999999999989</v>
      </c>
      <c r="H4466" s="73"/>
      <c r="I4466" s="74"/>
      <c r="J4466" s="155">
        <v>0</v>
      </c>
    </row>
    <row r="4467" spans="1:10" ht="26.25" hidden="1" thickBot="1" x14ac:dyDescent="0.3">
      <c r="A4467" s="181"/>
      <c r="B4467" s="202"/>
      <c r="C4467" s="36" t="s">
        <v>796</v>
      </c>
      <c r="D4467" s="36" t="s">
        <v>110</v>
      </c>
      <c r="E4467" s="37">
        <v>0.09</v>
      </c>
      <c r="F4467" s="54">
        <v>144.29549999999998</v>
      </c>
      <c r="G4467" s="54">
        <f>IF(ISNUMBER(F4467),E4467*F4467,"")</f>
        <v>12.986594999999998</v>
      </c>
      <c r="H4467" s="73"/>
      <c r="I4467" s="74"/>
      <c r="J4467" s="155">
        <v>0</v>
      </c>
    </row>
    <row r="4468" spans="1:10" ht="15.75" hidden="1" thickBot="1" x14ac:dyDescent="0.3">
      <c r="A4468" s="181"/>
      <c r="B4468" s="202"/>
      <c r="C4468" s="36" t="s">
        <v>1434</v>
      </c>
      <c r="D4468" s="36" t="s">
        <v>42</v>
      </c>
      <c r="E4468" s="37">
        <v>0.02</v>
      </c>
      <c r="F4468" s="54">
        <v>19.227999999999998</v>
      </c>
      <c r="G4468" s="54">
        <f>IF(ISNUMBER(F4468),E4468*F4468,"")</f>
        <v>0.38455999999999996</v>
      </c>
      <c r="H4468" s="73"/>
      <c r="I4468" s="74"/>
      <c r="J4468" s="155">
        <v>0</v>
      </c>
    </row>
    <row r="4469" spans="1:10" ht="15.75" hidden="1" thickBot="1" x14ac:dyDescent="0.3">
      <c r="A4469" s="181"/>
      <c r="B4469" s="202"/>
      <c r="C4469" s="36" t="s">
        <v>750</v>
      </c>
      <c r="D4469" s="36" t="s">
        <v>12</v>
      </c>
      <c r="E4469" s="37">
        <v>0.3</v>
      </c>
      <c r="F4469" s="54">
        <v>22.704999999999998</v>
      </c>
      <c r="G4469" s="54">
        <f>IF(ISNUMBER(F4469),E4469*F4469,"")</f>
        <v>6.8114999999999997</v>
      </c>
      <c r="H4469" s="73"/>
      <c r="I4469" s="74"/>
      <c r="J4469" s="155">
        <v>0</v>
      </c>
    </row>
    <row r="4470" spans="1:10" ht="15.75" hidden="1" thickBot="1" x14ac:dyDescent="0.3">
      <c r="A4470" s="181"/>
      <c r="B4470" s="202"/>
      <c r="C4470" s="36" t="s">
        <v>743</v>
      </c>
      <c r="D4470" s="36" t="s">
        <v>742</v>
      </c>
      <c r="E4470" s="37">
        <v>1.1000000000000001</v>
      </c>
      <c r="F4470" s="54">
        <v>16.729499999999998</v>
      </c>
      <c r="G4470" s="54">
        <f>IF(ISNUMBER(F4470),E4470*F4470,"")</f>
        <v>18.402449999999998</v>
      </c>
      <c r="H4470" s="73"/>
      <c r="I4470" s="74"/>
      <c r="J4470" s="155">
        <v>0</v>
      </c>
    </row>
    <row r="4471" spans="1:10" ht="51.75" hidden="1" thickBot="1" x14ac:dyDescent="0.3">
      <c r="A4471" s="181"/>
      <c r="B4471" s="202"/>
      <c r="C4471" s="36" t="s">
        <v>3617</v>
      </c>
      <c r="D4471" s="36" t="s">
        <v>110</v>
      </c>
      <c r="E4471" s="37">
        <f>1*(E4460+E4467)</f>
        <v>0.13</v>
      </c>
      <c r="F4471" s="34">
        <v>6.0418992999999999</v>
      </c>
      <c r="G4471" s="34">
        <f>IF(ISNUMBER(F4471),E4471*F4471,"")</f>
        <v>0.78544690900000003</v>
      </c>
      <c r="H4471" s="35"/>
      <c r="I4471" s="31"/>
      <c r="J4471" s="155">
        <v>0</v>
      </c>
    </row>
    <row r="4472" spans="1:10" ht="39" hidden="1" thickBot="1" x14ac:dyDescent="0.3">
      <c r="A4472" s="181"/>
      <c r="B4472" s="202"/>
      <c r="C4472" s="36" t="s">
        <v>123</v>
      </c>
      <c r="D4472" s="36" t="s">
        <v>124</v>
      </c>
      <c r="E4472" s="37">
        <f>(E4460+E4467)*20</f>
        <v>2.6</v>
      </c>
      <c r="F4472" s="54">
        <v>1.9998782499999996</v>
      </c>
      <c r="G4472" s="54">
        <f>IF(ISNUMBER(F4472),E4472*F4472,"")</f>
        <v>5.1996834499999993</v>
      </c>
      <c r="H4472" s="73"/>
      <c r="I4472" s="74"/>
      <c r="J4472" s="155">
        <v>0</v>
      </c>
    </row>
    <row r="4473" spans="1:10" ht="15.75" hidden="1" thickBot="1" x14ac:dyDescent="0.3">
      <c r="A4473" s="181"/>
      <c r="B4473" s="202"/>
      <c r="C4473" s="36"/>
      <c r="D4473" s="36"/>
      <c r="E4473" s="37"/>
      <c r="F4473" s="54" t="s">
        <v>558</v>
      </c>
      <c r="G4473" s="54" t="str">
        <f>IF(ISNUMBER(F4473),E4473*F4473,"")</f>
        <v/>
      </c>
      <c r="H4473" s="73"/>
      <c r="I4473" s="74"/>
      <c r="J4473" s="155">
        <v>0</v>
      </c>
    </row>
    <row r="4474" spans="1:10" ht="26.25" hidden="1" thickBot="1" x14ac:dyDescent="0.3">
      <c r="A4474" s="181"/>
      <c r="B4474" s="202"/>
      <c r="C4474" s="48" t="s">
        <v>1337</v>
      </c>
      <c r="D4474" s="36"/>
      <c r="E4474" s="37"/>
      <c r="F4474" s="54" t="s">
        <v>558</v>
      </c>
      <c r="G4474" s="54" t="str">
        <f>IF(ISNUMBER(F4474),E4474*F4474,"")</f>
        <v/>
      </c>
      <c r="H4474" s="73"/>
      <c r="I4474" s="74"/>
      <c r="J4474" s="155">
        <v>0</v>
      </c>
    </row>
    <row r="4475" spans="1:10" ht="15.75" hidden="1" thickBot="1" x14ac:dyDescent="0.3">
      <c r="A4475" s="182"/>
      <c r="B4475" s="188"/>
      <c r="C4475" s="55"/>
      <c r="D4475" s="55"/>
      <c r="E4475" s="66"/>
      <c r="F4475" s="76" t="s">
        <v>558</v>
      </c>
      <c r="G4475" s="76" t="str">
        <f>IF(ISNUMBER(F4475),E4475*F4475,"")</f>
        <v/>
      </c>
      <c r="H4475" s="77"/>
      <c r="I4475" s="74"/>
      <c r="J4475" s="155">
        <v>0</v>
      </c>
    </row>
    <row r="4476" spans="1:10" ht="15.75" hidden="1" thickBot="1" x14ac:dyDescent="0.3">
      <c r="A4476" s="180" t="s">
        <v>1435</v>
      </c>
      <c r="B4476" s="186" t="str">
        <f>INDEX(Orçamentária!A:B,MATCH(Composições!A4476,Orçamentária!A:A,0),2)</f>
        <v>Armação em tela de aço soldado nervurada</v>
      </c>
      <c r="C4476" s="41"/>
      <c r="D4476" s="26" t="str">
        <f>TRIM(INDEX(Orçamentária!C:C,MATCH(Composições!A4476,Orçamentária!A:A,0),1))</f>
        <v>m2</v>
      </c>
      <c r="E4476" s="27"/>
      <c r="F4476" s="49" t="s">
        <v>558</v>
      </c>
      <c r="G4476" s="28" t="str">
        <f>IF(ISNUMBER(F4476),E4476*F4476,"")</f>
        <v/>
      </c>
      <c r="H4476" s="29"/>
      <c r="I4476" s="30"/>
      <c r="J4476" s="155">
        <v>0</v>
      </c>
    </row>
    <row r="4477" spans="1:10" ht="15.75" hidden="1" thickBot="1" x14ac:dyDescent="0.3">
      <c r="A4477" s="181"/>
      <c r="B4477" s="202"/>
      <c r="C4477" s="32"/>
      <c r="D4477" s="32"/>
      <c r="E4477" s="33"/>
      <c r="F4477" s="54" t="s">
        <v>558</v>
      </c>
      <c r="G4477" s="54" t="str">
        <f>IF(ISNUMBER(F4477),E4477*F4477,"")</f>
        <v/>
      </c>
      <c r="H4477" s="73"/>
      <c r="I4477" s="74"/>
      <c r="J4477" s="155">
        <v>0</v>
      </c>
    </row>
    <row r="4478" spans="1:10" ht="39" hidden="1" thickBot="1" x14ac:dyDescent="0.3">
      <c r="A4478" s="181"/>
      <c r="B4478" s="202"/>
      <c r="C4478" s="36" t="s">
        <v>1436</v>
      </c>
      <c r="D4478" s="36" t="s">
        <v>1034</v>
      </c>
      <c r="E4478" s="37">
        <f>ROUND(0.712*1.48,4)</f>
        <v>1.0538000000000001</v>
      </c>
      <c r="F4478" s="54">
        <v>22.724</v>
      </c>
      <c r="G4478" s="54">
        <f>IF(ISNUMBER(F4478),E4478*F4478,"")</f>
        <v>23.946551200000002</v>
      </c>
      <c r="H4478" s="39">
        <f>SUM(G4478:G4482)</f>
        <v>26.151221900000003</v>
      </c>
      <c r="I4478" s="40"/>
      <c r="J4478" s="155">
        <v>0</v>
      </c>
    </row>
    <row r="4479" spans="1:10" ht="39" hidden="1" thickBot="1" x14ac:dyDescent="0.3">
      <c r="A4479" s="181"/>
      <c r="B4479" s="202"/>
      <c r="C4479" s="36" t="s">
        <v>939</v>
      </c>
      <c r="D4479" s="36" t="s">
        <v>292</v>
      </c>
      <c r="E4479" s="37">
        <f>ROUND(1.382*1.48,4)</f>
        <v>2.0453999999999999</v>
      </c>
      <c r="F4479" s="54">
        <v>0.19949999999999998</v>
      </c>
      <c r="G4479" s="54">
        <f>IF(ISNUMBER(F4479),E4479*F4479,"")</f>
        <v>0.40805729999999996</v>
      </c>
      <c r="H4479" s="73"/>
      <c r="I4479" s="74"/>
      <c r="J4479" s="155">
        <v>0</v>
      </c>
    </row>
    <row r="4480" spans="1:10" ht="26.25" hidden="1" thickBot="1" x14ac:dyDescent="0.3">
      <c r="A4480" s="181"/>
      <c r="B4480" s="202"/>
      <c r="C4480" s="36" t="s">
        <v>3598</v>
      </c>
      <c r="D4480" s="36" t="s">
        <v>938</v>
      </c>
      <c r="E4480" s="37">
        <f>ROUND(0.0105*1.48,4)</f>
        <v>1.55E-2</v>
      </c>
      <c r="F4480" s="54">
        <v>21.754999999999999</v>
      </c>
      <c r="G4480" s="54">
        <f>IF(ISNUMBER(F4480),E4480*F4480,"")</f>
        <v>0.33720249999999996</v>
      </c>
      <c r="H4480" s="73"/>
      <c r="I4480" s="74"/>
      <c r="J4480" s="155">
        <v>0</v>
      </c>
    </row>
    <row r="4481" spans="1:10" ht="15.75" hidden="1" thickBot="1" x14ac:dyDescent="0.3">
      <c r="A4481" s="181"/>
      <c r="B4481" s="202"/>
      <c r="C4481" s="36" t="s">
        <v>940</v>
      </c>
      <c r="D4481" s="36" t="s">
        <v>742</v>
      </c>
      <c r="E4481" s="37">
        <f>ROUND(0.006*1.48,4)</f>
        <v>8.8999999999999999E-3</v>
      </c>
      <c r="F4481" s="54">
        <v>17.518000000000001</v>
      </c>
      <c r="G4481" s="54">
        <f>IF(ISNUMBER(F4481),E4481*F4481,"")</f>
        <v>0.1559102</v>
      </c>
      <c r="H4481" s="73"/>
      <c r="I4481" s="74"/>
      <c r="J4481" s="155">
        <v>0</v>
      </c>
    </row>
    <row r="4482" spans="1:10" ht="15.75" hidden="1" thickBot="1" x14ac:dyDescent="0.3">
      <c r="A4482" s="181"/>
      <c r="B4482" s="202"/>
      <c r="C4482" s="36" t="s">
        <v>941</v>
      </c>
      <c r="D4482" s="36" t="s">
        <v>742</v>
      </c>
      <c r="E4482" s="37">
        <f>ROUND(0.039*1.48,4)</f>
        <v>5.7700000000000001E-2</v>
      </c>
      <c r="F4482" s="54">
        <v>22.591000000000001</v>
      </c>
      <c r="G4482" s="54">
        <f>IF(ISNUMBER(F4482),E4482*F4482,"")</f>
        <v>1.3035007000000001</v>
      </c>
      <c r="H4482" s="73"/>
      <c r="I4482" s="74"/>
      <c r="J4482" s="155">
        <v>0</v>
      </c>
    </row>
    <row r="4483" spans="1:10" ht="15.75" hidden="1" thickBot="1" x14ac:dyDescent="0.3">
      <c r="A4483" s="181"/>
      <c r="B4483" s="202"/>
      <c r="C4483" s="36"/>
      <c r="D4483" s="36"/>
      <c r="E4483" s="37"/>
      <c r="F4483" s="54" t="s">
        <v>558</v>
      </c>
      <c r="G4483" s="54" t="str">
        <f>IF(ISNUMBER(F4483),E4483*F4483,"")</f>
        <v/>
      </c>
      <c r="H4483" s="73"/>
      <c r="I4483" s="74"/>
      <c r="J4483" s="155">
        <v>0</v>
      </c>
    </row>
    <row r="4484" spans="1:10" ht="15.75" hidden="1" thickBot="1" x14ac:dyDescent="0.3">
      <c r="A4484" s="180" t="s">
        <v>1437</v>
      </c>
      <c r="B4484" s="186" t="str">
        <f>INDEX(Orçamentária!A:B,MATCH(Composições!A4484,Orçamentária!A:A,0),2)</f>
        <v>Trama de aço composta por terças para telhados de até 2 águas</v>
      </c>
      <c r="C4484" s="41"/>
      <c r="D4484" s="26" t="str">
        <f>TRIM(INDEX(Orçamentária!C:C,MATCH(Composições!A4484,Orçamentária!A:A,0),1))</f>
        <v>m2</v>
      </c>
      <c r="E4484" s="27"/>
      <c r="F4484" s="49" t="s">
        <v>558</v>
      </c>
      <c r="G4484" s="28" t="str">
        <f>IF(ISNUMBER(F4484),E4484*F4484,"")</f>
        <v/>
      </c>
      <c r="H4484" s="29"/>
      <c r="I4484" s="30"/>
      <c r="J4484" s="155">
        <v>0</v>
      </c>
    </row>
    <row r="4485" spans="1:10" ht="15.75" hidden="1" thickBot="1" x14ac:dyDescent="0.3">
      <c r="A4485" s="181"/>
      <c r="B4485" s="202"/>
      <c r="C4485" s="32"/>
      <c r="D4485" s="32"/>
      <c r="E4485" s="33"/>
      <c r="F4485" s="54" t="s">
        <v>558</v>
      </c>
      <c r="G4485" s="54" t="str">
        <f>IF(ISNUMBER(F4485),E4485*F4485,"")</f>
        <v/>
      </c>
      <c r="H4485" s="73"/>
      <c r="I4485" s="74"/>
      <c r="J4485" s="155">
        <v>0</v>
      </c>
    </row>
    <row r="4486" spans="1:10" ht="26.25" hidden="1" thickBot="1" x14ac:dyDescent="0.3">
      <c r="A4486" s="181"/>
      <c r="B4486" s="202"/>
      <c r="C4486" s="36" t="s">
        <v>1438</v>
      </c>
      <c r="D4486" s="47" t="s">
        <v>1304</v>
      </c>
      <c r="E4486" s="37">
        <v>7.0000000000000001E-3</v>
      </c>
      <c r="F4486" s="54">
        <v>116.3845</v>
      </c>
      <c r="G4486" s="54">
        <f>IF(ISNUMBER(F4486),E4486*F4486,"")</f>
        <v>0.81469150000000001</v>
      </c>
      <c r="H4486" s="39">
        <f>SUM(G4486:G4491)</f>
        <v>49.298167600000006</v>
      </c>
      <c r="I4486" s="40"/>
      <c r="J4486" s="155">
        <v>0</v>
      </c>
    </row>
    <row r="4487" spans="1:10" ht="26.25" hidden="1" thickBot="1" x14ac:dyDescent="0.3">
      <c r="A4487" s="181"/>
      <c r="B4487" s="202"/>
      <c r="C4487" s="36" t="s">
        <v>1439</v>
      </c>
      <c r="D4487" s="36" t="s">
        <v>938</v>
      </c>
      <c r="E4487" s="37">
        <v>4.3330000000000002</v>
      </c>
      <c r="F4487" s="54">
        <v>9.8610000000000007</v>
      </c>
      <c r="G4487" s="54">
        <f>IF(ISNUMBER(F4487),E4487*F4487,"")</f>
        <v>42.727713000000001</v>
      </c>
      <c r="H4487" s="73"/>
      <c r="I4487" s="74"/>
      <c r="J4487" s="155">
        <v>0</v>
      </c>
    </row>
    <row r="4488" spans="1:10" ht="26.25" hidden="1" thickBot="1" x14ac:dyDescent="0.3">
      <c r="A4488" s="181"/>
      <c r="B4488" s="202"/>
      <c r="C4488" s="36" t="s">
        <v>1027</v>
      </c>
      <c r="D4488" s="36" t="s">
        <v>742</v>
      </c>
      <c r="E4488" s="37">
        <v>0.21299999999999999</v>
      </c>
      <c r="F4488" s="54">
        <v>17.299499999999998</v>
      </c>
      <c r="G4488" s="54">
        <f>IF(ISNUMBER(F4488),E4488*F4488,"")</f>
        <v>3.6847934999999996</v>
      </c>
      <c r="H4488" s="73"/>
      <c r="I4488" s="74"/>
      <c r="J4488" s="155">
        <v>0</v>
      </c>
    </row>
    <row r="4489" spans="1:10" ht="15.75" hidden="1" thickBot="1" x14ac:dyDescent="0.3">
      <c r="A4489" s="181"/>
      <c r="B4489" s="202"/>
      <c r="C4489" s="36" t="s">
        <v>743</v>
      </c>
      <c r="D4489" s="36" t="s">
        <v>742</v>
      </c>
      <c r="E4489" s="37">
        <v>0.106</v>
      </c>
      <c r="F4489" s="54">
        <v>16.729499999999998</v>
      </c>
      <c r="G4489" s="54">
        <f>IF(ISNUMBER(F4489),E4489*F4489,"")</f>
        <v>1.7733269999999997</v>
      </c>
      <c r="H4489" s="73"/>
      <c r="I4489" s="74"/>
      <c r="J4489" s="155">
        <v>0</v>
      </c>
    </row>
    <row r="4490" spans="1:10" ht="26.25" hidden="1" thickBot="1" x14ac:dyDescent="0.3">
      <c r="A4490" s="181"/>
      <c r="B4490" s="202"/>
      <c r="C4490" s="36" t="s">
        <v>1369</v>
      </c>
      <c r="D4490" s="36" t="s">
        <v>982</v>
      </c>
      <c r="E4490" s="37">
        <v>6.7999999999999996E-3</v>
      </c>
      <c r="F4490" s="54">
        <v>18.819499999999998</v>
      </c>
      <c r="G4490" s="54">
        <f>IF(ISNUMBER(F4490),E4490*F4490,"")</f>
        <v>0.12797259999999999</v>
      </c>
      <c r="H4490" s="73"/>
      <c r="I4490" s="74"/>
      <c r="J4490" s="155">
        <v>0</v>
      </c>
    </row>
    <row r="4491" spans="1:10" ht="26.25" hidden="1" thickBot="1" x14ac:dyDescent="0.3">
      <c r="A4491" s="181"/>
      <c r="B4491" s="202"/>
      <c r="C4491" s="36" t="s">
        <v>1370</v>
      </c>
      <c r="D4491" s="36" t="s">
        <v>984</v>
      </c>
      <c r="E4491" s="37">
        <v>9.4000000000000004E-3</v>
      </c>
      <c r="F4491" s="54">
        <v>18.05</v>
      </c>
      <c r="G4491" s="54">
        <f>IF(ISNUMBER(F4491),E4491*F4491,"")</f>
        <v>0.16967000000000002</v>
      </c>
      <c r="H4491" s="73"/>
      <c r="I4491" s="74"/>
      <c r="J4491" s="155">
        <v>0</v>
      </c>
    </row>
    <row r="4492" spans="1:10" ht="15.75" hidden="1" thickBot="1" x14ac:dyDescent="0.3">
      <c r="A4492" s="182"/>
      <c r="B4492" s="188"/>
      <c r="C4492" s="55"/>
      <c r="D4492" s="55"/>
      <c r="E4492" s="66"/>
      <c r="F4492" s="76" t="s">
        <v>558</v>
      </c>
      <c r="G4492" s="76" t="str">
        <f>IF(ISNUMBER(F4492),E4492*F4492,"")</f>
        <v/>
      </c>
      <c r="H4492" s="77"/>
      <c r="I4492" s="74"/>
      <c r="J4492" s="155">
        <v>0</v>
      </c>
    </row>
    <row r="4493" spans="1:10" ht="15.75" hidden="1" thickBot="1" x14ac:dyDescent="0.3">
      <c r="A4493" s="180" t="s">
        <v>1440</v>
      </c>
      <c r="B4493" s="186" t="str">
        <f>INDEX(Orçamentária!A:B,MATCH(Composições!A4493,Orçamentária!A:A,0),2)</f>
        <v>Revestimento impermeabilizante bloqueador de umidade</v>
      </c>
      <c r="C4493" s="41"/>
      <c r="D4493" s="26" t="str">
        <f>TRIM(INDEX(Orçamentária!C:C,MATCH(Composições!A4493,Orçamentária!A:A,0),1))</f>
        <v>m2</v>
      </c>
      <c r="E4493" s="27"/>
      <c r="F4493" s="49" t="s">
        <v>558</v>
      </c>
      <c r="G4493" s="28" t="str">
        <f>IF(ISNUMBER(F4493),E4493*F4493,"")</f>
        <v/>
      </c>
      <c r="H4493" s="29"/>
      <c r="I4493" s="30"/>
      <c r="J4493" s="155">
        <v>0</v>
      </c>
    </row>
    <row r="4494" spans="1:10" ht="15.75" hidden="1" thickBot="1" x14ac:dyDescent="0.3">
      <c r="A4494" s="181"/>
      <c r="B4494" s="202"/>
      <c r="C4494" s="32"/>
      <c r="D4494" s="32"/>
      <c r="E4494" s="33"/>
      <c r="F4494" s="54" t="s">
        <v>558</v>
      </c>
      <c r="G4494" s="54" t="str">
        <f>IF(ISNUMBER(F4494),E4494*F4494,"")</f>
        <v/>
      </c>
      <c r="H4494" s="73"/>
      <c r="I4494" s="74"/>
      <c r="J4494" s="155">
        <v>0</v>
      </c>
    </row>
    <row r="4495" spans="1:10" ht="15.75" hidden="1" thickBot="1" x14ac:dyDescent="0.3">
      <c r="A4495" s="181"/>
      <c r="B4495" s="202"/>
      <c r="C4495" s="36" t="s">
        <v>1091</v>
      </c>
      <c r="D4495" s="36" t="s">
        <v>742</v>
      </c>
      <c r="E4495" s="37">
        <v>0.1</v>
      </c>
      <c r="F4495" s="54">
        <v>18.943000000000001</v>
      </c>
      <c r="G4495" s="54">
        <f>IF(ISNUMBER(F4495),E4495*F4495,"")</f>
        <v>1.8943000000000003</v>
      </c>
      <c r="H4495" s="39">
        <f>SUM(G4495:G4497)</f>
        <v>6.6234000000000002</v>
      </c>
      <c r="I4495" s="40"/>
      <c r="J4495" s="155">
        <v>0</v>
      </c>
    </row>
    <row r="4496" spans="1:10" ht="15.75" hidden="1" thickBot="1" x14ac:dyDescent="0.3">
      <c r="A4496" s="181"/>
      <c r="B4496" s="202"/>
      <c r="C4496" s="36" t="s">
        <v>1137</v>
      </c>
      <c r="D4496" s="36" t="s">
        <v>742</v>
      </c>
      <c r="E4496" s="37">
        <v>0.2</v>
      </c>
      <c r="F4496" s="54">
        <v>23.645499999999998</v>
      </c>
      <c r="G4496" s="54">
        <f>IF(ISNUMBER(F4496),E4496*F4496,"")</f>
        <v>4.7290999999999999</v>
      </c>
      <c r="H4496" s="73"/>
      <c r="I4496" s="74"/>
      <c r="J4496" s="155">
        <v>0</v>
      </c>
    </row>
    <row r="4497" spans="1:10" ht="15.75" hidden="1" thickBot="1" x14ac:dyDescent="0.3">
      <c r="A4497" s="181"/>
      <c r="B4497" s="202"/>
      <c r="C4497" s="36" t="s">
        <v>3628</v>
      </c>
      <c r="D4497" s="36" t="s">
        <v>103</v>
      </c>
      <c r="E4497" s="37">
        <f>2*3.6/75</f>
        <v>9.6000000000000002E-2</v>
      </c>
      <c r="F4497" s="54" t="s">
        <v>558</v>
      </c>
      <c r="G4497" s="54" t="str">
        <f>IF(ISNUMBER(F4497),E4497*F4497,"")</f>
        <v/>
      </c>
      <c r="H4497" s="73"/>
      <c r="I4497" s="74"/>
      <c r="J4497" s="155">
        <v>0</v>
      </c>
    </row>
    <row r="4498" spans="1:10" ht="15.75" hidden="1" thickBot="1" x14ac:dyDescent="0.3">
      <c r="A4498" s="181"/>
      <c r="B4498" s="202"/>
      <c r="C4498" s="36"/>
      <c r="D4498" s="36"/>
      <c r="E4498" s="37"/>
      <c r="F4498" s="54" t="s">
        <v>558</v>
      </c>
      <c r="G4498" s="54" t="str">
        <f>IF(ISNUMBER(F4498),E4498*F4498,"")</f>
        <v/>
      </c>
      <c r="H4498" s="73"/>
      <c r="I4498" s="74"/>
      <c r="J4498" s="155">
        <v>0</v>
      </c>
    </row>
    <row r="4499" spans="1:10" ht="39" hidden="1" thickBot="1" x14ac:dyDescent="0.3">
      <c r="A4499" s="181"/>
      <c r="B4499" s="202"/>
      <c r="C4499" s="48" t="s">
        <v>1441</v>
      </c>
      <c r="D4499" s="36"/>
      <c r="E4499" s="37"/>
      <c r="F4499" s="54" t="s">
        <v>558</v>
      </c>
      <c r="G4499" s="54" t="str">
        <f>IF(ISNUMBER(F4499),E4499*F4499,"")</f>
        <v/>
      </c>
      <c r="H4499" s="73"/>
      <c r="I4499" s="74"/>
      <c r="J4499" s="155">
        <v>0</v>
      </c>
    </row>
    <row r="4500" spans="1:10" ht="15.75" hidden="1" thickBot="1" x14ac:dyDescent="0.3">
      <c r="A4500" s="181"/>
      <c r="B4500" s="202"/>
      <c r="C4500" s="36"/>
      <c r="D4500" s="36"/>
      <c r="E4500" s="37"/>
      <c r="F4500" s="54" t="s">
        <v>558</v>
      </c>
      <c r="G4500" s="54" t="str">
        <f>IF(ISNUMBER(F4500),E4500*F4500,"")</f>
        <v/>
      </c>
      <c r="H4500" s="73"/>
      <c r="I4500" s="74"/>
      <c r="J4500" s="155">
        <v>0</v>
      </c>
    </row>
    <row r="4501" spans="1:10" ht="15.75" hidden="1" thickBot="1" x14ac:dyDescent="0.3">
      <c r="A4501" s="180" t="s">
        <v>1442</v>
      </c>
      <c r="B4501" s="186" t="str">
        <f>INDEX(Orçamentária!A:B,MATCH(Composições!A4501,Orçamentária!A:A,0),2)</f>
        <v>Pintura com tinta refletiva aluminizada para impermeabilização</v>
      </c>
      <c r="C4501" s="41"/>
      <c r="D4501" s="26" t="str">
        <f>TRIM(INDEX(Orçamentária!C:C,MATCH(Composições!A4501,Orçamentária!A:A,0),1))</f>
        <v>m2</v>
      </c>
      <c r="E4501" s="27"/>
      <c r="F4501" s="49" t="s">
        <v>558</v>
      </c>
      <c r="G4501" s="28" t="str">
        <f>IF(ISNUMBER(F4501),E4501*F4501,"")</f>
        <v/>
      </c>
      <c r="H4501" s="29"/>
      <c r="I4501" s="30"/>
      <c r="J4501" s="155">
        <v>0</v>
      </c>
    </row>
    <row r="4502" spans="1:10" ht="15.75" hidden="1" thickBot="1" x14ac:dyDescent="0.3">
      <c r="A4502" s="181"/>
      <c r="B4502" s="202"/>
      <c r="C4502" s="32"/>
      <c r="D4502" s="32"/>
      <c r="E4502" s="33"/>
      <c r="F4502" s="54" t="s">
        <v>558</v>
      </c>
      <c r="G4502" s="54" t="str">
        <f>IF(ISNUMBER(F4502),E4502*F4502,"")</f>
        <v/>
      </c>
      <c r="H4502" s="73"/>
      <c r="I4502" s="74"/>
      <c r="J4502" s="155">
        <v>0</v>
      </c>
    </row>
    <row r="4503" spans="1:10" ht="15.75" hidden="1" thickBot="1" x14ac:dyDescent="0.3">
      <c r="A4503" s="181"/>
      <c r="B4503" s="202"/>
      <c r="C4503" s="36" t="s">
        <v>1091</v>
      </c>
      <c r="D4503" s="36" t="s">
        <v>742</v>
      </c>
      <c r="E4503" s="37">
        <v>0.1</v>
      </c>
      <c r="F4503" s="54">
        <v>18.943000000000001</v>
      </c>
      <c r="G4503" s="54">
        <f>IF(ISNUMBER(F4503),E4503*F4503,"")</f>
        <v>1.8943000000000003</v>
      </c>
      <c r="H4503" s="39">
        <f>SUM(G4503:G4505)</f>
        <v>6.6234000000000002</v>
      </c>
      <c r="I4503" s="40"/>
      <c r="J4503" s="155">
        <v>0</v>
      </c>
    </row>
    <row r="4504" spans="1:10" ht="15.75" hidden="1" thickBot="1" x14ac:dyDescent="0.3">
      <c r="A4504" s="181"/>
      <c r="B4504" s="202"/>
      <c r="C4504" s="36" t="s">
        <v>1137</v>
      </c>
      <c r="D4504" s="36" t="s">
        <v>742</v>
      </c>
      <c r="E4504" s="37">
        <v>0.2</v>
      </c>
      <c r="F4504" s="54">
        <v>23.645499999999998</v>
      </c>
      <c r="G4504" s="54">
        <f>IF(ISNUMBER(F4504),E4504*F4504,"")</f>
        <v>4.7290999999999999</v>
      </c>
      <c r="H4504" s="73"/>
      <c r="I4504" s="74"/>
      <c r="J4504" s="155">
        <v>0</v>
      </c>
    </row>
    <row r="4505" spans="1:10" ht="15.75" hidden="1" thickBot="1" x14ac:dyDescent="0.3">
      <c r="A4505" s="181"/>
      <c r="B4505" s="202"/>
      <c r="C4505" s="36" t="s">
        <v>1443</v>
      </c>
      <c r="D4505" s="36" t="s">
        <v>103</v>
      </c>
      <c r="E4505" s="37">
        <v>0.5</v>
      </c>
      <c r="F4505" s="54">
        <v>0</v>
      </c>
      <c r="G4505" s="54">
        <f>IF(ISNUMBER(F4505),E4505*F4505,"")</f>
        <v>0</v>
      </c>
      <c r="H4505" s="73"/>
      <c r="I4505" s="74"/>
      <c r="J4505" s="155">
        <v>0</v>
      </c>
    </row>
    <row r="4506" spans="1:10" ht="15.75" hidden="1" thickBot="1" x14ac:dyDescent="0.3">
      <c r="A4506" s="181"/>
      <c r="B4506" s="202"/>
      <c r="C4506" s="36"/>
      <c r="D4506" s="36"/>
      <c r="E4506" s="37"/>
      <c r="F4506" s="54" t="s">
        <v>558</v>
      </c>
      <c r="G4506" s="54" t="str">
        <f>IF(ISNUMBER(F4506),E4506*F4506,"")</f>
        <v/>
      </c>
      <c r="H4506" s="73"/>
      <c r="I4506" s="74"/>
      <c r="J4506" s="155">
        <v>0</v>
      </c>
    </row>
    <row r="4507" spans="1:10" ht="15.75" hidden="1" thickBot="1" x14ac:dyDescent="0.3">
      <c r="A4507" s="180" t="s">
        <v>1444</v>
      </c>
      <c r="B4507" s="186" t="str">
        <f>INDEX(Orçamentária!A:B,MATCH(Composições!A4507,Orçamentária!A:A,0),2)</f>
        <v>Concreto leve com poliestireno expandido</v>
      </c>
      <c r="C4507" s="41"/>
      <c r="D4507" s="26" t="str">
        <f>TRIM(INDEX(Orçamentária!C:C,MATCH(Composições!A4507,Orçamentária!A:A,0),1))</f>
        <v>m3</v>
      </c>
      <c r="E4507" s="27"/>
      <c r="F4507" s="49" t="s">
        <v>558</v>
      </c>
      <c r="G4507" s="28" t="str">
        <f>IF(ISNUMBER(F4507),E4507*F4507,"")</f>
        <v/>
      </c>
      <c r="H4507" s="29"/>
      <c r="I4507" s="30"/>
      <c r="J4507" s="155">
        <v>0</v>
      </c>
    </row>
    <row r="4508" spans="1:10" ht="15.75" hidden="1" thickBot="1" x14ac:dyDescent="0.3">
      <c r="A4508" s="181"/>
      <c r="B4508" s="202"/>
      <c r="C4508" s="32"/>
      <c r="D4508" s="32"/>
      <c r="E4508" s="33"/>
      <c r="F4508" s="54" t="s">
        <v>558</v>
      </c>
      <c r="G4508" s="54" t="str">
        <f>IF(ISNUMBER(F4508),E4508*F4508,"")</f>
        <v/>
      </c>
      <c r="H4508" s="73"/>
      <c r="I4508" s="74"/>
      <c r="J4508" s="155">
        <v>0</v>
      </c>
    </row>
    <row r="4509" spans="1:10" ht="15.75" hidden="1" thickBot="1" x14ac:dyDescent="0.3">
      <c r="A4509" s="181"/>
      <c r="B4509" s="202"/>
      <c r="C4509" s="36" t="s">
        <v>743</v>
      </c>
      <c r="D4509" s="36" t="s">
        <v>742</v>
      </c>
      <c r="E4509" s="37">
        <v>6.5</v>
      </c>
      <c r="F4509" s="54">
        <v>16.729499999999998</v>
      </c>
      <c r="G4509" s="54">
        <f>IF(ISNUMBER(F4509),E4509*F4509,"")</f>
        <v>108.74174999999998</v>
      </c>
      <c r="H4509" s="39">
        <f>SUM(G4509:G4515)</f>
        <v>964.50361071939994</v>
      </c>
      <c r="I4509" s="40"/>
      <c r="J4509" s="155">
        <v>0</v>
      </c>
    </row>
    <row r="4510" spans="1:10" ht="26.25" hidden="1" thickBot="1" x14ac:dyDescent="0.3">
      <c r="A4510" s="181"/>
      <c r="B4510" s="202"/>
      <c r="C4510" s="36" t="s">
        <v>791</v>
      </c>
      <c r="D4510" s="36" t="s">
        <v>110</v>
      </c>
      <c r="E4510" s="37">
        <v>0.35799999999999998</v>
      </c>
      <c r="F4510" s="54">
        <v>85.5</v>
      </c>
      <c r="G4510" s="54">
        <f>IF(ISNUMBER(F4510),E4510*F4510,"")</f>
        <v>30.608999999999998</v>
      </c>
      <c r="H4510" s="73"/>
      <c r="I4510" s="74"/>
      <c r="J4510" s="155">
        <v>0</v>
      </c>
    </row>
    <row r="4511" spans="1:10" ht="15.75" hidden="1" thickBot="1" x14ac:dyDescent="0.3">
      <c r="A4511" s="181"/>
      <c r="B4511" s="202"/>
      <c r="C4511" s="36" t="s">
        <v>787</v>
      </c>
      <c r="D4511" s="36" t="s">
        <v>938</v>
      </c>
      <c r="E4511" s="37">
        <v>400</v>
      </c>
      <c r="F4511" s="54">
        <v>0.52249999999999996</v>
      </c>
      <c r="G4511" s="54">
        <f>IF(ISNUMBER(F4511),E4511*F4511,"")</f>
        <v>209</v>
      </c>
      <c r="H4511" s="73"/>
      <c r="I4511" s="74"/>
      <c r="J4511" s="155">
        <v>0</v>
      </c>
    </row>
    <row r="4512" spans="1:10" ht="26.25" hidden="1" thickBot="1" x14ac:dyDescent="0.3">
      <c r="A4512" s="181"/>
      <c r="B4512" s="202"/>
      <c r="C4512" s="36" t="s">
        <v>1445</v>
      </c>
      <c r="D4512" s="36" t="s">
        <v>42</v>
      </c>
      <c r="E4512" s="37">
        <v>10.5</v>
      </c>
      <c r="F4512" s="54">
        <v>57.066499999999998</v>
      </c>
      <c r="G4512" s="54">
        <f>IF(ISNUMBER(F4512),E4512*F4512,"")</f>
        <v>599.19825000000003</v>
      </c>
      <c r="H4512" s="73"/>
      <c r="I4512" s="74"/>
      <c r="J4512" s="155">
        <v>0</v>
      </c>
    </row>
    <row r="4513" spans="1:10" ht="39" hidden="1" thickBot="1" x14ac:dyDescent="0.3">
      <c r="A4513" s="181"/>
      <c r="B4513" s="202"/>
      <c r="C4513" s="36" t="s">
        <v>119</v>
      </c>
      <c r="D4513" s="36" t="s">
        <v>982</v>
      </c>
      <c r="E4513" s="37">
        <v>0.34300000000000003</v>
      </c>
      <c r="F4513" s="54">
        <v>1.3774999999999999</v>
      </c>
      <c r="G4513" s="54">
        <f>IF(ISNUMBER(F4513),E4513*F4513,"")</f>
        <v>0.47248250000000003</v>
      </c>
      <c r="H4513" s="73"/>
      <c r="I4513" s="74"/>
      <c r="J4513" s="155">
        <v>0</v>
      </c>
    </row>
    <row r="4514" spans="1:10" ht="51.75" hidden="1" thickBot="1" x14ac:dyDescent="0.3">
      <c r="A4514" s="181"/>
      <c r="B4514" s="202"/>
      <c r="C4514" s="36" t="s">
        <v>3617</v>
      </c>
      <c r="D4514" s="36" t="s">
        <v>110</v>
      </c>
      <c r="E4514" s="37">
        <f>1*E4510</f>
        <v>0.35799999999999998</v>
      </c>
      <c r="F4514" s="34">
        <v>6.0418992999999999</v>
      </c>
      <c r="G4514" s="34">
        <f>IF(ISNUMBER(F4514),E4514*F4514,"")</f>
        <v>2.1629999494000001</v>
      </c>
      <c r="H4514" s="35"/>
      <c r="I4514" s="31"/>
      <c r="J4514" s="155">
        <v>0</v>
      </c>
    </row>
    <row r="4515" spans="1:10" ht="39" hidden="1" thickBot="1" x14ac:dyDescent="0.3">
      <c r="A4515" s="181"/>
      <c r="B4515" s="202"/>
      <c r="C4515" s="36" t="s">
        <v>123</v>
      </c>
      <c r="D4515" s="36" t="s">
        <v>124</v>
      </c>
      <c r="E4515" s="37">
        <f>E4510*20</f>
        <v>7.16</v>
      </c>
      <c r="F4515" s="54">
        <v>1.9998782499999996</v>
      </c>
      <c r="G4515" s="54">
        <f>IF(ISNUMBER(F4515),E4515*F4515,"")</f>
        <v>14.319128269999998</v>
      </c>
      <c r="H4515" s="73"/>
      <c r="I4515" s="74"/>
      <c r="J4515" s="155">
        <v>0</v>
      </c>
    </row>
    <row r="4516" spans="1:10" ht="15.75" hidden="1" thickBot="1" x14ac:dyDescent="0.3">
      <c r="A4516" s="181"/>
      <c r="B4516" s="202"/>
      <c r="C4516" s="36"/>
      <c r="D4516" s="36"/>
      <c r="E4516" s="37"/>
      <c r="F4516" s="54" t="s">
        <v>558</v>
      </c>
      <c r="G4516" s="54" t="str">
        <f>IF(ISNUMBER(F4516),E4516*F4516,"")</f>
        <v/>
      </c>
      <c r="H4516" s="73"/>
      <c r="I4516" s="74"/>
      <c r="J4516" s="155">
        <v>0</v>
      </c>
    </row>
    <row r="4517" spans="1:10" ht="15.75" hidden="1" thickBot="1" x14ac:dyDescent="0.3">
      <c r="A4517" s="181"/>
      <c r="B4517" s="202"/>
      <c r="C4517" s="48" t="s">
        <v>1446</v>
      </c>
      <c r="D4517" s="36"/>
      <c r="E4517" s="37"/>
      <c r="F4517" s="54" t="s">
        <v>558</v>
      </c>
      <c r="G4517" s="54" t="str">
        <f>IF(ISNUMBER(F4517),E4517*F4517,"")</f>
        <v/>
      </c>
      <c r="H4517" s="73"/>
      <c r="I4517" s="74"/>
      <c r="J4517" s="155">
        <v>0</v>
      </c>
    </row>
    <row r="4518" spans="1:10" ht="15.75" hidden="1" thickBot="1" x14ac:dyDescent="0.3">
      <c r="A4518" s="181"/>
      <c r="B4518" s="202"/>
      <c r="C4518" s="36"/>
      <c r="D4518" s="36"/>
      <c r="E4518" s="37"/>
      <c r="F4518" s="54" t="s">
        <v>558</v>
      </c>
      <c r="G4518" s="54" t="str">
        <f>IF(ISNUMBER(F4518),E4518*F4518,"")</f>
        <v/>
      </c>
      <c r="H4518" s="73"/>
      <c r="I4518" s="74"/>
      <c r="J4518" s="155">
        <v>0</v>
      </c>
    </row>
    <row r="4519" spans="1:10" ht="15.75" hidden="1" thickBot="1" x14ac:dyDescent="0.3">
      <c r="A4519" s="180" t="s">
        <v>1447</v>
      </c>
      <c r="B4519" s="186" t="str">
        <f>INDEX(Orçamentária!A:B,MATCH(Composições!A4519,Orçamentária!A:A,0),2)</f>
        <v>Colagem da camada de proteção térmica de impermeabilização</v>
      </c>
      <c r="C4519" s="41"/>
      <c r="D4519" s="26" t="str">
        <f>TRIM(INDEX(Orçamentária!C:C,MATCH(Composições!A4519,Orçamentária!A:A,0),1))</f>
        <v>m2</v>
      </c>
      <c r="E4519" s="27"/>
      <c r="F4519" s="49" t="s">
        <v>558</v>
      </c>
      <c r="G4519" s="28" t="str">
        <f>IF(ISNUMBER(F4519),E4519*F4519,"")</f>
        <v/>
      </c>
      <c r="H4519" s="29"/>
      <c r="I4519" s="30"/>
      <c r="J4519" s="155">
        <v>0</v>
      </c>
    </row>
    <row r="4520" spans="1:10" ht="15.75" hidden="1" thickBot="1" x14ac:dyDescent="0.3">
      <c r="A4520" s="181"/>
      <c r="B4520" s="202"/>
      <c r="C4520" s="32"/>
      <c r="D4520" s="32"/>
      <c r="E4520" s="33"/>
      <c r="F4520" s="54" t="s">
        <v>558</v>
      </c>
      <c r="G4520" s="54" t="str">
        <f>IF(ISNUMBER(F4520),E4520*F4520,"")</f>
        <v/>
      </c>
      <c r="H4520" s="73"/>
      <c r="I4520" s="74"/>
      <c r="J4520" s="155">
        <v>0</v>
      </c>
    </row>
    <row r="4521" spans="1:10" ht="26.25" hidden="1" thickBot="1" x14ac:dyDescent="0.3">
      <c r="A4521" s="181"/>
      <c r="B4521" s="202"/>
      <c r="C4521" s="36" t="s">
        <v>1448</v>
      </c>
      <c r="D4521" s="36" t="s">
        <v>103</v>
      </c>
      <c r="E4521" s="37">
        <v>0.35</v>
      </c>
      <c r="F4521" s="54">
        <v>14.686999999999999</v>
      </c>
      <c r="G4521" s="54">
        <f>IF(ISNUMBER(F4521),E4521*F4521,"")</f>
        <v>5.1404499999999995</v>
      </c>
      <c r="H4521" s="39">
        <f>SUM(G4521:G4522)</f>
        <v>6.8329699999999995</v>
      </c>
      <c r="I4521" s="40"/>
      <c r="J4521" s="155">
        <v>0</v>
      </c>
    </row>
    <row r="4522" spans="1:10" ht="15.75" hidden="1" thickBot="1" x14ac:dyDescent="0.3">
      <c r="A4522" s="181"/>
      <c r="B4522" s="202"/>
      <c r="C4522" s="36" t="s">
        <v>1449</v>
      </c>
      <c r="D4522" s="36" t="s">
        <v>742</v>
      </c>
      <c r="E4522" s="37">
        <v>8.5000000000000006E-2</v>
      </c>
      <c r="F4522" s="54">
        <v>19.911999999999999</v>
      </c>
      <c r="G4522" s="54">
        <f>IF(ISNUMBER(F4522),E4522*F4522,"")</f>
        <v>1.69252</v>
      </c>
      <c r="H4522" s="73"/>
      <c r="I4522" s="74"/>
      <c r="J4522" s="155">
        <v>0</v>
      </c>
    </row>
    <row r="4523" spans="1:10" ht="15.75" hidden="1" thickBot="1" x14ac:dyDescent="0.3">
      <c r="A4523" s="181"/>
      <c r="B4523" s="202"/>
      <c r="C4523" s="36"/>
      <c r="D4523" s="36"/>
      <c r="E4523" s="37"/>
      <c r="F4523" s="54" t="s">
        <v>558</v>
      </c>
      <c r="G4523" s="54" t="str">
        <f>IF(ISNUMBER(F4523),E4523*F4523,"")</f>
        <v/>
      </c>
      <c r="H4523" s="73"/>
      <c r="I4523" s="74"/>
      <c r="J4523" s="155">
        <v>0</v>
      </c>
    </row>
    <row r="4524" spans="1:10" ht="26.25" hidden="1" thickBot="1" x14ac:dyDescent="0.3">
      <c r="A4524" s="181"/>
      <c r="B4524" s="202"/>
      <c r="C4524" s="48" t="s">
        <v>1450</v>
      </c>
      <c r="D4524" s="36"/>
      <c r="E4524" s="37"/>
      <c r="F4524" s="54" t="s">
        <v>558</v>
      </c>
      <c r="G4524" s="54" t="str">
        <f>IF(ISNUMBER(F4524),E4524*F4524,"")</f>
        <v/>
      </c>
      <c r="H4524" s="73"/>
      <c r="I4524" s="74"/>
      <c r="J4524" s="155">
        <v>0</v>
      </c>
    </row>
    <row r="4525" spans="1:10" ht="15.75" hidden="1" thickBot="1" x14ac:dyDescent="0.3">
      <c r="A4525" s="181"/>
      <c r="B4525" s="202"/>
      <c r="C4525" s="153" t="s">
        <v>1451</v>
      </c>
      <c r="D4525" s="36"/>
      <c r="E4525" s="37"/>
      <c r="F4525" s="54" t="s">
        <v>558</v>
      </c>
      <c r="G4525" s="54" t="str">
        <f>IF(ISNUMBER(F4525),E4525*F4525,"")</f>
        <v/>
      </c>
      <c r="H4525" s="73"/>
      <c r="I4525" s="74"/>
      <c r="J4525" s="155">
        <v>0</v>
      </c>
    </row>
    <row r="4526" spans="1:10" ht="15.75" hidden="1" thickBot="1" x14ac:dyDescent="0.3">
      <c r="A4526" s="182"/>
      <c r="B4526" s="188"/>
      <c r="C4526" s="36"/>
      <c r="D4526" s="36"/>
      <c r="E4526" s="37"/>
      <c r="F4526" s="54" t="s">
        <v>558</v>
      </c>
      <c r="G4526" s="54" t="str">
        <f>IF(ISNUMBER(F4526),E4526*F4526,"")</f>
        <v/>
      </c>
      <c r="H4526" s="73"/>
      <c r="I4526" s="74"/>
      <c r="J4526" s="155">
        <v>0</v>
      </c>
    </row>
    <row r="4527" spans="1:10" ht="15.75" hidden="1" thickBot="1" x14ac:dyDescent="0.3">
      <c r="A4527" s="180" t="s">
        <v>1452</v>
      </c>
      <c r="B4527" s="186" t="str">
        <f>INDEX(Orçamentária!A:B,MATCH(Composições!A4527,Orçamentária!A:A,0),2)</f>
        <v>Impermeabilização com Membrana de Poliuretano</v>
      </c>
      <c r="C4527" s="41"/>
      <c r="D4527" s="26" t="str">
        <f>TRIM(INDEX(Orçamentária!C:C,MATCH(Composições!A4527,Orçamentária!A:A,0),1))</f>
        <v>m2</v>
      </c>
      <c r="E4527" s="27"/>
      <c r="F4527" s="49" t="s">
        <v>558</v>
      </c>
      <c r="G4527" s="28" t="str">
        <f>IF(ISNUMBER(F4527),E4527*F4527,"")</f>
        <v/>
      </c>
      <c r="H4527" s="29"/>
      <c r="I4527" s="30"/>
      <c r="J4527" s="155">
        <v>0</v>
      </c>
    </row>
    <row r="4528" spans="1:10" ht="15.75" hidden="1" thickBot="1" x14ac:dyDescent="0.3">
      <c r="A4528" s="181"/>
      <c r="B4528" s="202"/>
      <c r="C4528" s="32"/>
      <c r="D4528" s="32"/>
      <c r="E4528" s="33"/>
      <c r="F4528" s="54" t="s">
        <v>558</v>
      </c>
      <c r="G4528" s="54" t="str">
        <f>IF(ISNUMBER(F4528),E4528*F4528,"")</f>
        <v/>
      </c>
      <c r="H4528" s="73"/>
      <c r="I4528" s="74"/>
      <c r="J4528" s="155">
        <v>0</v>
      </c>
    </row>
    <row r="4529" spans="1:10" ht="15.75" hidden="1" thickBot="1" x14ac:dyDescent="0.3">
      <c r="A4529" s="181"/>
      <c r="B4529" s="202"/>
      <c r="C4529" s="36" t="s">
        <v>1453</v>
      </c>
      <c r="D4529" s="36" t="s">
        <v>938</v>
      </c>
      <c r="E4529" s="37">
        <v>2</v>
      </c>
      <c r="F4529" s="54">
        <v>53.019500000000001</v>
      </c>
      <c r="G4529" s="54">
        <f>IF(ISNUMBER(F4529),E4529*F4529,"")</f>
        <v>106.039</v>
      </c>
      <c r="H4529" s="39">
        <f>SUM(G4529:G4531)</f>
        <v>118.758132</v>
      </c>
      <c r="I4529" s="40"/>
      <c r="J4529" s="155">
        <v>0</v>
      </c>
    </row>
    <row r="4530" spans="1:10" ht="15.75" hidden="1" thickBot="1" x14ac:dyDescent="0.3">
      <c r="A4530" s="181"/>
      <c r="B4530" s="202"/>
      <c r="C4530" s="36" t="s">
        <v>1449</v>
      </c>
      <c r="D4530" s="36" t="s">
        <v>742</v>
      </c>
      <c r="E4530" s="37">
        <v>9.6000000000000002E-2</v>
      </c>
      <c r="F4530" s="54">
        <v>19.911999999999999</v>
      </c>
      <c r="G4530" s="54">
        <f>IF(ISNUMBER(F4530),E4530*F4530,"")</f>
        <v>1.9115519999999999</v>
      </c>
      <c r="H4530" s="73"/>
      <c r="I4530" s="74"/>
      <c r="J4530" s="155">
        <v>0</v>
      </c>
    </row>
    <row r="4531" spans="1:10" ht="15.75" hidden="1" thickBot="1" x14ac:dyDescent="0.3">
      <c r="A4531" s="181"/>
      <c r="B4531" s="202"/>
      <c r="C4531" s="36" t="s">
        <v>1056</v>
      </c>
      <c r="D4531" s="36" t="s">
        <v>742</v>
      </c>
      <c r="E4531" s="37">
        <v>0.47599999999999998</v>
      </c>
      <c r="F4531" s="54">
        <v>22.704999999999998</v>
      </c>
      <c r="G4531" s="54">
        <f>IF(ISNUMBER(F4531),E4531*F4531,"")</f>
        <v>10.807579999999998</v>
      </c>
      <c r="H4531" s="73"/>
      <c r="I4531" s="74"/>
      <c r="J4531" s="155">
        <v>0</v>
      </c>
    </row>
    <row r="4532" spans="1:10" ht="15.75" hidden="1" thickBot="1" x14ac:dyDescent="0.3">
      <c r="A4532" s="181"/>
      <c r="B4532" s="202"/>
      <c r="C4532" s="36"/>
      <c r="D4532" s="36"/>
      <c r="E4532" s="37"/>
      <c r="F4532" s="54" t="s">
        <v>558</v>
      </c>
      <c r="G4532" s="54" t="str">
        <f>IF(ISNUMBER(F4532),E4532*F4532,"")</f>
        <v/>
      </c>
      <c r="H4532" s="73"/>
      <c r="I4532" s="74"/>
      <c r="J4532" s="155">
        <v>0</v>
      </c>
    </row>
    <row r="4533" spans="1:10" ht="15.75" hidden="1" thickBot="1" x14ac:dyDescent="0.3">
      <c r="A4533" s="180" t="s">
        <v>1454</v>
      </c>
      <c r="B4533" s="186" t="str">
        <f>INDEX(Orçamentária!A:B,MATCH(Composições!A4533,Orçamentária!A:A,0),2)</f>
        <v>Impermeabilização com Manta Asfáltica</v>
      </c>
      <c r="C4533" s="41"/>
      <c r="D4533" s="26" t="str">
        <f>TRIM(INDEX(Orçamentária!C:C,MATCH(Composições!A4533,Orçamentária!A:A,0),1))</f>
        <v>m2</v>
      </c>
      <c r="E4533" s="27"/>
      <c r="F4533" s="49" t="s">
        <v>558</v>
      </c>
      <c r="G4533" s="28" t="str">
        <f>IF(ISNUMBER(F4533),E4533*F4533,"")</f>
        <v/>
      </c>
      <c r="H4533" s="29"/>
      <c r="I4533" s="30"/>
      <c r="J4533" s="155">
        <v>0</v>
      </c>
    </row>
    <row r="4534" spans="1:10" ht="15.75" hidden="1" thickBot="1" x14ac:dyDescent="0.3">
      <c r="A4534" s="181"/>
      <c r="B4534" s="202"/>
      <c r="C4534" s="32"/>
      <c r="D4534" s="32"/>
      <c r="E4534" s="33"/>
      <c r="F4534" s="54" t="s">
        <v>558</v>
      </c>
      <c r="G4534" s="54" t="str">
        <f>IF(ISNUMBER(F4534),E4534*F4534,"")</f>
        <v/>
      </c>
      <c r="H4534" s="73"/>
      <c r="I4534" s="74"/>
      <c r="J4534" s="155">
        <v>0</v>
      </c>
    </row>
    <row r="4535" spans="1:10" ht="26.25" hidden="1" thickBot="1" x14ac:dyDescent="0.3">
      <c r="A4535" s="181"/>
      <c r="B4535" s="202"/>
      <c r="C4535" s="36" t="s">
        <v>1448</v>
      </c>
      <c r="D4535" s="36" t="s">
        <v>103</v>
      </c>
      <c r="E4535" s="37">
        <v>0.61499999999999999</v>
      </c>
      <c r="F4535" s="54">
        <v>14.686999999999999</v>
      </c>
      <c r="G4535" s="54">
        <f>IF(ISNUMBER(F4535),E4535*F4535,"")</f>
        <v>9.0325049999999987</v>
      </c>
      <c r="H4535" s="39">
        <f>SUM(G4535:G4539)</f>
        <v>87.261128999999983</v>
      </c>
      <c r="I4535" s="40"/>
      <c r="J4535" s="155">
        <v>0</v>
      </c>
    </row>
    <row r="4536" spans="1:10" ht="26.25" hidden="1" thickBot="1" x14ac:dyDescent="0.3">
      <c r="A4536" s="181"/>
      <c r="B4536" s="202"/>
      <c r="C4536" s="36" t="s">
        <v>1455</v>
      </c>
      <c r="D4536" s="36" t="s">
        <v>1034</v>
      </c>
      <c r="E4536" s="37">
        <v>1.125</v>
      </c>
      <c r="F4536" s="54">
        <v>45.371999999999993</v>
      </c>
      <c r="G4536" s="54">
        <f>IF(ISNUMBER(F4536),E4536*F4536,"")</f>
        <v>51.043499999999995</v>
      </c>
      <c r="H4536" s="73"/>
      <c r="I4536" s="74"/>
      <c r="J4536" s="155">
        <v>0</v>
      </c>
    </row>
    <row r="4537" spans="1:10" ht="15.75" hidden="1" thickBot="1" x14ac:dyDescent="0.3">
      <c r="A4537" s="181"/>
      <c r="B4537" s="202"/>
      <c r="C4537" s="36" t="s">
        <v>1456</v>
      </c>
      <c r="D4537" s="36" t="s">
        <v>938</v>
      </c>
      <c r="E4537" s="37">
        <v>0.26</v>
      </c>
      <c r="F4537" s="54">
        <v>7.0679999999999996</v>
      </c>
      <c r="G4537" s="54">
        <f>IF(ISNUMBER(F4537),E4537*F4537,"")</f>
        <v>1.83768</v>
      </c>
      <c r="H4537" s="73"/>
      <c r="I4537" s="74"/>
      <c r="J4537" s="155">
        <v>0</v>
      </c>
    </row>
    <row r="4538" spans="1:10" ht="15.75" hidden="1" thickBot="1" x14ac:dyDescent="0.3">
      <c r="A4538" s="181"/>
      <c r="B4538" s="202"/>
      <c r="C4538" s="36" t="s">
        <v>1449</v>
      </c>
      <c r="D4538" s="36" t="s">
        <v>742</v>
      </c>
      <c r="E4538" s="37">
        <v>0.192</v>
      </c>
      <c r="F4538" s="54">
        <v>19.911999999999999</v>
      </c>
      <c r="G4538" s="54">
        <f>IF(ISNUMBER(F4538),E4538*F4538,"")</f>
        <v>3.8231039999999998</v>
      </c>
      <c r="H4538" s="73"/>
      <c r="I4538" s="74"/>
      <c r="J4538" s="155">
        <v>0</v>
      </c>
    </row>
    <row r="4539" spans="1:10" ht="15.75" hidden="1" thickBot="1" x14ac:dyDescent="0.3">
      <c r="A4539" s="181"/>
      <c r="B4539" s="202"/>
      <c r="C4539" s="36" t="s">
        <v>1056</v>
      </c>
      <c r="D4539" s="36" t="s">
        <v>742</v>
      </c>
      <c r="E4539" s="37">
        <v>0.94799999999999995</v>
      </c>
      <c r="F4539" s="54">
        <v>22.704999999999998</v>
      </c>
      <c r="G4539" s="54">
        <f>IF(ISNUMBER(F4539),E4539*F4539,"")</f>
        <v>21.524339999999999</v>
      </c>
      <c r="H4539" s="73"/>
      <c r="I4539" s="74"/>
      <c r="J4539" s="155">
        <v>0</v>
      </c>
    </row>
    <row r="4540" spans="1:10" ht="15.75" hidden="1" thickBot="1" x14ac:dyDescent="0.3">
      <c r="A4540" s="181"/>
      <c r="B4540" s="202"/>
      <c r="C4540" s="36"/>
      <c r="D4540" s="36"/>
      <c r="E4540" s="37"/>
      <c r="F4540" s="54" t="s">
        <v>558</v>
      </c>
      <c r="G4540" s="54" t="str">
        <f>IF(ISNUMBER(F4540),E4540*F4540,"")</f>
        <v/>
      </c>
      <c r="H4540" s="73"/>
      <c r="I4540" s="74"/>
      <c r="J4540" s="155">
        <v>0</v>
      </c>
    </row>
    <row r="4541" spans="1:10" ht="15.75" hidden="1" thickBot="1" x14ac:dyDescent="0.3">
      <c r="A4541" s="180" t="s">
        <v>1457</v>
      </c>
      <c r="B4541" s="186" t="str">
        <f>INDEX(Orçamentária!A:B,MATCH(Composições!A4541,Orçamentária!A:A,0),2)</f>
        <v>Impermeabilização com manta asfáltica aluminizada</v>
      </c>
      <c r="C4541" s="41"/>
      <c r="D4541" s="26" t="str">
        <f>TRIM(INDEX(Orçamentária!C:C,MATCH(Composições!A4541,Orçamentária!A:A,0),1))</f>
        <v>m2</v>
      </c>
      <c r="E4541" s="27"/>
      <c r="F4541" s="49" t="s">
        <v>558</v>
      </c>
      <c r="G4541" s="28" t="str">
        <f>IF(ISNUMBER(F4541),E4541*F4541,"")</f>
        <v/>
      </c>
      <c r="H4541" s="29"/>
      <c r="I4541" s="30"/>
      <c r="J4541" s="155">
        <v>0</v>
      </c>
    </row>
    <row r="4542" spans="1:10" ht="15.75" hidden="1" thickBot="1" x14ac:dyDescent="0.3">
      <c r="A4542" s="181"/>
      <c r="B4542" s="202"/>
      <c r="C4542" s="32"/>
      <c r="D4542" s="32"/>
      <c r="E4542" s="33"/>
      <c r="F4542" s="54" t="s">
        <v>558</v>
      </c>
      <c r="G4542" s="54" t="str">
        <f>IF(ISNUMBER(F4542),E4542*F4542,"")</f>
        <v/>
      </c>
      <c r="H4542" s="73"/>
      <c r="I4542" s="74"/>
      <c r="J4542" s="155">
        <v>0</v>
      </c>
    </row>
    <row r="4543" spans="1:10" ht="26.25" hidden="1" thickBot="1" x14ac:dyDescent="0.3">
      <c r="A4543" s="181"/>
      <c r="B4543" s="202"/>
      <c r="C4543" s="36" t="s">
        <v>1448</v>
      </c>
      <c r="D4543" s="36" t="s">
        <v>103</v>
      </c>
      <c r="E4543" s="37">
        <v>0.61499999999999999</v>
      </c>
      <c r="F4543" s="54">
        <v>14.686999999999999</v>
      </c>
      <c r="G4543" s="54">
        <f>IF(ISNUMBER(F4543),E4543*F4543,"")</f>
        <v>9.0325049999999987</v>
      </c>
      <c r="H4543" s="39">
        <f>SUM(G4543:G4547)</f>
        <v>36.217629000000002</v>
      </c>
      <c r="I4543" s="40"/>
      <c r="J4543" s="155">
        <v>0</v>
      </c>
    </row>
    <row r="4544" spans="1:10" ht="15.75" hidden="1" thickBot="1" x14ac:dyDescent="0.3">
      <c r="A4544" s="181"/>
      <c r="B4544" s="202"/>
      <c r="C4544" s="36" t="s">
        <v>1458</v>
      </c>
      <c r="D4544" s="36" t="s">
        <v>1034</v>
      </c>
      <c r="E4544" s="37">
        <v>1.125</v>
      </c>
      <c r="F4544" s="54">
        <v>0</v>
      </c>
      <c r="G4544" s="54">
        <f>IF(ISNUMBER(F4544),E4544*F4544,"")</f>
        <v>0</v>
      </c>
      <c r="H4544" s="73"/>
      <c r="I4544" s="74"/>
      <c r="J4544" s="155">
        <v>0</v>
      </c>
    </row>
    <row r="4545" spans="1:10" ht="15.75" hidden="1" thickBot="1" x14ac:dyDescent="0.3">
      <c r="A4545" s="181"/>
      <c r="B4545" s="202"/>
      <c r="C4545" s="36" t="s">
        <v>1456</v>
      </c>
      <c r="D4545" s="36" t="s">
        <v>938</v>
      </c>
      <c r="E4545" s="37">
        <v>0.26</v>
      </c>
      <c r="F4545" s="54">
        <v>7.0679999999999996</v>
      </c>
      <c r="G4545" s="54">
        <f>IF(ISNUMBER(F4545),E4545*F4545,"")</f>
        <v>1.83768</v>
      </c>
      <c r="H4545" s="73"/>
      <c r="I4545" s="74"/>
      <c r="J4545" s="155">
        <v>0</v>
      </c>
    </row>
    <row r="4546" spans="1:10" ht="15.75" hidden="1" thickBot="1" x14ac:dyDescent="0.3">
      <c r="A4546" s="181"/>
      <c r="B4546" s="202"/>
      <c r="C4546" s="36" t="s">
        <v>1449</v>
      </c>
      <c r="D4546" s="36" t="s">
        <v>742</v>
      </c>
      <c r="E4546" s="37">
        <v>0.192</v>
      </c>
      <c r="F4546" s="54">
        <v>19.911999999999999</v>
      </c>
      <c r="G4546" s="54">
        <f>IF(ISNUMBER(F4546),E4546*F4546,"")</f>
        <v>3.8231039999999998</v>
      </c>
      <c r="H4546" s="73"/>
      <c r="I4546" s="74"/>
      <c r="J4546" s="155">
        <v>0</v>
      </c>
    </row>
    <row r="4547" spans="1:10" ht="15.75" hidden="1" thickBot="1" x14ac:dyDescent="0.3">
      <c r="A4547" s="181"/>
      <c r="B4547" s="202"/>
      <c r="C4547" s="36" t="s">
        <v>1056</v>
      </c>
      <c r="D4547" s="36" t="s">
        <v>742</v>
      </c>
      <c r="E4547" s="37">
        <v>0.94799999999999995</v>
      </c>
      <c r="F4547" s="54">
        <v>22.704999999999998</v>
      </c>
      <c r="G4547" s="54">
        <f>IF(ISNUMBER(F4547),E4547*F4547,"")</f>
        <v>21.524339999999999</v>
      </c>
      <c r="H4547" s="73"/>
      <c r="I4547" s="74"/>
      <c r="J4547" s="155">
        <v>0</v>
      </c>
    </row>
    <row r="4548" spans="1:10" ht="15.75" hidden="1" thickBot="1" x14ac:dyDescent="0.3">
      <c r="A4548" s="181"/>
      <c r="B4548" s="202"/>
      <c r="C4548" s="36"/>
      <c r="D4548" s="36"/>
      <c r="E4548" s="37"/>
      <c r="F4548" s="54" t="s">
        <v>558</v>
      </c>
      <c r="G4548" s="54" t="str">
        <f>IF(ISNUMBER(F4548),E4548*F4548,"")</f>
        <v/>
      </c>
      <c r="H4548" s="73"/>
      <c r="I4548" s="74"/>
      <c r="J4548" s="155">
        <v>0</v>
      </c>
    </row>
    <row r="4549" spans="1:10" ht="15.75" hidden="1" thickBot="1" x14ac:dyDescent="0.3">
      <c r="A4549" s="180" t="s">
        <v>1459</v>
      </c>
      <c r="B4549" s="186" t="str">
        <f>INDEX(Orçamentária!A:B,MATCH(Composições!A4549,Orçamentária!A:A,0),2)</f>
        <v>Impermeabilização com manta elastomérica de etileno-propileno-dieno-monômero (EPDM)</v>
      </c>
      <c r="C4549" s="41"/>
      <c r="D4549" s="26" t="str">
        <f>TRIM(INDEX(Orçamentária!C:C,MATCH(Composições!A4549,Orçamentária!A:A,0),1))</f>
        <v>m2</v>
      </c>
      <c r="E4549" s="27"/>
      <c r="F4549" s="49" t="s">
        <v>558</v>
      </c>
      <c r="G4549" s="28" t="str">
        <f>IF(ISNUMBER(F4549),E4549*F4549,"")</f>
        <v/>
      </c>
      <c r="H4549" s="29"/>
      <c r="I4549" s="30"/>
      <c r="J4549" s="155">
        <v>0</v>
      </c>
    </row>
    <row r="4550" spans="1:10" ht="15.75" hidden="1" thickBot="1" x14ac:dyDescent="0.3">
      <c r="A4550" s="181"/>
      <c r="B4550" s="202"/>
      <c r="C4550" s="32"/>
      <c r="D4550" s="32"/>
      <c r="E4550" s="33"/>
      <c r="F4550" s="54" t="s">
        <v>558</v>
      </c>
      <c r="G4550" s="54" t="str">
        <f>IF(ISNUMBER(F4550),E4550*F4550,"")</f>
        <v/>
      </c>
      <c r="H4550" s="73"/>
      <c r="I4550" s="74"/>
      <c r="J4550" s="155">
        <v>0</v>
      </c>
    </row>
    <row r="4551" spans="1:10" ht="15.75" hidden="1" thickBot="1" x14ac:dyDescent="0.3">
      <c r="A4551" s="181"/>
      <c r="B4551" s="202"/>
      <c r="C4551" s="36" t="s">
        <v>1056</v>
      </c>
      <c r="D4551" s="36" t="s">
        <v>742</v>
      </c>
      <c r="E4551" s="37">
        <v>0.5</v>
      </c>
      <c r="F4551" s="54">
        <v>22.704999999999998</v>
      </c>
      <c r="G4551" s="54">
        <f>IF(ISNUMBER(F4551),E4551*F4551,"")</f>
        <v>11.352499999999999</v>
      </c>
      <c r="H4551" s="39">
        <f>SUM(G4551:G4557)</f>
        <v>21.308499999999999</v>
      </c>
      <c r="I4551" s="40"/>
      <c r="J4551" s="155">
        <v>0</v>
      </c>
    </row>
    <row r="4552" spans="1:10" ht="15.75" hidden="1" thickBot="1" x14ac:dyDescent="0.3">
      <c r="A4552" s="181"/>
      <c r="B4552" s="202"/>
      <c r="C4552" s="36" t="s">
        <v>1449</v>
      </c>
      <c r="D4552" s="36" t="s">
        <v>742</v>
      </c>
      <c r="E4552" s="37">
        <v>0.5</v>
      </c>
      <c r="F4552" s="54">
        <v>19.911999999999999</v>
      </c>
      <c r="G4552" s="54">
        <f>IF(ISNUMBER(F4552),E4552*F4552,"")</f>
        <v>9.9559999999999995</v>
      </c>
      <c r="H4552" s="73"/>
      <c r="I4552" s="74"/>
      <c r="J4552" s="155">
        <v>0</v>
      </c>
    </row>
    <row r="4553" spans="1:10" ht="15.75" hidden="1" thickBot="1" x14ac:dyDescent="0.3">
      <c r="A4553" s="181"/>
      <c r="B4553" s="202"/>
      <c r="C4553" s="36" t="s">
        <v>1460</v>
      </c>
      <c r="D4553" s="36" t="s">
        <v>938</v>
      </c>
      <c r="E4553" s="37">
        <v>0.8</v>
      </c>
      <c r="F4553" s="54">
        <v>0</v>
      </c>
      <c r="G4553" s="54">
        <f>IF(ISNUMBER(F4553),E4553*F4553,"")</f>
        <v>0</v>
      </c>
      <c r="H4553" s="73"/>
      <c r="I4553" s="74"/>
      <c r="J4553" s="155">
        <v>0</v>
      </c>
    </row>
    <row r="4554" spans="1:10" ht="15.75" hidden="1" thickBot="1" x14ac:dyDescent="0.3">
      <c r="A4554" s="181"/>
      <c r="B4554" s="202"/>
      <c r="C4554" s="36" t="s">
        <v>1461</v>
      </c>
      <c r="D4554" s="36" t="s">
        <v>103</v>
      </c>
      <c r="E4554" s="37">
        <v>0.6</v>
      </c>
      <c r="F4554" s="54">
        <v>0</v>
      </c>
      <c r="G4554" s="54">
        <f>IF(ISNUMBER(F4554),E4554*F4554,"")</f>
        <v>0</v>
      </c>
      <c r="H4554" s="73"/>
      <c r="I4554" s="74"/>
      <c r="J4554" s="155">
        <v>0</v>
      </c>
    </row>
    <row r="4555" spans="1:10" ht="15.75" hidden="1" thickBot="1" x14ac:dyDescent="0.3">
      <c r="A4555" s="181"/>
      <c r="B4555" s="202"/>
      <c r="C4555" s="36" t="s">
        <v>1462</v>
      </c>
      <c r="D4555" s="36" t="s">
        <v>95</v>
      </c>
      <c r="E4555" s="37">
        <v>1.1000000000000001</v>
      </c>
      <c r="F4555" s="54">
        <v>0</v>
      </c>
      <c r="G4555" s="54">
        <f>IF(ISNUMBER(F4555),E4555*F4555,"")</f>
        <v>0</v>
      </c>
      <c r="H4555" s="73"/>
      <c r="I4555" s="74"/>
      <c r="J4555" s="155">
        <v>0</v>
      </c>
    </row>
    <row r="4556" spans="1:10" ht="15.75" hidden="1" thickBot="1" x14ac:dyDescent="0.3">
      <c r="A4556" s="181"/>
      <c r="B4556" s="202"/>
      <c r="C4556" s="36" t="s">
        <v>1463</v>
      </c>
      <c r="D4556" s="36" t="s">
        <v>93</v>
      </c>
      <c r="E4556" s="37">
        <v>2</v>
      </c>
      <c r="F4556" s="54">
        <v>0</v>
      </c>
      <c r="G4556" s="54">
        <f>IF(ISNUMBER(F4556),E4556*F4556,"")</f>
        <v>0</v>
      </c>
      <c r="H4556" s="73"/>
      <c r="I4556" s="74"/>
      <c r="J4556" s="155">
        <v>0</v>
      </c>
    </row>
    <row r="4557" spans="1:10" ht="15.75" hidden="1" thickBot="1" x14ac:dyDescent="0.3">
      <c r="A4557" s="181"/>
      <c r="B4557" s="202"/>
      <c r="C4557" s="36" t="s">
        <v>1464</v>
      </c>
      <c r="D4557" s="36" t="s">
        <v>103</v>
      </c>
      <c r="E4557" s="37">
        <v>0.2</v>
      </c>
      <c r="F4557" s="54">
        <v>0</v>
      </c>
      <c r="G4557" s="54">
        <f>IF(ISNUMBER(F4557),E4557*F4557,"")</f>
        <v>0</v>
      </c>
      <c r="H4557" s="73"/>
      <c r="I4557" s="74"/>
      <c r="J4557" s="155">
        <v>0</v>
      </c>
    </row>
    <row r="4558" spans="1:10" ht="15.75" hidden="1" thickBot="1" x14ac:dyDescent="0.3">
      <c r="A4558" s="181"/>
      <c r="B4558" s="202"/>
      <c r="C4558" s="36"/>
      <c r="D4558" s="36"/>
      <c r="E4558" s="37"/>
      <c r="F4558" s="54" t="s">
        <v>558</v>
      </c>
      <c r="G4558" s="54" t="str">
        <f>IF(ISNUMBER(F4558),E4558*F4558,"")</f>
        <v/>
      </c>
      <c r="H4558" s="73"/>
      <c r="I4558" s="74"/>
      <c r="J4558" s="155">
        <v>0</v>
      </c>
    </row>
    <row r="4559" spans="1:10" ht="15.75" hidden="1" thickBot="1" x14ac:dyDescent="0.3">
      <c r="A4559" s="180" t="s">
        <v>1465</v>
      </c>
      <c r="B4559" s="186" t="str">
        <f>INDEX(Orçamentária!A:B,MATCH(Composições!A4559,Orçamentária!A:A,0),2)</f>
        <v>Impermeabilização com membrana acrílica</v>
      </c>
      <c r="C4559" s="41"/>
      <c r="D4559" s="26" t="str">
        <f>TRIM(INDEX(Orçamentária!C:C,MATCH(Composições!A4559,Orçamentária!A:A,0),1))</f>
        <v>m2</v>
      </c>
      <c r="E4559" s="27"/>
      <c r="F4559" s="49" t="s">
        <v>558</v>
      </c>
      <c r="G4559" s="28" t="str">
        <f>IF(ISNUMBER(F4559),E4559*F4559,"")</f>
        <v/>
      </c>
      <c r="H4559" s="29"/>
      <c r="I4559" s="30"/>
      <c r="J4559" s="155">
        <v>0</v>
      </c>
    </row>
    <row r="4560" spans="1:10" ht="15.75" hidden="1" thickBot="1" x14ac:dyDescent="0.3">
      <c r="A4560" s="181"/>
      <c r="B4560" s="202"/>
      <c r="C4560" s="32"/>
      <c r="D4560" s="32"/>
      <c r="E4560" s="33"/>
      <c r="F4560" s="54" t="s">
        <v>558</v>
      </c>
      <c r="G4560" s="54" t="str">
        <f>IF(ISNUMBER(F4560),E4560*F4560,"")</f>
        <v/>
      </c>
      <c r="H4560" s="73"/>
      <c r="I4560" s="74"/>
      <c r="J4560" s="155">
        <v>0</v>
      </c>
    </row>
    <row r="4561" spans="1:10" ht="15.75" hidden="1" thickBot="1" x14ac:dyDescent="0.3">
      <c r="A4561" s="181"/>
      <c r="B4561" s="202"/>
      <c r="C4561" s="36" t="s">
        <v>1466</v>
      </c>
      <c r="D4561" s="36" t="s">
        <v>938</v>
      </c>
      <c r="E4561" s="37">
        <v>1.2</v>
      </c>
      <c r="F4561" s="54">
        <v>20.529499999999999</v>
      </c>
      <c r="G4561" s="54">
        <f>IF(ISNUMBER(F4561),E4561*F4561,"")</f>
        <v>24.635399999999997</v>
      </c>
      <c r="H4561" s="39">
        <f>SUM(G4561:G4563)</f>
        <v>40.088593999999993</v>
      </c>
      <c r="I4561" s="40"/>
      <c r="J4561" s="155">
        <v>0</v>
      </c>
    </row>
    <row r="4562" spans="1:10" ht="15.75" hidden="1" thickBot="1" x14ac:dyDescent="0.3">
      <c r="A4562" s="181"/>
      <c r="B4562" s="202"/>
      <c r="C4562" s="36" t="s">
        <v>1449</v>
      </c>
      <c r="D4562" s="36" t="s">
        <v>742</v>
      </c>
      <c r="E4562" s="37">
        <v>0.11700000000000001</v>
      </c>
      <c r="F4562" s="54">
        <v>19.911999999999999</v>
      </c>
      <c r="G4562" s="54">
        <f>IF(ISNUMBER(F4562),E4562*F4562,"")</f>
        <v>2.329704</v>
      </c>
      <c r="H4562" s="73"/>
      <c r="I4562" s="74"/>
      <c r="J4562" s="155">
        <v>0</v>
      </c>
    </row>
    <row r="4563" spans="1:10" ht="15.75" hidden="1" thickBot="1" x14ac:dyDescent="0.3">
      <c r="A4563" s="181"/>
      <c r="B4563" s="202"/>
      <c r="C4563" s="36" t="s">
        <v>1056</v>
      </c>
      <c r="D4563" s="36" t="s">
        <v>742</v>
      </c>
      <c r="E4563" s="37">
        <v>0.57799999999999996</v>
      </c>
      <c r="F4563" s="54">
        <v>22.704999999999998</v>
      </c>
      <c r="G4563" s="54">
        <f>IF(ISNUMBER(F4563),E4563*F4563,"")</f>
        <v>13.123489999999999</v>
      </c>
      <c r="H4563" s="73"/>
      <c r="I4563" s="74"/>
      <c r="J4563" s="155">
        <v>0</v>
      </c>
    </row>
    <row r="4564" spans="1:10" ht="15.75" hidden="1" thickBot="1" x14ac:dyDescent="0.3">
      <c r="A4564" s="181"/>
      <c r="B4564" s="202"/>
      <c r="C4564" s="36"/>
      <c r="D4564" s="36"/>
      <c r="E4564" s="37"/>
      <c r="F4564" s="54" t="s">
        <v>558</v>
      </c>
      <c r="G4564" s="54" t="str">
        <f>IF(ISNUMBER(F4564),E4564*F4564,"")</f>
        <v/>
      </c>
      <c r="H4564" s="73"/>
      <c r="I4564" s="74"/>
      <c r="J4564" s="155">
        <v>0</v>
      </c>
    </row>
    <row r="4565" spans="1:10" ht="15.75" hidden="1" thickBot="1" x14ac:dyDescent="0.3">
      <c r="A4565" s="180" t="s">
        <v>1467</v>
      </c>
      <c r="B4565" s="186" t="str">
        <f>INDEX(Orçamentária!A:B,MATCH(Composições!A4565,Orçamentária!A:A,0),2)</f>
        <v>Asfalto elastomérico para colagem de manta asfáltica</v>
      </c>
      <c r="C4565" s="41"/>
      <c r="D4565" s="26" t="str">
        <f>TRIM(INDEX(Orçamentária!C:C,MATCH(Composições!A4565,Orçamentária!A:A,0),1))</f>
        <v>m2</v>
      </c>
      <c r="E4565" s="27"/>
      <c r="F4565" s="49" t="s">
        <v>558</v>
      </c>
      <c r="G4565" s="28" t="str">
        <f>IF(ISNUMBER(F4565),E4565*F4565,"")</f>
        <v/>
      </c>
      <c r="H4565" s="29"/>
      <c r="I4565" s="30"/>
      <c r="J4565" s="155">
        <v>0</v>
      </c>
    </row>
    <row r="4566" spans="1:10" ht="15.75" hidden="1" thickBot="1" x14ac:dyDescent="0.3">
      <c r="A4566" s="181"/>
      <c r="B4566" s="202"/>
      <c r="C4566" s="32"/>
      <c r="D4566" s="32"/>
      <c r="E4566" s="33"/>
      <c r="F4566" s="54" t="s">
        <v>558</v>
      </c>
      <c r="G4566" s="54" t="str">
        <f>IF(ISNUMBER(F4566),E4566*F4566,"")</f>
        <v/>
      </c>
      <c r="H4566" s="73"/>
      <c r="I4566" s="74"/>
      <c r="J4566" s="155">
        <v>0</v>
      </c>
    </row>
    <row r="4567" spans="1:10" ht="15.75" hidden="1" thickBot="1" x14ac:dyDescent="0.3">
      <c r="A4567" s="181"/>
      <c r="B4567" s="202"/>
      <c r="C4567" s="36" t="s">
        <v>1468</v>
      </c>
      <c r="D4567" s="36" t="s">
        <v>938</v>
      </c>
      <c r="E4567" s="37">
        <v>3</v>
      </c>
      <c r="F4567" s="54" t="s">
        <v>558</v>
      </c>
      <c r="G4567" s="54" t="str">
        <f>IF(ISNUMBER(F4567),E4567*F4567,"")</f>
        <v/>
      </c>
      <c r="H4567" s="39">
        <f>SUM(G4567:G4568)</f>
        <v>4.5409999999999995</v>
      </c>
      <c r="I4567" s="40"/>
      <c r="J4567" s="155">
        <v>0</v>
      </c>
    </row>
    <row r="4568" spans="1:10" ht="15.75" hidden="1" thickBot="1" x14ac:dyDescent="0.3">
      <c r="A4568" s="181"/>
      <c r="B4568" s="202"/>
      <c r="C4568" s="36" t="s">
        <v>1056</v>
      </c>
      <c r="D4568" s="36" t="s">
        <v>742</v>
      </c>
      <c r="E4568" s="37">
        <v>0.2</v>
      </c>
      <c r="F4568" s="54">
        <v>22.704999999999998</v>
      </c>
      <c r="G4568" s="54">
        <f>IF(ISNUMBER(F4568),E4568*F4568,"")</f>
        <v>4.5409999999999995</v>
      </c>
      <c r="H4568" s="73"/>
      <c r="I4568" s="74"/>
      <c r="J4568" s="155">
        <v>0</v>
      </c>
    </row>
    <row r="4569" spans="1:10" ht="15.75" hidden="1" thickBot="1" x14ac:dyDescent="0.3">
      <c r="A4569" s="181"/>
      <c r="B4569" s="202"/>
      <c r="C4569" s="36"/>
      <c r="D4569" s="36"/>
      <c r="E4569" s="37"/>
      <c r="F4569" s="54" t="s">
        <v>558</v>
      </c>
      <c r="G4569" s="54" t="str">
        <f>IF(ISNUMBER(F4569),E4569*F4569,"")</f>
        <v/>
      </c>
      <c r="H4569" s="73"/>
      <c r="I4569" s="74"/>
      <c r="J4569" s="155">
        <v>0</v>
      </c>
    </row>
    <row r="4570" spans="1:10" ht="26.25" hidden="1" thickBot="1" x14ac:dyDescent="0.3">
      <c r="A4570" s="181"/>
      <c r="B4570" s="202"/>
      <c r="C4570" s="48" t="s">
        <v>1469</v>
      </c>
      <c r="D4570" s="36"/>
      <c r="E4570" s="37"/>
      <c r="F4570" s="54" t="s">
        <v>558</v>
      </c>
      <c r="G4570" s="54" t="str">
        <f>IF(ISNUMBER(F4570),E4570*F4570,"")</f>
        <v/>
      </c>
      <c r="H4570" s="73"/>
      <c r="I4570" s="74"/>
      <c r="J4570" s="155">
        <v>0</v>
      </c>
    </row>
    <row r="4571" spans="1:10" ht="25.5" hidden="1" thickBot="1" x14ac:dyDescent="0.3">
      <c r="A4571" s="181"/>
      <c r="B4571" s="202"/>
      <c r="C4571" s="154" t="s">
        <v>1470</v>
      </c>
      <c r="D4571" s="36"/>
      <c r="E4571" s="37"/>
      <c r="F4571" s="54" t="s">
        <v>558</v>
      </c>
      <c r="G4571" s="54" t="str">
        <f>IF(ISNUMBER(F4571),E4571*F4571,"")</f>
        <v/>
      </c>
      <c r="H4571" s="73"/>
      <c r="I4571" s="74"/>
      <c r="J4571" s="155">
        <v>0</v>
      </c>
    </row>
    <row r="4572" spans="1:10" ht="15.75" hidden="1" thickBot="1" x14ac:dyDescent="0.3">
      <c r="A4572" s="181"/>
      <c r="B4572" s="202"/>
      <c r="C4572" s="36"/>
      <c r="D4572" s="36"/>
      <c r="E4572" s="37"/>
      <c r="F4572" s="54" t="s">
        <v>558</v>
      </c>
      <c r="G4572" s="54" t="str">
        <f>IF(ISNUMBER(F4572),E4572*F4572,"")</f>
        <v/>
      </c>
      <c r="H4572" s="73"/>
      <c r="I4572" s="74"/>
      <c r="J4572" s="155">
        <v>0</v>
      </c>
    </row>
    <row r="4573" spans="1:10" ht="15.75" hidden="1" thickBot="1" x14ac:dyDescent="0.3">
      <c r="A4573" s="180" t="s">
        <v>1471</v>
      </c>
      <c r="B4573" s="186" t="str">
        <f>INDEX(Orçamentária!A:B,MATCH(Composições!A4573,Orçamentária!A:A,0),2)</f>
        <v>Impermeabilização com manta dupla (com maçarico)</v>
      </c>
      <c r="C4573" s="41"/>
      <c r="D4573" s="26" t="str">
        <f>TRIM(INDEX(Orçamentária!C:C,MATCH(Composições!A4573,Orçamentária!A:A,0),1))</f>
        <v>m2</v>
      </c>
      <c r="E4573" s="27"/>
      <c r="F4573" s="49" t="s">
        <v>558</v>
      </c>
      <c r="G4573" s="28" t="str">
        <f>IF(ISNUMBER(F4573),E4573*F4573,"")</f>
        <v/>
      </c>
      <c r="H4573" s="29"/>
      <c r="I4573" s="30"/>
      <c r="J4573" s="155">
        <v>0</v>
      </c>
    </row>
    <row r="4574" spans="1:10" ht="15.75" hidden="1" thickBot="1" x14ac:dyDescent="0.3">
      <c r="A4574" s="181"/>
      <c r="B4574" s="202"/>
      <c r="C4574" s="32"/>
      <c r="D4574" s="32"/>
      <c r="E4574" s="33"/>
      <c r="F4574" s="54" t="s">
        <v>558</v>
      </c>
      <c r="G4574" s="54" t="str">
        <f>IF(ISNUMBER(F4574),E4574*F4574,"")</f>
        <v/>
      </c>
      <c r="H4574" s="73"/>
      <c r="I4574" s="74"/>
      <c r="J4574" s="155">
        <v>0</v>
      </c>
    </row>
    <row r="4575" spans="1:10" ht="26.25" hidden="1" thickBot="1" x14ac:dyDescent="0.3">
      <c r="A4575" s="181"/>
      <c r="B4575" s="202"/>
      <c r="C4575" s="36" t="s">
        <v>1448</v>
      </c>
      <c r="D4575" s="36" t="s">
        <v>103</v>
      </c>
      <c r="E4575" s="37">
        <v>0.61499999999999999</v>
      </c>
      <c r="F4575" s="54">
        <v>14.686999999999999</v>
      </c>
      <c r="G4575" s="54">
        <f>IF(ISNUMBER(F4575),E4575*F4575,"")</f>
        <v>9.0325049999999987</v>
      </c>
      <c r="H4575" s="39">
        <f>SUM(G4575:G4580)</f>
        <v>142.06996349999997</v>
      </c>
      <c r="I4575" s="40"/>
      <c r="J4575" s="155">
        <v>0</v>
      </c>
    </row>
    <row r="4576" spans="1:10" ht="26.25" hidden="1" thickBot="1" x14ac:dyDescent="0.3">
      <c r="A4576" s="181"/>
      <c r="B4576" s="202"/>
      <c r="C4576" s="36" t="s">
        <v>1472</v>
      </c>
      <c r="D4576" s="36" t="s">
        <v>1034</v>
      </c>
      <c r="E4576" s="37">
        <v>1.125</v>
      </c>
      <c r="F4576" s="54">
        <v>36.945499999999996</v>
      </c>
      <c r="G4576" s="54">
        <f>IF(ISNUMBER(F4576),E4576*F4576,"")</f>
        <v>41.563687499999993</v>
      </c>
      <c r="H4576" s="73"/>
      <c r="I4576" s="74"/>
      <c r="J4576" s="155">
        <v>0</v>
      </c>
    </row>
    <row r="4577" spans="1:10" ht="26.25" hidden="1" thickBot="1" x14ac:dyDescent="0.3">
      <c r="A4577" s="181"/>
      <c r="B4577" s="202"/>
      <c r="C4577" s="36" t="s">
        <v>1455</v>
      </c>
      <c r="D4577" s="36" t="s">
        <v>1034</v>
      </c>
      <c r="E4577" s="37">
        <v>1.125</v>
      </c>
      <c r="F4577" s="54">
        <v>45.371999999999993</v>
      </c>
      <c r="G4577" s="54">
        <f>IF(ISNUMBER(F4577),E4577*F4577,"")</f>
        <v>51.043499999999995</v>
      </c>
      <c r="H4577" s="73"/>
      <c r="I4577" s="74"/>
      <c r="J4577" s="155">
        <v>0</v>
      </c>
    </row>
    <row r="4578" spans="1:10" ht="15.75" hidden="1" thickBot="1" x14ac:dyDescent="0.3">
      <c r="A4578" s="181"/>
      <c r="B4578" s="202"/>
      <c r="C4578" s="36" t="s">
        <v>1456</v>
      </c>
      <c r="D4578" s="36" t="s">
        <v>938</v>
      </c>
      <c r="E4578" s="37">
        <v>0.52</v>
      </c>
      <c r="F4578" s="54">
        <v>7.0679999999999996</v>
      </c>
      <c r="G4578" s="54">
        <f>IF(ISNUMBER(F4578),E4578*F4578,"")</f>
        <v>3.67536</v>
      </c>
      <c r="H4578" s="73"/>
      <c r="I4578" s="74"/>
      <c r="J4578" s="155">
        <v>0</v>
      </c>
    </row>
    <row r="4579" spans="1:10" ht="15.75" hidden="1" thickBot="1" x14ac:dyDescent="0.3">
      <c r="A4579" s="181"/>
      <c r="B4579" s="202"/>
      <c r="C4579" s="36" t="s">
        <v>1449</v>
      </c>
      <c r="D4579" s="36" t="s">
        <v>742</v>
      </c>
      <c r="E4579" s="37">
        <v>0.27800000000000002</v>
      </c>
      <c r="F4579" s="54">
        <v>19.911999999999999</v>
      </c>
      <c r="G4579" s="54">
        <f>IF(ISNUMBER(F4579),E4579*F4579,"")</f>
        <v>5.5355360000000005</v>
      </c>
      <c r="H4579" s="73"/>
      <c r="I4579" s="74"/>
      <c r="J4579" s="155">
        <v>0</v>
      </c>
    </row>
    <row r="4580" spans="1:10" ht="15.75" hidden="1" thickBot="1" x14ac:dyDescent="0.3">
      <c r="A4580" s="181"/>
      <c r="B4580" s="202"/>
      <c r="C4580" s="36" t="s">
        <v>1056</v>
      </c>
      <c r="D4580" s="36" t="s">
        <v>742</v>
      </c>
      <c r="E4580" s="37">
        <v>1.375</v>
      </c>
      <c r="F4580" s="54">
        <v>22.704999999999998</v>
      </c>
      <c r="G4580" s="54">
        <f>IF(ISNUMBER(F4580),E4580*F4580,"")</f>
        <v>31.219374999999999</v>
      </c>
      <c r="H4580" s="73"/>
      <c r="I4580" s="74"/>
      <c r="J4580" s="155">
        <v>0</v>
      </c>
    </row>
    <row r="4581" spans="1:10" ht="15.75" hidden="1" thickBot="1" x14ac:dyDescent="0.3">
      <c r="A4581" s="181"/>
      <c r="B4581" s="202"/>
      <c r="C4581" s="36"/>
      <c r="D4581" s="36"/>
      <c r="E4581" s="37"/>
      <c r="F4581" s="54" t="s">
        <v>558</v>
      </c>
      <c r="G4581" s="54" t="str">
        <f>IF(ISNUMBER(F4581),E4581*F4581,"")</f>
        <v/>
      </c>
      <c r="H4581" s="73"/>
      <c r="I4581" s="74"/>
      <c r="J4581" s="155">
        <v>0</v>
      </c>
    </row>
    <row r="4582" spans="1:10" ht="15.75" hidden="1" thickBot="1" x14ac:dyDescent="0.3">
      <c r="A4582" s="180" t="s">
        <v>1473</v>
      </c>
      <c r="B4582" s="186" t="str">
        <f>INDEX(Orçamentária!A:B,MATCH(Composições!A4582,Orçamentária!A:A,0),2)</f>
        <v>Impermeabilização com manta dupla (com asfalto elastomérico)</v>
      </c>
      <c r="C4582" s="41"/>
      <c r="D4582" s="26" t="str">
        <f>TRIM(INDEX(Orçamentária!C:C,MATCH(Composições!A4582,Orçamentária!A:A,0),1))</f>
        <v>m2</v>
      </c>
      <c r="E4582" s="27"/>
      <c r="F4582" s="49" t="s">
        <v>558</v>
      </c>
      <c r="G4582" s="28" t="str">
        <f>IF(ISNUMBER(F4582),E4582*F4582,"")</f>
        <v/>
      </c>
      <c r="H4582" s="29"/>
      <c r="I4582" s="30"/>
      <c r="J4582" s="155">
        <v>0</v>
      </c>
    </row>
    <row r="4583" spans="1:10" ht="15.75" hidden="1" thickBot="1" x14ac:dyDescent="0.3">
      <c r="A4583" s="181"/>
      <c r="B4583" s="202"/>
      <c r="C4583" s="32"/>
      <c r="D4583" s="32"/>
      <c r="E4583" s="33"/>
      <c r="F4583" s="54" t="s">
        <v>558</v>
      </c>
      <c r="G4583" s="54" t="str">
        <f>IF(ISNUMBER(F4583),E4583*F4583,"")</f>
        <v/>
      </c>
      <c r="H4583" s="73"/>
      <c r="I4583" s="74"/>
      <c r="J4583" s="155">
        <v>0</v>
      </c>
    </row>
    <row r="4584" spans="1:10" ht="26.25" hidden="1" thickBot="1" x14ac:dyDescent="0.3">
      <c r="A4584" s="181"/>
      <c r="B4584" s="202"/>
      <c r="C4584" s="36" t="s">
        <v>1448</v>
      </c>
      <c r="D4584" s="36" t="s">
        <v>103</v>
      </c>
      <c r="E4584" s="37">
        <v>0.61499999999999999</v>
      </c>
      <c r="F4584" s="54">
        <v>14.686999999999999</v>
      </c>
      <c r="G4584" s="54">
        <f>IF(ISNUMBER(F4584),E4584*F4584,"")</f>
        <v>9.0325049999999987</v>
      </c>
      <c r="H4584" s="39">
        <f>SUM(G4584:G4589)</f>
        <v>143.9301395</v>
      </c>
      <c r="I4584" s="40"/>
      <c r="J4584" s="155">
        <v>0</v>
      </c>
    </row>
    <row r="4585" spans="1:10" ht="26.25" hidden="1" thickBot="1" x14ac:dyDescent="0.3">
      <c r="A4585" s="181"/>
      <c r="B4585" s="202"/>
      <c r="C4585" s="36" t="s">
        <v>1472</v>
      </c>
      <c r="D4585" s="36" t="s">
        <v>1034</v>
      </c>
      <c r="E4585" s="37">
        <v>1.125</v>
      </c>
      <c r="F4585" s="54">
        <v>36.945499999999996</v>
      </c>
      <c r="G4585" s="54">
        <f>IF(ISNUMBER(F4585),E4585*F4585,"")</f>
        <v>41.563687499999993</v>
      </c>
      <c r="H4585" s="73"/>
      <c r="I4585" s="74"/>
      <c r="J4585" s="155">
        <v>0</v>
      </c>
    </row>
    <row r="4586" spans="1:10" ht="26.25" hidden="1" thickBot="1" x14ac:dyDescent="0.3">
      <c r="A4586" s="181"/>
      <c r="B4586" s="202"/>
      <c r="C4586" s="36" t="s">
        <v>1455</v>
      </c>
      <c r="D4586" s="36" t="s">
        <v>1034</v>
      </c>
      <c r="E4586" s="37">
        <v>1.125</v>
      </c>
      <c r="F4586" s="54">
        <v>45.371999999999993</v>
      </c>
      <c r="G4586" s="54">
        <f>IF(ISNUMBER(F4586),E4586*F4586,"")</f>
        <v>51.043499999999995</v>
      </c>
      <c r="H4586" s="73"/>
      <c r="I4586" s="74"/>
      <c r="J4586" s="155">
        <v>0</v>
      </c>
    </row>
    <row r="4587" spans="1:10" ht="15.75" hidden="1" thickBot="1" x14ac:dyDescent="0.3">
      <c r="A4587" s="181"/>
      <c r="B4587" s="202"/>
      <c r="C4587" s="36" t="s">
        <v>1468</v>
      </c>
      <c r="D4587" s="36" t="s">
        <v>938</v>
      </c>
      <c r="E4587" s="37">
        <v>2</v>
      </c>
      <c r="F4587" s="54" t="s">
        <v>558</v>
      </c>
      <c r="G4587" s="54" t="str">
        <f>IF(ISNUMBER(F4587),E4587*F4587,"")</f>
        <v/>
      </c>
      <c r="H4587" s="73"/>
      <c r="I4587" s="74"/>
      <c r="J4587" s="155">
        <v>0</v>
      </c>
    </row>
    <row r="4588" spans="1:10" ht="15.75" hidden="1" thickBot="1" x14ac:dyDescent="0.3">
      <c r="A4588" s="181"/>
      <c r="B4588" s="202"/>
      <c r="C4588" s="36" t="s">
        <v>1449</v>
      </c>
      <c r="D4588" s="36" t="s">
        <v>742</v>
      </c>
      <c r="E4588" s="37">
        <f>0.278*2</f>
        <v>0.55600000000000005</v>
      </c>
      <c r="F4588" s="54">
        <v>19.911999999999999</v>
      </c>
      <c r="G4588" s="54">
        <f>IF(ISNUMBER(F4588),E4588*F4588,"")</f>
        <v>11.071072000000001</v>
      </c>
      <c r="H4588" s="73"/>
      <c r="I4588" s="74"/>
      <c r="J4588" s="155">
        <v>0</v>
      </c>
    </row>
    <row r="4589" spans="1:10" ht="15.75" hidden="1" thickBot="1" x14ac:dyDescent="0.3">
      <c r="A4589" s="181"/>
      <c r="B4589" s="202"/>
      <c r="C4589" s="36" t="s">
        <v>1056</v>
      </c>
      <c r="D4589" s="36" t="s">
        <v>742</v>
      </c>
      <c r="E4589" s="37">
        <v>1.375</v>
      </c>
      <c r="F4589" s="54">
        <v>22.704999999999998</v>
      </c>
      <c r="G4589" s="54">
        <f>IF(ISNUMBER(F4589),E4589*F4589,"")</f>
        <v>31.219374999999999</v>
      </c>
      <c r="H4589" s="73"/>
      <c r="I4589" s="74"/>
      <c r="J4589" s="155">
        <v>0</v>
      </c>
    </row>
    <row r="4590" spans="1:10" ht="15.75" hidden="1" thickBot="1" x14ac:dyDescent="0.3">
      <c r="A4590" s="181"/>
      <c r="B4590" s="202"/>
      <c r="C4590" s="36"/>
      <c r="D4590" s="36"/>
      <c r="E4590" s="37"/>
      <c r="F4590" s="54" t="s">
        <v>558</v>
      </c>
      <c r="G4590" s="54" t="str">
        <f>IF(ISNUMBER(F4590),E4590*F4590,"")</f>
        <v/>
      </c>
      <c r="H4590" s="73"/>
      <c r="I4590" s="74"/>
      <c r="J4590" s="155">
        <v>0</v>
      </c>
    </row>
    <row r="4591" spans="1:10" ht="26.25" hidden="1" thickBot="1" x14ac:dyDescent="0.3">
      <c r="A4591" s="181"/>
      <c r="B4591" s="202"/>
      <c r="C4591" s="48" t="s">
        <v>1469</v>
      </c>
      <c r="D4591" s="36"/>
      <c r="E4591" s="37"/>
      <c r="F4591" s="54" t="s">
        <v>558</v>
      </c>
      <c r="G4591" s="54" t="str">
        <f>IF(ISNUMBER(F4591),E4591*F4591,"")</f>
        <v/>
      </c>
      <c r="H4591" s="73"/>
      <c r="I4591" s="74"/>
      <c r="J4591" s="155">
        <v>0</v>
      </c>
    </row>
    <row r="4592" spans="1:10" ht="25.5" hidden="1" thickBot="1" x14ac:dyDescent="0.3">
      <c r="A4592" s="181"/>
      <c r="B4592" s="202"/>
      <c r="C4592" s="154" t="s">
        <v>1470</v>
      </c>
      <c r="D4592" s="36"/>
      <c r="E4592" s="37"/>
      <c r="F4592" s="54" t="s">
        <v>558</v>
      </c>
      <c r="G4592" s="54" t="str">
        <f>IF(ISNUMBER(F4592),E4592*F4592,"")</f>
        <v/>
      </c>
      <c r="H4592" s="73"/>
      <c r="I4592" s="74"/>
      <c r="J4592" s="155">
        <v>0</v>
      </c>
    </row>
    <row r="4593" spans="1:10" ht="15.75" hidden="1" thickBot="1" x14ac:dyDescent="0.3">
      <c r="A4593" s="181"/>
      <c r="B4593" s="202"/>
      <c r="C4593" s="36"/>
      <c r="D4593" s="36"/>
      <c r="E4593" s="37"/>
      <c r="F4593" s="54" t="s">
        <v>558</v>
      </c>
      <c r="G4593" s="54" t="str">
        <f>IF(ISNUMBER(F4593),E4593*F4593,"")</f>
        <v/>
      </c>
      <c r="H4593" s="73"/>
      <c r="I4593" s="74"/>
      <c r="J4593" s="155">
        <v>0</v>
      </c>
    </row>
    <row r="4594" spans="1:10" ht="15.75" hidden="1" thickBot="1" x14ac:dyDescent="0.3">
      <c r="A4594" s="180" t="s">
        <v>1474</v>
      </c>
      <c r="B4594" s="186" t="str">
        <f>INDEX(Orçamentária!A:B,MATCH(Composições!A4594,Orçamentária!A:A,0),2)</f>
        <v>Aditivo Incorporador de Ar</v>
      </c>
      <c r="C4594" s="41"/>
      <c r="D4594" s="26" t="str">
        <f>TRIM(INDEX(Orçamentária!C:C,MATCH(Composições!A4594,Orçamentária!A:A,0),1))</f>
        <v>kg</v>
      </c>
      <c r="E4594" s="27"/>
      <c r="F4594" s="49" t="s">
        <v>558</v>
      </c>
      <c r="G4594" s="28" t="str">
        <f>IF(ISNUMBER(F4594),E4594*F4594,"")</f>
        <v/>
      </c>
      <c r="H4594" s="29"/>
      <c r="I4594" s="30"/>
      <c r="J4594" s="155">
        <v>0</v>
      </c>
    </row>
    <row r="4595" spans="1:10" ht="15.75" hidden="1" thickBot="1" x14ac:dyDescent="0.3">
      <c r="A4595" s="181"/>
      <c r="B4595" s="202"/>
      <c r="C4595" s="32"/>
      <c r="D4595" s="32"/>
      <c r="E4595" s="33"/>
      <c r="F4595" s="54" t="s">
        <v>558</v>
      </c>
      <c r="G4595" s="54" t="str">
        <f>IF(ISNUMBER(F4595),E4595*F4595,"")</f>
        <v/>
      </c>
      <c r="H4595" s="73"/>
      <c r="I4595" s="74"/>
      <c r="J4595" s="155">
        <v>0</v>
      </c>
    </row>
    <row r="4596" spans="1:10" ht="26.25" hidden="1" thickBot="1" x14ac:dyDescent="0.3">
      <c r="A4596" s="181"/>
      <c r="B4596" s="202"/>
      <c r="C4596" s="36" t="s">
        <v>1475</v>
      </c>
      <c r="D4596" s="36" t="s">
        <v>103</v>
      </c>
      <c r="E4596" s="37">
        <v>1.01</v>
      </c>
      <c r="F4596" s="54">
        <v>6.3174999999999999</v>
      </c>
      <c r="G4596" s="54">
        <f>IF(ISNUMBER(F4596),E4596*F4596,"")</f>
        <v>6.3806750000000001</v>
      </c>
      <c r="H4596" s="39">
        <f>SUM(G4596:G4596)</f>
        <v>6.3806750000000001</v>
      </c>
      <c r="I4596" s="40"/>
      <c r="J4596" s="155">
        <v>0</v>
      </c>
    </row>
    <row r="4597" spans="1:10" ht="15.75" hidden="1" thickBot="1" x14ac:dyDescent="0.3">
      <c r="A4597" s="181"/>
      <c r="B4597" s="202"/>
      <c r="C4597" s="36"/>
      <c r="D4597" s="36"/>
      <c r="E4597" s="37"/>
      <c r="F4597" s="54" t="s">
        <v>558</v>
      </c>
      <c r="G4597" s="54" t="str">
        <f>IF(ISNUMBER(F4597),E4597*F4597,"")</f>
        <v/>
      </c>
      <c r="H4597" s="73"/>
      <c r="I4597" s="74"/>
      <c r="J4597" s="155">
        <v>0</v>
      </c>
    </row>
    <row r="4598" spans="1:10" ht="26.25" hidden="1" thickBot="1" x14ac:dyDescent="0.3">
      <c r="A4598" s="181"/>
      <c r="B4598" s="202"/>
      <c r="C4598" s="48" t="s">
        <v>1476</v>
      </c>
      <c r="D4598" s="36"/>
      <c r="E4598" s="37"/>
      <c r="F4598" s="54" t="s">
        <v>558</v>
      </c>
      <c r="G4598" s="54" t="str">
        <f>IF(ISNUMBER(F4598),E4598*F4598,"")</f>
        <v/>
      </c>
      <c r="H4598" s="73"/>
      <c r="I4598" s="74"/>
      <c r="J4598" s="155">
        <v>0</v>
      </c>
    </row>
    <row r="4599" spans="1:10" ht="15.75" hidden="1" thickBot="1" x14ac:dyDescent="0.3">
      <c r="A4599" s="181"/>
      <c r="B4599" s="202"/>
      <c r="C4599" s="55"/>
      <c r="D4599" s="55"/>
      <c r="E4599" s="66"/>
      <c r="F4599" s="76" t="s">
        <v>558</v>
      </c>
      <c r="G4599" s="76" t="str">
        <f>IF(ISNUMBER(F4599),E4599*F4599,"")</f>
        <v/>
      </c>
      <c r="H4599" s="77"/>
      <c r="I4599" s="74"/>
      <c r="J4599" s="155">
        <v>0</v>
      </c>
    </row>
    <row r="4600" spans="1:10" ht="15.75" hidden="1" thickBot="1" x14ac:dyDescent="0.3">
      <c r="A4600" s="180" t="s">
        <v>1477</v>
      </c>
      <c r="B4600" s="186" t="str">
        <f>INDEX(Orçamentária!A:B,MATCH(Composições!A4600,Orçamentária!A:A,0),2)</f>
        <v>Brita Nº 2</v>
      </c>
      <c r="C4600" s="41"/>
      <c r="D4600" s="26" t="str">
        <f>TRIM(INDEX(Orçamentária!C:C,MATCH(Composições!A4600,Orçamentária!A:A,0),1))</f>
        <v>m3</v>
      </c>
      <c r="E4600" s="27"/>
      <c r="F4600" s="49" t="s">
        <v>558</v>
      </c>
      <c r="G4600" s="28" t="str">
        <f>IF(ISNUMBER(F4600),E4600*F4600,"")</f>
        <v/>
      </c>
      <c r="H4600" s="29"/>
      <c r="I4600" s="30"/>
      <c r="J4600" s="155">
        <v>0</v>
      </c>
    </row>
    <row r="4601" spans="1:10" ht="15.75" hidden="1" thickBot="1" x14ac:dyDescent="0.3">
      <c r="A4601" s="181"/>
      <c r="B4601" s="202"/>
      <c r="C4601" s="32"/>
      <c r="D4601" s="32"/>
      <c r="E4601" s="33"/>
      <c r="F4601" s="54" t="s">
        <v>558</v>
      </c>
      <c r="G4601" s="54" t="str">
        <f>IF(ISNUMBER(F4601),E4601*F4601,"")</f>
        <v/>
      </c>
      <c r="H4601" s="73"/>
      <c r="I4601" s="74"/>
      <c r="J4601" s="155">
        <v>0</v>
      </c>
    </row>
    <row r="4602" spans="1:10" ht="26.25" hidden="1" thickBot="1" x14ac:dyDescent="0.3">
      <c r="A4602" s="181"/>
      <c r="B4602" s="202"/>
      <c r="C4602" s="36" t="s">
        <v>1142</v>
      </c>
      <c r="D4602" s="36" t="s">
        <v>110</v>
      </c>
      <c r="E4602" s="37">
        <v>1</v>
      </c>
      <c r="F4602" s="54">
        <v>125.64699999999999</v>
      </c>
      <c r="G4602" s="54">
        <f>IF(ISNUMBER(F4602),E4602*F4602,"")</f>
        <v>125.64699999999999</v>
      </c>
      <c r="H4602" s="39">
        <f>SUM(G4602:G4604)</f>
        <v>171.68646430000001</v>
      </c>
      <c r="I4602" s="40"/>
      <c r="J4602" s="155">
        <v>0</v>
      </c>
    </row>
    <row r="4603" spans="1:10" ht="51.75" hidden="1" thickBot="1" x14ac:dyDescent="0.3">
      <c r="A4603" s="181"/>
      <c r="B4603" s="202"/>
      <c r="C4603" s="36" t="s">
        <v>3617</v>
      </c>
      <c r="D4603" s="36" t="s">
        <v>110</v>
      </c>
      <c r="E4603" s="37">
        <f>1*E4602</f>
        <v>1</v>
      </c>
      <c r="F4603" s="34">
        <v>6.0418992999999999</v>
      </c>
      <c r="G4603" s="34">
        <f>IF(ISNUMBER(F4603),E4603*F4603,"")</f>
        <v>6.0418992999999999</v>
      </c>
      <c r="H4603" s="35"/>
      <c r="I4603" s="31"/>
      <c r="J4603" s="155">
        <v>0</v>
      </c>
    </row>
    <row r="4604" spans="1:10" ht="39" hidden="1" thickBot="1" x14ac:dyDescent="0.3">
      <c r="A4604" s="181"/>
      <c r="B4604" s="202"/>
      <c r="C4604" s="36" t="s">
        <v>123</v>
      </c>
      <c r="D4604" s="36" t="s">
        <v>124</v>
      </c>
      <c r="E4604" s="37">
        <f>E4602*20</f>
        <v>20</v>
      </c>
      <c r="F4604" s="54">
        <v>1.9998782499999996</v>
      </c>
      <c r="G4604" s="54">
        <f>IF(ISNUMBER(F4604),E4604*F4604,"")</f>
        <v>39.997564999999994</v>
      </c>
      <c r="H4604" s="73"/>
      <c r="I4604" s="74"/>
      <c r="J4604" s="155">
        <v>0</v>
      </c>
    </row>
    <row r="4605" spans="1:10" ht="15.75" hidden="1" thickBot="1" x14ac:dyDescent="0.3">
      <c r="A4605" s="181"/>
      <c r="B4605" s="202"/>
      <c r="C4605" s="36"/>
      <c r="D4605" s="36"/>
      <c r="E4605" s="37"/>
      <c r="F4605" s="54" t="s">
        <v>558</v>
      </c>
      <c r="G4605" s="54" t="str">
        <f>IF(ISNUMBER(F4605),E4605*F4605,"")</f>
        <v/>
      </c>
      <c r="H4605" s="73"/>
      <c r="I4605" s="74"/>
      <c r="J4605" s="155">
        <v>0</v>
      </c>
    </row>
    <row r="4606" spans="1:10" ht="15.75" hidden="1" thickBot="1" x14ac:dyDescent="0.3">
      <c r="A4606" s="181"/>
      <c r="B4606" s="202"/>
      <c r="C4606" s="48" t="s">
        <v>1478</v>
      </c>
      <c r="D4606" s="36"/>
      <c r="E4606" s="37"/>
      <c r="F4606" s="54" t="s">
        <v>558</v>
      </c>
      <c r="G4606" s="54" t="str">
        <f>IF(ISNUMBER(F4606),E4606*F4606,"")</f>
        <v/>
      </c>
      <c r="H4606" s="73"/>
      <c r="I4606" s="74"/>
      <c r="J4606" s="155">
        <v>0</v>
      </c>
    </row>
    <row r="4607" spans="1:10" ht="15.75" hidden="1" thickBot="1" x14ac:dyDescent="0.3">
      <c r="A4607" s="182"/>
      <c r="B4607" s="188"/>
      <c r="C4607" s="55"/>
      <c r="D4607" s="55"/>
      <c r="E4607" s="66"/>
      <c r="F4607" s="76" t="s">
        <v>558</v>
      </c>
      <c r="G4607" s="76" t="str">
        <f>IF(ISNUMBER(F4607),E4607*F4607,"")</f>
        <v/>
      </c>
      <c r="H4607" s="77"/>
      <c r="I4607" s="74"/>
      <c r="J4607" s="155">
        <v>0</v>
      </c>
    </row>
    <row r="4608" spans="1:10" ht="15.75" thickBot="1" x14ac:dyDescent="0.3">
      <c r="A4608" s="180" t="s">
        <v>1479</v>
      </c>
      <c r="B4608" s="186" t="str">
        <f>INDEX(Orçamentária!A:B,MATCH(Composições!A4608,Orçamentária!A:A,0),2)</f>
        <v>Carpete aveludado azul royal - fornecimento e instalação</v>
      </c>
      <c r="C4608" s="41"/>
      <c r="D4608" s="26" t="str">
        <f>TRIM(INDEX(Orçamentária!C:C,MATCH(Composições!A4608,Orçamentária!A:A,0),1))</f>
        <v>m2</v>
      </c>
      <c r="E4608" s="27"/>
      <c r="F4608" s="49" t="s">
        <v>558</v>
      </c>
      <c r="G4608" s="28" t="str">
        <f>IF(ISNUMBER(F4608),E4608*F4608,"")</f>
        <v/>
      </c>
      <c r="H4608" s="29"/>
      <c r="I4608" s="30"/>
      <c r="J4608" s="155">
        <v>1600</v>
      </c>
    </row>
    <row r="4609" spans="1:10" x14ac:dyDescent="0.25">
      <c r="A4609" s="181"/>
      <c r="B4609" s="202"/>
      <c r="C4609" s="32"/>
      <c r="D4609" s="32"/>
      <c r="E4609" s="33"/>
      <c r="F4609" s="54" t="s">
        <v>558</v>
      </c>
      <c r="G4609" s="54" t="str">
        <f>IF(ISNUMBER(F4609),E4609*F4609,"")</f>
        <v/>
      </c>
      <c r="H4609" s="73"/>
      <c r="I4609" s="74"/>
      <c r="J4609" s="155">
        <v>1600</v>
      </c>
    </row>
    <row r="4610" spans="1:10" x14ac:dyDescent="0.25">
      <c r="A4610" s="181"/>
      <c r="B4610" s="202"/>
      <c r="C4610" s="36" t="s">
        <v>750</v>
      </c>
      <c r="D4610" s="36" t="s">
        <v>742</v>
      </c>
      <c r="E4610" s="37">
        <v>0.1</v>
      </c>
      <c r="F4610" s="54">
        <v>22.704999999999998</v>
      </c>
      <c r="G4610" s="54">
        <f>IF(ISNUMBER(F4610),E4610*F4610,"")</f>
        <v>2.2704999999999997</v>
      </c>
      <c r="H4610" s="39">
        <f>SUM(G4610:G4617)</f>
        <v>277.56009999999998</v>
      </c>
      <c r="I4610" s="40"/>
      <c r="J4610" s="155">
        <v>1600</v>
      </c>
    </row>
    <row r="4611" spans="1:10" x14ac:dyDescent="0.25">
      <c r="A4611" s="181"/>
      <c r="B4611" s="202"/>
      <c r="C4611" s="36" t="s">
        <v>743</v>
      </c>
      <c r="D4611" s="36" t="s">
        <v>742</v>
      </c>
      <c r="E4611" s="37">
        <v>0.1</v>
      </c>
      <c r="F4611" s="54">
        <v>16.729499999999998</v>
      </c>
      <c r="G4611" s="54">
        <f>IF(ISNUMBER(F4611),E4611*F4611,"")</f>
        <v>1.6729499999999999</v>
      </c>
      <c r="H4611" s="73"/>
      <c r="I4611" s="74"/>
      <c r="J4611" s="155">
        <v>1600</v>
      </c>
    </row>
    <row r="4612" spans="1:10" x14ac:dyDescent="0.25">
      <c r="A4612" s="181"/>
      <c r="B4612" s="202"/>
      <c r="C4612" s="36" t="s">
        <v>6530</v>
      </c>
      <c r="D4612" s="36" t="s">
        <v>938</v>
      </c>
      <c r="E4612" s="37">
        <v>0.1</v>
      </c>
      <c r="F4612" s="54">
        <v>102.28</v>
      </c>
      <c r="G4612" s="54">
        <f>IF(ISNUMBER(F4612),E4612*F4612,"")</f>
        <v>10.228000000000002</v>
      </c>
      <c r="H4612" s="73"/>
      <c r="I4612" s="74"/>
      <c r="J4612" s="155">
        <v>1600</v>
      </c>
    </row>
    <row r="4613" spans="1:10" ht="25.5" x14ac:dyDescent="0.25">
      <c r="A4613" s="181"/>
      <c r="B4613" s="202"/>
      <c r="C4613" s="36" t="s">
        <v>1481</v>
      </c>
      <c r="D4613" s="36" t="s">
        <v>95</v>
      </c>
      <c r="E4613" s="37">
        <v>1.1000000000000001</v>
      </c>
      <c r="F4613" s="54">
        <v>229.5</v>
      </c>
      <c r="G4613" s="54">
        <f>IF(ISNUMBER(F4613),E4613*F4613,"")</f>
        <v>252.45000000000002</v>
      </c>
      <c r="H4613" s="73"/>
      <c r="I4613" s="74"/>
      <c r="J4613" s="155">
        <v>1600</v>
      </c>
    </row>
    <row r="4614" spans="1:10" x14ac:dyDescent="0.25">
      <c r="A4614" s="181"/>
      <c r="B4614" s="202"/>
      <c r="C4614" s="36" t="s">
        <v>750</v>
      </c>
      <c r="D4614" s="36" t="s">
        <v>742</v>
      </c>
      <c r="E4614" s="37">
        <v>0.2</v>
      </c>
      <c r="F4614" s="54">
        <v>22.704999999999998</v>
      </c>
      <c r="G4614" s="54">
        <f>IF(ISNUMBER(F4614),E4614*F4614,"")</f>
        <v>4.5409999999999995</v>
      </c>
      <c r="H4614" s="73"/>
      <c r="I4614" s="40"/>
      <c r="J4614" s="155">
        <v>1600</v>
      </c>
    </row>
    <row r="4615" spans="1:10" x14ac:dyDescent="0.25">
      <c r="A4615" s="181"/>
      <c r="B4615" s="202"/>
      <c r="C4615" s="36" t="s">
        <v>743</v>
      </c>
      <c r="D4615" s="36" t="s">
        <v>742</v>
      </c>
      <c r="E4615" s="37">
        <v>0.2</v>
      </c>
      <c r="F4615" s="54">
        <v>16.729499999999998</v>
      </c>
      <c r="G4615" s="54">
        <f>IF(ISNUMBER(F4615),E4615*F4615,"")</f>
        <v>3.3458999999999999</v>
      </c>
      <c r="H4615" s="73"/>
      <c r="I4615" s="74"/>
      <c r="J4615" s="155">
        <v>1600</v>
      </c>
    </row>
    <row r="4616" spans="1:10" x14ac:dyDescent="0.25">
      <c r="A4616" s="181"/>
      <c r="B4616" s="202"/>
      <c r="C4616" s="36" t="s">
        <v>787</v>
      </c>
      <c r="D4616" s="47" t="s">
        <v>42</v>
      </c>
      <c r="E4616" s="37">
        <v>1.5</v>
      </c>
      <c r="F4616" s="54">
        <v>0.52249999999999996</v>
      </c>
      <c r="G4616" s="54">
        <f>IF(ISNUMBER(F4616),E4616*F4616,"")</f>
        <v>0.78374999999999995</v>
      </c>
      <c r="H4616" s="73"/>
      <c r="I4616" s="74"/>
      <c r="J4616" s="155">
        <v>1600</v>
      </c>
    </row>
    <row r="4617" spans="1:10" x14ac:dyDescent="0.25">
      <c r="A4617" s="181"/>
      <c r="B4617" s="202"/>
      <c r="C4617" s="36" t="s">
        <v>1480</v>
      </c>
      <c r="D4617" s="36" t="s">
        <v>938</v>
      </c>
      <c r="E4617" s="37">
        <f>ROUND(E4616*0.1,2)</f>
        <v>0.15</v>
      </c>
      <c r="F4617" s="54">
        <v>15.12</v>
      </c>
      <c r="G4617" s="54">
        <f>IF(ISNUMBER(F4617),E4617*F4617,"")</f>
        <v>2.2679999999999998</v>
      </c>
      <c r="H4617" s="73"/>
      <c r="I4617" s="74"/>
      <c r="J4617" s="155">
        <v>1600</v>
      </c>
    </row>
    <row r="4618" spans="1:10" ht="15.75" thickBot="1" x14ac:dyDescent="0.3">
      <c r="A4618" s="181"/>
      <c r="B4618" s="202"/>
      <c r="C4618" s="36"/>
      <c r="D4618" s="36"/>
      <c r="E4618" s="37"/>
      <c r="F4618" s="54" t="s">
        <v>558</v>
      </c>
      <c r="G4618" s="54" t="str">
        <f>IF(ISNUMBER(F4618),E4618*F4618,"")</f>
        <v/>
      </c>
      <c r="H4618" s="73"/>
      <c r="I4618" s="74"/>
      <c r="J4618" s="155">
        <v>1600</v>
      </c>
    </row>
    <row r="4619" spans="1:10" ht="15.75" thickBot="1" x14ac:dyDescent="0.3">
      <c r="A4619" s="180" t="s">
        <v>1482</v>
      </c>
      <c r="B4619" s="186" t="str">
        <f>INDEX(Orçamentária!A:B,MATCH(Composições!A4619,Orçamentária!A:A,0),2)</f>
        <v>Demolição de revestimento de piso têxtil (carpete)</v>
      </c>
      <c r="C4619" s="41"/>
      <c r="D4619" s="26" t="str">
        <f>TRIM(INDEX(Orçamentária!C:C,MATCH(Composições!A4619,Orçamentária!A:A,0),1))</f>
        <v>m2</v>
      </c>
      <c r="E4619" s="27"/>
      <c r="F4619" s="49" t="s">
        <v>558</v>
      </c>
      <c r="G4619" s="28" t="str">
        <f>IF(ISNUMBER(F4619),E4619*F4619,"")</f>
        <v/>
      </c>
      <c r="H4619" s="29"/>
      <c r="I4619" s="30"/>
      <c r="J4619" s="155">
        <v>1600</v>
      </c>
    </row>
    <row r="4620" spans="1:10" x14ac:dyDescent="0.25">
      <c r="A4620" s="181"/>
      <c r="B4620" s="202"/>
      <c r="C4620" s="32"/>
      <c r="D4620" s="32"/>
      <c r="E4620" s="33"/>
      <c r="F4620" s="54" t="s">
        <v>558</v>
      </c>
      <c r="G4620" s="54" t="str">
        <f>IF(ISNUMBER(F4620),E4620*F4620,"")</f>
        <v/>
      </c>
      <c r="H4620" s="73"/>
      <c r="I4620" s="74"/>
      <c r="J4620" s="155">
        <v>1600</v>
      </c>
    </row>
    <row r="4621" spans="1:10" x14ac:dyDescent="0.25">
      <c r="A4621" s="181"/>
      <c r="B4621" s="202"/>
      <c r="C4621" s="36" t="s">
        <v>750</v>
      </c>
      <c r="D4621" s="36" t="s">
        <v>742</v>
      </c>
      <c r="E4621" s="37">
        <v>0.01</v>
      </c>
      <c r="F4621" s="54">
        <v>22.704999999999998</v>
      </c>
      <c r="G4621" s="54">
        <f>IF(ISNUMBER(F4621),E4621*F4621,"")</f>
        <v>0.22704999999999997</v>
      </c>
      <c r="H4621" s="39">
        <f>SUM(G4621:G4622)</f>
        <v>1.9</v>
      </c>
      <c r="I4621" s="40"/>
      <c r="J4621" s="155">
        <v>1600</v>
      </c>
    </row>
    <row r="4622" spans="1:10" x14ac:dyDescent="0.25">
      <c r="A4622" s="181"/>
      <c r="B4622" s="202"/>
      <c r="C4622" s="36" t="s">
        <v>743</v>
      </c>
      <c r="D4622" s="36" t="s">
        <v>742</v>
      </c>
      <c r="E4622" s="37">
        <v>0.1</v>
      </c>
      <c r="F4622" s="54">
        <v>16.729499999999998</v>
      </c>
      <c r="G4622" s="54">
        <f>IF(ISNUMBER(F4622),E4622*F4622,"")</f>
        <v>1.6729499999999999</v>
      </c>
      <c r="H4622" s="73"/>
      <c r="I4622" s="74"/>
      <c r="J4622" s="155">
        <v>1600</v>
      </c>
    </row>
    <row r="4623" spans="1:10" ht="15.75" thickBot="1" x14ac:dyDescent="0.3">
      <c r="A4623" s="182"/>
      <c r="B4623" s="188"/>
      <c r="C4623" s="55"/>
      <c r="D4623" s="55"/>
      <c r="E4623" s="66"/>
      <c r="F4623" s="76" t="s">
        <v>558</v>
      </c>
      <c r="G4623" s="76" t="str">
        <f>IF(ISNUMBER(F4623),E4623*F4623,"")</f>
        <v/>
      </c>
      <c r="H4623" s="77"/>
      <c r="I4623" s="74"/>
      <c r="J4623" s="155">
        <v>1600</v>
      </c>
    </row>
    <row r="4624" spans="1:10" ht="15.75" hidden="1" thickBot="1" x14ac:dyDescent="0.3">
      <c r="A4624" s="180" t="s">
        <v>3483</v>
      </c>
      <c r="B4624" s="186" t="str">
        <f>INDEX(Orçamentária!A:B,MATCH(Composições!A4624,Orçamentária!A:A,0),2)</f>
        <v>Bancada em granito cinza andorinha polido - 2,40 m x 0,60 m</v>
      </c>
      <c r="C4624" s="41"/>
      <c r="D4624" s="26" t="str">
        <f>TRIM(INDEX(Orçamentária!C:C,MATCH(Composições!A4624,Orçamentária!A:A,0),1))</f>
        <v>un</v>
      </c>
      <c r="E4624" s="27"/>
      <c r="F4624" s="49" t="s">
        <v>558</v>
      </c>
      <c r="G4624" s="28" t="str">
        <f>IF(ISNUMBER(F4624),E4624*F4624,"")</f>
        <v/>
      </c>
      <c r="H4624" s="29"/>
      <c r="I4624" s="30"/>
      <c r="J4624" s="155">
        <v>0</v>
      </c>
    </row>
    <row r="4625" spans="1:10" hidden="1" x14ac:dyDescent="0.25">
      <c r="A4625" s="181"/>
      <c r="B4625" s="202"/>
      <c r="C4625" s="32"/>
      <c r="D4625" s="32"/>
      <c r="E4625" s="33"/>
      <c r="F4625" s="54" t="s">
        <v>558</v>
      </c>
      <c r="G4625" s="54" t="str">
        <f>IF(ISNUMBER(F4625),E4625*F4625,"")</f>
        <v/>
      </c>
      <c r="H4625" s="73"/>
      <c r="I4625" s="74"/>
      <c r="J4625" s="155">
        <v>0</v>
      </c>
    </row>
    <row r="4626" spans="1:10" hidden="1" x14ac:dyDescent="0.25">
      <c r="A4626" s="181"/>
      <c r="B4626" s="202"/>
      <c r="C4626" s="36" t="s">
        <v>3428</v>
      </c>
      <c r="D4626" s="36" t="s">
        <v>938</v>
      </c>
      <c r="E4626" s="37">
        <f>0.5228*2.4/1.5</f>
        <v>0.83648</v>
      </c>
      <c r="F4626" s="54">
        <v>24.671499999999998</v>
      </c>
      <c r="G4626" s="54">
        <f>IF(ISNUMBER(F4626),E4626*F4626,"")</f>
        <v>20.63721632</v>
      </c>
      <c r="H4626" s="39">
        <f>SUM(G4626:G4632)</f>
        <v>1020.9174502199999</v>
      </c>
      <c r="I4626" s="40"/>
      <c r="J4626" s="155">
        <v>0</v>
      </c>
    </row>
    <row r="4627" spans="1:10" ht="38.25" hidden="1" x14ac:dyDescent="0.25">
      <c r="A4627" s="181"/>
      <c r="B4627" s="202"/>
      <c r="C4627" s="36" t="s">
        <v>1180</v>
      </c>
      <c r="D4627" s="36" t="s">
        <v>292</v>
      </c>
      <c r="E4627" s="37">
        <v>9</v>
      </c>
      <c r="F4627" s="54">
        <v>0.93099999999999994</v>
      </c>
      <c r="G4627" s="54">
        <f>IF(ISNUMBER(F4627),E4627*F4627,"")</f>
        <v>8.3789999999999996</v>
      </c>
      <c r="H4627" s="73"/>
      <c r="I4627" s="74"/>
      <c r="J4627" s="155">
        <v>0</v>
      </c>
    </row>
    <row r="4628" spans="1:10" ht="38.25" hidden="1" x14ac:dyDescent="0.25">
      <c r="A4628" s="181"/>
      <c r="B4628" s="202"/>
      <c r="C4628" s="36" t="s">
        <v>3407</v>
      </c>
      <c r="D4628" s="36" t="s">
        <v>1034</v>
      </c>
      <c r="E4628" s="37">
        <f>1.005*2.4/1.5</f>
        <v>1.6079999999999997</v>
      </c>
      <c r="F4628" s="54">
        <v>544.90100000000007</v>
      </c>
      <c r="G4628" s="54">
        <f>IF(ISNUMBER(F4628),E4628*F4628,"")</f>
        <v>876.20080799999994</v>
      </c>
      <c r="H4628" s="73"/>
      <c r="I4628" s="74"/>
      <c r="J4628" s="155">
        <v>0</v>
      </c>
    </row>
    <row r="4629" spans="1:10" hidden="1" x14ac:dyDescent="0.25">
      <c r="A4629" s="181"/>
      <c r="B4629" s="202"/>
      <c r="C4629" s="36" t="s">
        <v>3609</v>
      </c>
      <c r="D4629" s="36" t="s">
        <v>938</v>
      </c>
      <c r="E4629" s="37">
        <f>0.0211*2.4/1.5</f>
        <v>3.3759999999999998E-2</v>
      </c>
      <c r="F4629" s="54">
        <v>52.8675</v>
      </c>
      <c r="G4629" s="54">
        <f>IF(ISNUMBER(F4629),E4629*F4629,"")</f>
        <v>1.7848067999999999</v>
      </c>
      <c r="H4629" s="73"/>
      <c r="I4629" s="74"/>
      <c r="J4629" s="155">
        <v>0</v>
      </c>
    </row>
    <row r="4630" spans="1:10" ht="25.5" hidden="1" x14ac:dyDescent="0.25">
      <c r="A4630" s="181"/>
      <c r="B4630" s="202"/>
      <c r="C4630" s="36" t="s">
        <v>3448</v>
      </c>
      <c r="D4630" s="36" t="s">
        <v>292</v>
      </c>
      <c r="E4630" s="37">
        <v>3</v>
      </c>
      <c r="F4630" s="54">
        <v>23.065999999999999</v>
      </c>
      <c r="G4630" s="54">
        <f>IF(ISNUMBER(F4630),E4630*F4630,"")</f>
        <v>69.197999999999993</v>
      </c>
      <c r="H4630" s="73"/>
      <c r="I4630" s="40"/>
      <c r="J4630" s="155">
        <v>0</v>
      </c>
    </row>
    <row r="4631" spans="1:10" hidden="1" x14ac:dyDescent="0.25">
      <c r="A4631" s="181"/>
      <c r="B4631" s="202"/>
      <c r="C4631" s="36" t="s">
        <v>3311</v>
      </c>
      <c r="D4631" s="36" t="s">
        <v>742</v>
      </c>
      <c r="E4631" s="37">
        <v>1.4944</v>
      </c>
      <c r="F4631" s="54">
        <v>18.9145</v>
      </c>
      <c r="G4631" s="54">
        <f>IF(ISNUMBER(F4631),E4631*F4631,"")</f>
        <v>28.265828800000001</v>
      </c>
      <c r="H4631" s="73"/>
      <c r="I4631" s="74"/>
      <c r="J4631" s="155">
        <v>0</v>
      </c>
    </row>
    <row r="4632" spans="1:10" hidden="1" x14ac:dyDescent="0.25">
      <c r="A4632" s="181"/>
      <c r="B4632" s="202"/>
      <c r="C4632" s="36" t="s">
        <v>743</v>
      </c>
      <c r="D4632" s="36" t="s">
        <v>742</v>
      </c>
      <c r="E4632" s="37">
        <v>0.98340000000000005</v>
      </c>
      <c r="F4632" s="54">
        <v>16.729499999999998</v>
      </c>
      <c r="G4632" s="54">
        <f>IF(ISNUMBER(F4632),E4632*F4632,"")</f>
        <v>16.451790299999999</v>
      </c>
      <c r="H4632" s="73"/>
      <c r="I4632" s="74"/>
      <c r="J4632" s="155">
        <v>0</v>
      </c>
    </row>
    <row r="4633" spans="1:10" hidden="1" x14ac:dyDescent="0.25">
      <c r="A4633" s="181"/>
      <c r="B4633" s="202"/>
      <c r="C4633" s="36"/>
      <c r="D4633" s="36"/>
      <c r="E4633" s="37"/>
      <c r="F4633" s="54" t="s">
        <v>558</v>
      </c>
      <c r="G4633" s="54" t="str">
        <f>IF(ISNUMBER(F4633),E4633*F4633,"")</f>
        <v/>
      </c>
      <c r="H4633" s="73"/>
      <c r="I4633" s="74"/>
      <c r="J4633" s="155">
        <v>0</v>
      </c>
    </row>
    <row r="4634" spans="1:10" ht="15.75" hidden="1" thickBot="1" x14ac:dyDescent="0.3">
      <c r="A4634" s="180" t="s">
        <v>3484</v>
      </c>
      <c r="B4634" s="186" t="str">
        <f>INDEX(Orçamentária!A:B,MATCH(Composições!A4634,Orçamentária!A:A,0),2)</f>
        <v>Bancada em granito cinza andorinha polido - 2,50 m x 0,60 m</v>
      </c>
      <c r="C4634" s="41"/>
      <c r="D4634" s="26" t="str">
        <f>TRIM(INDEX(Orçamentária!C:C,MATCH(Composições!A4634,Orçamentária!A:A,0),1))</f>
        <v>un</v>
      </c>
      <c r="E4634" s="27"/>
      <c r="F4634" s="49" t="s">
        <v>558</v>
      </c>
      <c r="G4634" s="28" t="str">
        <f>IF(ISNUMBER(F4634),E4634*F4634,"")</f>
        <v/>
      </c>
      <c r="H4634" s="29"/>
      <c r="I4634" s="30"/>
      <c r="J4634" s="155">
        <v>0</v>
      </c>
    </row>
    <row r="4635" spans="1:10" hidden="1" x14ac:dyDescent="0.25">
      <c r="A4635" s="181"/>
      <c r="B4635" s="202"/>
      <c r="C4635" s="32"/>
      <c r="D4635" s="32"/>
      <c r="E4635" s="33"/>
      <c r="F4635" s="54" t="s">
        <v>558</v>
      </c>
      <c r="G4635" s="54" t="str">
        <f>IF(ISNUMBER(F4635),E4635*F4635,"")</f>
        <v/>
      </c>
      <c r="H4635" s="73"/>
      <c r="I4635" s="74"/>
      <c r="J4635" s="155">
        <v>0</v>
      </c>
    </row>
    <row r="4636" spans="1:10" hidden="1" x14ac:dyDescent="0.25">
      <c r="A4636" s="181"/>
      <c r="B4636" s="202"/>
      <c r="C4636" s="36" t="s">
        <v>3428</v>
      </c>
      <c r="D4636" s="36" t="s">
        <v>938</v>
      </c>
      <c r="E4636" s="37">
        <f>0.5228*2.5/1.5</f>
        <v>0.8713333333333334</v>
      </c>
      <c r="F4636" s="54">
        <v>24.671499999999998</v>
      </c>
      <c r="G4636" s="54">
        <f>IF(ISNUMBER(F4636),E4636*F4636,"")</f>
        <v>21.497100333333332</v>
      </c>
      <c r="H4636" s="39">
        <f>SUM(G4636:G4642)</f>
        <v>1058.3600681833332</v>
      </c>
      <c r="I4636" s="40"/>
      <c r="J4636" s="155">
        <v>0</v>
      </c>
    </row>
    <row r="4637" spans="1:10" ht="38.25" hidden="1" x14ac:dyDescent="0.25">
      <c r="A4637" s="181"/>
      <c r="B4637" s="202"/>
      <c r="C4637" s="36" t="s">
        <v>1180</v>
      </c>
      <c r="D4637" s="36" t="s">
        <v>292</v>
      </c>
      <c r="E4637" s="37">
        <v>9</v>
      </c>
      <c r="F4637" s="54">
        <v>0.93099999999999994</v>
      </c>
      <c r="G4637" s="54">
        <f>IF(ISNUMBER(F4637),E4637*F4637,"")</f>
        <v>8.3789999999999996</v>
      </c>
      <c r="H4637" s="73"/>
      <c r="I4637" s="74"/>
      <c r="J4637" s="155">
        <v>0</v>
      </c>
    </row>
    <row r="4638" spans="1:10" ht="38.25" hidden="1" x14ac:dyDescent="0.25">
      <c r="A4638" s="181"/>
      <c r="B4638" s="202"/>
      <c r="C4638" s="36" t="s">
        <v>3407</v>
      </c>
      <c r="D4638" s="36" t="s">
        <v>1034</v>
      </c>
      <c r="E4638" s="37">
        <f>1.005*2.5/1.5</f>
        <v>1.6749999999999998</v>
      </c>
      <c r="F4638" s="54">
        <v>544.90100000000007</v>
      </c>
      <c r="G4638" s="54">
        <f>IF(ISNUMBER(F4638),E4638*F4638,"")</f>
        <v>912.70917499999996</v>
      </c>
      <c r="H4638" s="73"/>
      <c r="I4638" s="74"/>
      <c r="J4638" s="155">
        <v>0</v>
      </c>
    </row>
    <row r="4639" spans="1:10" hidden="1" x14ac:dyDescent="0.25">
      <c r="A4639" s="181"/>
      <c r="B4639" s="202"/>
      <c r="C4639" s="36" t="s">
        <v>3609</v>
      </c>
      <c r="D4639" s="36" t="s">
        <v>938</v>
      </c>
      <c r="E4639" s="37">
        <f>0.0211*2.5/1.5</f>
        <v>3.5166666666666672E-2</v>
      </c>
      <c r="F4639" s="54">
        <v>52.8675</v>
      </c>
      <c r="G4639" s="54">
        <f>IF(ISNUMBER(F4639),E4639*F4639,"")</f>
        <v>1.8591737500000003</v>
      </c>
      <c r="H4639" s="73"/>
      <c r="I4639" s="74"/>
      <c r="J4639" s="155">
        <v>0</v>
      </c>
    </row>
    <row r="4640" spans="1:10" ht="25.5" hidden="1" x14ac:dyDescent="0.25">
      <c r="A4640" s="181"/>
      <c r="B4640" s="202"/>
      <c r="C4640" s="36" t="s">
        <v>3448</v>
      </c>
      <c r="D4640" s="36" t="s">
        <v>292</v>
      </c>
      <c r="E4640" s="37">
        <v>3</v>
      </c>
      <c r="F4640" s="54">
        <v>23.065999999999999</v>
      </c>
      <c r="G4640" s="54">
        <f>IF(ISNUMBER(F4640),E4640*F4640,"")</f>
        <v>69.197999999999993</v>
      </c>
      <c r="H4640" s="73"/>
      <c r="I4640" s="40"/>
      <c r="J4640" s="155">
        <v>0</v>
      </c>
    </row>
    <row r="4641" spans="1:10" hidden="1" x14ac:dyDescent="0.25">
      <c r="A4641" s="181"/>
      <c r="B4641" s="202"/>
      <c r="C4641" s="36" t="s">
        <v>3311</v>
      </c>
      <c r="D4641" s="36" t="s">
        <v>742</v>
      </c>
      <c r="E4641" s="37">
        <v>1.4944</v>
      </c>
      <c r="F4641" s="54">
        <v>18.9145</v>
      </c>
      <c r="G4641" s="54">
        <f>IF(ISNUMBER(F4641),E4641*F4641,"")</f>
        <v>28.265828800000001</v>
      </c>
      <c r="H4641" s="73"/>
      <c r="I4641" s="74"/>
      <c r="J4641" s="155">
        <v>0</v>
      </c>
    </row>
    <row r="4642" spans="1:10" hidden="1" x14ac:dyDescent="0.25">
      <c r="A4642" s="181"/>
      <c r="B4642" s="202"/>
      <c r="C4642" s="36" t="s">
        <v>743</v>
      </c>
      <c r="D4642" s="36" t="s">
        <v>742</v>
      </c>
      <c r="E4642" s="37">
        <v>0.98340000000000005</v>
      </c>
      <c r="F4642" s="54">
        <v>16.729499999999998</v>
      </c>
      <c r="G4642" s="54">
        <f>IF(ISNUMBER(F4642),E4642*F4642,"")</f>
        <v>16.451790299999999</v>
      </c>
      <c r="H4642" s="73"/>
      <c r="I4642" s="74"/>
      <c r="J4642" s="155">
        <v>0</v>
      </c>
    </row>
    <row r="4643" spans="1:10" hidden="1" x14ac:dyDescent="0.25">
      <c r="A4643" s="181"/>
      <c r="B4643" s="202"/>
      <c r="C4643" s="36"/>
      <c r="D4643" s="36"/>
      <c r="E4643" s="37"/>
      <c r="F4643" s="54" t="s">
        <v>558</v>
      </c>
      <c r="G4643" s="54" t="str">
        <f>IF(ISNUMBER(F4643),E4643*F4643,"")</f>
        <v/>
      </c>
      <c r="H4643" s="73"/>
      <c r="I4643" s="74"/>
      <c r="J4643" s="155">
        <v>0</v>
      </c>
    </row>
    <row r="4644" spans="1:10" ht="15.75" hidden="1" thickBot="1" x14ac:dyDescent="0.3">
      <c r="A4644" s="180" t="s">
        <v>3488</v>
      </c>
      <c r="B4644" s="186" t="str">
        <f>INDEX(Orçamentária!A:B,MATCH(Composições!A4644,Orçamentária!A:A,0),2)</f>
        <v>Batedor/limitador inferior para box de correr</v>
      </c>
      <c r="C4644" s="41"/>
      <c r="D4644" s="26" t="str">
        <f>TRIM(INDEX(Orçamentária!C:C,MATCH(Composições!A4644,Orçamentária!A:A,0),1))</f>
        <v>un</v>
      </c>
      <c r="E4644" s="27"/>
      <c r="F4644" s="42" t="s">
        <v>558</v>
      </c>
      <c r="G4644" s="28" t="str">
        <f>IF(ISNUMBER(F4644),E4644*F4644,"")</f>
        <v/>
      </c>
      <c r="H4644" s="29"/>
      <c r="I4644" s="30"/>
      <c r="J4644" s="155">
        <v>0</v>
      </c>
    </row>
    <row r="4645" spans="1:10" hidden="1" x14ac:dyDescent="0.25">
      <c r="A4645" s="200"/>
      <c r="B4645" s="202"/>
      <c r="C4645" s="32"/>
      <c r="D4645" s="32"/>
      <c r="E4645" s="33"/>
      <c r="F4645" s="43" t="s">
        <v>558</v>
      </c>
      <c r="G4645" s="34" t="str">
        <f>IF(ISNUMBER(F4645),E4645*F4645,"")</f>
        <v/>
      </c>
      <c r="H4645" s="35"/>
      <c r="I4645" s="31"/>
      <c r="J4645" s="155">
        <v>0</v>
      </c>
    </row>
    <row r="4646" spans="1:10" hidden="1" x14ac:dyDescent="0.25">
      <c r="A4646" s="200"/>
      <c r="B4646" s="202"/>
      <c r="C4646" s="36" t="s">
        <v>68</v>
      </c>
      <c r="D4646" s="36" t="s">
        <v>12</v>
      </c>
      <c r="E4646" s="37">
        <v>0.15</v>
      </c>
      <c r="F4646" s="34">
        <v>21.080500000000001</v>
      </c>
      <c r="G4646" s="34">
        <f>IF(ISNUMBER(F4646),E4646*F4646,"")</f>
        <v>3.1620750000000002</v>
      </c>
      <c r="H4646" s="39">
        <f>SUM(G4646:G4647)</f>
        <v>3.1620750000000002</v>
      </c>
      <c r="I4646" s="40"/>
      <c r="J4646" s="155">
        <v>0</v>
      </c>
    </row>
    <row r="4647" spans="1:10" ht="25.5" hidden="1" x14ac:dyDescent="0.25">
      <c r="A4647" s="200"/>
      <c r="B4647" s="202"/>
      <c r="C4647" s="36" t="s">
        <v>3641</v>
      </c>
      <c r="D4647" s="36" t="s">
        <v>20</v>
      </c>
      <c r="E4647" s="37">
        <v>1</v>
      </c>
      <c r="F4647" s="31" t="s">
        <v>558</v>
      </c>
      <c r="G4647" s="34" t="str">
        <f>IF(ISNUMBER(F4647),E4647*F4647,"")</f>
        <v/>
      </c>
      <c r="H4647" s="35"/>
      <c r="I4647" s="31"/>
      <c r="J4647" s="155">
        <v>0</v>
      </c>
    </row>
    <row r="4648" spans="1:10" ht="15.75" hidden="1" thickBot="1" x14ac:dyDescent="0.3">
      <c r="A4648" s="201"/>
      <c r="B4648" s="188"/>
      <c r="C4648" s="36"/>
      <c r="D4648" s="36"/>
      <c r="E4648" s="37"/>
      <c r="F4648" s="31" t="s">
        <v>558</v>
      </c>
      <c r="G4648" s="34" t="str">
        <f>IF(ISNUMBER(F4648),E4648*F4648,"")</f>
        <v/>
      </c>
      <c r="H4648" s="35"/>
      <c r="I4648" s="31"/>
      <c r="J4648" s="155">
        <v>0</v>
      </c>
    </row>
    <row r="4649" spans="1:10" ht="15.75" hidden="1" thickBot="1" x14ac:dyDescent="0.3">
      <c r="A4649" s="180" t="s">
        <v>3489</v>
      </c>
      <c r="B4649" s="186" t="str">
        <f>INDEX(Orçamentária!A:B,MATCH(Composições!A4649,Orçamentária!A:A,0),2)</f>
        <v>Batedor/amortecedor lateral para box de correr</v>
      </c>
      <c r="C4649" s="41"/>
      <c r="D4649" s="26" t="str">
        <f>TRIM(INDEX(Orçamentária!C:C,MATCH(Composições!A4649,Orçamentária!A:A,0),1))</f>
        <v>un</v>
      </c>
      <c r="E4649" s="27"/>
      <c r="F4649" s="42" t="s">
        <v>558</v>
      </c>
      <c r="G4649" s="28" t="str">
        <f>IF(ISNUMBER(F4649),E4649*F4649,"")</f>
        <v/>
      </c>
      <c r="H4649" s="29"/>
      <c r="I4649" s="30"/>
      <c r="J4649" s="155">
        <v>0</v>
      </c>
    </row>
    <row r="4650" spans="1:10" hidden="1" x14ac:dyDescent="0.25">
      <c r="A4650" s="200"/>
      <c r="B4650" s="202"/>
      <c r="C4650" s="32"/>
      <c r="D4650" s="32"/>
      <c r="E4650" s="33"/>
      <c r="F4650" s="43" t="s">
        <v>558</v>
      </c>
      <c r="G4650" s="34" t="str">
        <f>IF(ISNUMBER(F4650),E4650*F4650,"")</f>
        <v/>
      </c>
      <c r="H4650" s="35"/>
      <c r="I4650" s="31"/>
      <c r="J4650" s="155">
        <v>0</v>
      </c>
    </row>
    <row r="4651" spans="1:10" hidden="1" x14ac:dyDescent="0.25">
      <c r="A4651" s="200"/>
      <c r="B4651" s="202"/>
      <c r="C4651" s="36" t="s">
        <v>68</v>
      </c>
      <c r="D4651" s="36" t="s">
        <v>12</v>
      </c>
      <c r="E4651" s="37">
        <v>0.15</v>
      </c>
      <c r="F4651" s="34">
        <v>21.080500000000001</v>
      </c>
      <c r="G4651" s="34">
        <f>IF(ISNUMBER(F4651),E4651*F4651,"")</f>
        <v>3.1620750000000002</v>
      </c>
      <c r="H4651" s="39">
        <f>SUM(G4651:G4652)</f>
        <v>3.1620750000000002</v>
      </c>
      <c r="I4651" s="40"/>
      <c r="J4651" s="155">
        <v>0</v>
      </c>
    </row>
    <row r="4652" spans="1:10" hidden="1" x14ac:dyDescent="0.25">
      <c r="A4652" s="200"/>
      <c r="B4652" s="202"/>
      <c r="C4652" s="36" t="s">
        <v>3642</v>
      </c>
      <c r="D4652" s="36" t="s">
        <v>20</v>
      </c>
      <c r="E4652" s="37">
        <v>1</v>
      </c>
      <c r="F4652" s="31" t="s">
        <v>558</v>
      </c>
      <c r="G4652" s="34" t="str">
        <f>IF(ISNUMBER(F4652),E4652*F4652,"")</f>
        <v/>
      </c>
      <c r="H4652" s="35"/>
      <c r="I4652" s="31"/>
      <c r="J4652" s="155">
        <v>0</v>
      </c>
    </row>
    <row r="4653" spans="1:10" ht="15.75" hidden="1" thickBot="1" x14ac:dyDescent="0.3">
      <c r="A4653" s="201"/>
      <c r="B4653" s="188"/>
      <c r="C4653" s="36"/>
      <c r="D4653" s="36"/>
      <c r="E4653" s="37"/>
      <c r="F4653" s="31" t="s">
        <v>558</v>
      </c>
      <c r="G4653" s="34" t="str">
        <f>IF(ISNUMBER(F4653),E4653*F4653,"")</f>
        <v/>
      </c>
      <c r="H4653" s="35"/>
      <c r="I4653" s="31"/>
      <c r="J4653" s="155">
        <v>0</v>
      </c>
    </row>
    <row r="4654" spans="1:10" ht="15.75" hidden="1" thickBot="1" x14ac:dyDescent="0.3">
      <c r="A4654" s="180" t="s">
        <v>3490</v>
      </c>
      <c r="B4654" s="186" t="str">
        <f>INDEX(Orçamentária!A:B,MATCH(Composições!A4654,Orçamentária!A:A,0),2)</f>
        <v>Batedor/limitador superior para box de correr</v>
      </c>
      <c r="C4654" s="41"/>
      <c r="D4654" s="26" t="str">
        <f>TRIM(INDEX(Orçamentária!C:C,MATCH(Composições!A4654,Orçamentária!A:A,0),1))</f>
        <v>un</v>
      </c>
      <c r="E4654" s="27"/>
      <c r="F4654" s="42" t="s">
        <v>558</v>
      </c>
      <c r="G4654" s="28" t="str">
        <f>IF(ISNUMBER(F4654),E4654*F4654,"")</f>
        <v/>
      </c>
      <c r="H4654" s="29"/>
      <c r="I4654" s="30"/>
      <c r="J4654" s="155">
        <v>0</v>
      </c>
    </row>
    <row r="4655" spans="1:10" hidden="1" x14ac:dyDescent="0.25">
      <c r="A4655" s="200"/>
      <c r="B4655" s="202"/>
      <c r="C4655" s="32"/>
      <c r="D4655" s="32"/>
      <c r="E4655" s="33"/>
      <c r="F4655" s="43" t="s">
        <v>558</v>
      </c>
      <c r="G4655" s="34" t="str">
        <f>IF(ISNUMBER(F4655),E4655*F4655,"")</f>
        <v/>
      </c>
      <c r="H4655" s="35"/>
      <c r="I4655" s="31"/>
      <c r="J4655" s="155">
        <v>0</v>
      </c>
    </row>
    <row r="4656" spans="1:10" hidden="1" x14ac:dyDescent="0.25">
      <c r="A4656" s="200"/>
      <c r="B4656" s="202"/>
      <c r="C4656" s="36" t="s">
        <v>68</v>
      </c>
      <c r="D4656" s="36" t="s">
        <v>12</v>
      </c>
      <c r="E4656" s="37">
        <v>0.15</v>
      </c>
      <c r="F4656" s="34">
        <v>21.080500000000001</v>
      </c>
      <c r="G4656" s="34">
        <f>IF(ISNUMBER(F4656),E4656*F4656,"")</f>
        <v>3.1620750000000002</v>
      </c>
      <c r="H4656" s="39">
        <f>SUM(G4656:G4657)</f>
        <v>3.1620750000000002</v>
      </c>
      <c r="I4656" s="40"/>
      <c r="J4656" s="155">
        <v>0</v>
      </c>
    </row>
    <row r="4657" spans="1:10" ht="25.5" hidden="1" x14ac:dyDescent="0.25">
      <c r="A4657" s="200"/>
      <c r="B4657" s="202"/>
      <c r="C4657" s="36" t="s">
        <v>3643</v>
      </c>
      <c r="D4657" s="36" t="s">
        <v>20</v>
      </c>
      <c r="E4657" s="37">
        <v>1</v>
      </c>
      <c r="F4657" s="31" t="s">
        <v>558</v>
      </c>
      <c r="G4657" s="34" t="str">
        <f>IF(ISNUMBER(F4657),E4657*F4657,"")</f>
        <v/>
      </c>
      <c r="H4657" s="35"/>
      <c r="I4657" s="31"/>
      <c r="J4657" s="155">
        <v>0</v>
      </c>
    </row>
    <row r="4658" spans="1:10" ht="15.75" hidden="1" thickBot="1" x14ac:dyDescent="0.3">
      <c r="A4658" s="201"/>
      <c r="B4658" s="188"/>
      <c r="C4658" s="36"/>
      <c r="D4658" s="36"/>
      <c r="E4658" s="37"/>
      <c r="F4658" s="31" t="s">
        <v>558</v>
      </c>
      <c r="G4658" s="34" t="str">
        <f>IF(ISNUMBER(F4658),E4658*F4658,"")</f>
        <v/>
      </c>
      <c r="H4658" s="35"/>
      <c r="I4658" s="31"/>
      <c r="J4658" s="155">
        <v>0</v>
      </c>
    </row>
    <row r="4659" spans="1:10" ht="15.75" hidden="1" customHeight="1" thickBot="1" x14ac:dyDescent="0.3">
      <c r="A4659" s="180" t="s">
        <v>3491</v>
      </c>
      <c r="B4659" s="186" t="str">
        <f>INDEX(Orçamentária!A:B,MATCH(Composições!A4659,Orçamentária!A:A,0),2)</f>
        <v>Perfil cadeirinha em alumínio com encaixe para escova de vedação para vidro temperado 8mm</v>
      </c>
      <c r="C4659" s="41"/>
      <c r="D4659" s="26" t="str">
        <f>TRIM(INDEX(Orçamentária!C:C,MATCH(Composições!A4659,Orçamentária!A:A,0),1))</f>
        <v>m</v>
      </c>
      <c r="E4659" s="27"/>
      <c r="F4659" s="42" t="s">
        <v>558</v>
      </c>
      <c r="G4659" s="28" t="str">
        <f>IF(ISNUMBER(F4659),E4659*F4659,"")</f>
        <v/>
      </c>
      <c r="H4659" s="29"/>
      <c r="I4659" s="30"/>
      <c r="J4659" s="155">
        <v>0</v>
      </c>
    </row>
    <row r="4660" spans="1:10" hidden="1" x14ac:dyDescent="0.25">
      <c r="A4660" s="181"/>
      <c r="B4660" s="187"/>
      <c r="C4660" s="32"/>
      <c r="D4660" s="32"/>
      <c r="E4660" s="33"/>
      <c r="F4660" s="43" t="s">
        <v>558</v>
      </c>
      <c r="G4660" s="34" t="str">
        <f>IF(ISNUMBER(F4660),E4660*F4660,"")</f>
        <v/>
      </c>
      <c r="H4660" s="35"/>
      <c r="I4660" s="31"/>
      <c r="J4660" s="155">
        <v>0</v>
      </c>
    </row>
    <row r="4661" spans="1:10" hidden="1" x14ac:dyDescent="0.25">
      <c r="A4661" s="181"/>
      <c r="B4661" s="187"/>
      <c r="C4661" s="36" t="s">
        <v>68</v>
      </c>
      <c r="D4661" s="36" t="s">
        <v>12</v>
      </c>
      <c r="E4661" s="37">
        <v>0.2</v>
      </c>
      <c r="F4661" s="34">
        <v>21.080500000000001</v>
      </c>
      <c r="G4661" s="34">
        <f>IF(ISNUMBER(F4661),E4661*F4661,"")</f>
        <v>4.2161</v>
      </c>
      <c r="H4661" s="39">
        <f>SUM(G4661:G4662)</f>
        <v>9.047191999999999</v>
      </c>
      <c r="I4661" s="40"/>
      <c r="J4661" s="155">
        <v>0</v>
      </c>
    </row>
    <row r="4662" spans="1:10" hidden="1" x14ac:dyDescent="0.25">
      <c r="A4662" s="181"/>
      <c r="B4662" s="187"/>
      <c r="C4662" s="36" t="s">
        <v>874</v>
      </c>
      <c r="D4662" s="36" t="s">
        <v>42</v>
      </c>
      <c r="E4662" s="37">
        <v>0.126</v>
      </c>
      <c r="F4662" s="31">
        <v>38.341999999999999</v>
      </c>
      <c r="G4662" s="34">
        <f>IF(ISNUMBER(F4662),E4662*F4662,"")</f>
        <v>4.8310919999999999</v>
      </c>
      <c r="H4662" s="35"/>
      <c r="I4662" s="31"/>
      <c r="J4662" s="155">
        <v>0</v>
      </c>
    </row>
    <row r="4663" spans="1:10" hidden="1" x14ac:dyDescent="0.25">
      <c r="A4663" s="181"/>
      <c r="B4663" s="187"/>
      <c r="C4663" s="36"/>
      <c r="D4663" s="36"/>
      <c r="E4663" s="37"/>
      <c r="F4663" s="31"/>
      <c r="G4663" s="34"/>
      <c r="H4663" s="35"/>
      <c r="I4663" s="31"/>
      <c r="J4663" s="155">
        <v>0</v>
      </c>
    </row>
    <row r="4664" spans="1:10" hidden="1" x14ac:dyDescent="0.25">
      <c r="A4664" s="181"/>
      <c r="B4664" s="187"/>
      <c r="C4664" s="52" t="s">
        <v>3645</v>
      </c>
      <c r="D4664" s="36"/>
      <c r="E4664" s="37"/>
      <c r="F4664" s="31"/>
      <c r="G4664" s="34"/>
      <c r="H4664" s="35"/>
      <c r="I4664" s="31"/>
      <c r="J4664" s="155">
        <v>0</v>
      </c>
    </row>
    <row r="4665" spans="1:10" hidden="1" x14ac:dyDescent="0.25">
      <c r="A4665" s="181"/>
      <c r="B4665" s="187"/>
      <c r="C4665" s="52" t="s">
        <v>3644</v>
      </c>
      <c r="D4665" s="36"/>
      <c r="E4665" s="37"/>
      <c r="F4665" s="31" t="s">
        <v>558</v>
      </c>
      <c r="G4665" s="34" t="str">
        <f>IF(ISNUMBER(F4665),E4665*F4665,"")</f>
        <v/>
      </c>
      <c r="H4665" s="35"/>
      <c r="I4665" s="31"/>
      <c r="J4665" s="155">
        <v>0</v>
      </c>
    </row>
    <row r="4666" spans="1:10" ht="15.75" hidden="1" thickBot="1" x14ac:dyDescent="0.3">
      <c r="A4666" s="182"/>
      <c r="B4666" s="188"/>
      <c r="C4666" s="52"/>
      <c r="D4666" s="36"/>
      <c r="E4666" s="37"/>
      <c r="F4666" s="31"/>
      <c r="G4666" s="34"/>
      <c r="H4666" s="35"/>
      <c r="I4666" s="31"/>
      <c r="J4666" s="155">
        <v>0</v>
      </c>
    </row>
    <row r="4667" spans="1:10" ht="15.75" hidden="1" thickBot="1" x14ac:dyDescent="0.3">
      <c r="A4667" s="180" t="s">
        <v>3492</v>
      </c>
      <c r="B4667" s="186" t="str">
        <f>INDEX(Orçamentária!A:B,MATCH(Composições!A4667,Orçamentária!A:A,0),2)</f>
        <v>Perfil em alumínio para acabamento de trilho superior - Vidro temperado 8mm</v>
      </c>
      <c r="C4667" s="41"/>
      <c r="D4667" s="26" t="str">
        <f>TRIM(INDEX(Orçamentária!C:C,MATCH(Composições!A4667,Orçamentária!A:A,0),1))</f>
        <v>m</v>
      </c>
      <c r="E4667" s="27"/>
      <c r="F4667" s="42" t="s">
        <v>558</v>
      </c>
      <c r="G4667" s="28" t="str">
        <f>IF(ISNUMBER(F4667),E4667*F4667,"")</f>
        <v/>
      </c>
      <c r="H4667" s="29"/>
      <c r="I4667" s="30"/>
      <c r="J4667" s="155">
        <v>0</v>
      </c>
    </row>
    <row r="4668" spans="1:10" hidden="1" x14ac:dyDescent="0.25">
      <c r="A4668" s="200"/>
      <c r="B4668" s="202"/>
      <c r="C4668" s="32"/>
      <c r="D4668" s="32"/>
      <c r="E4668" s="33"/>
      <c r="F4668" s="43" t="s">
        <v>558</v>
      </c>
      <c r="G4668" s="34" t="str">
        <f>IF(ISNUMBER(F4668),E4668*F4668,"")</f>
        <v/>
      </c>
      <c r="H4668" s="35"/>
      <c r="I4668" s="31"/>
      <c r="J4668" s="155">
        <v>0</v>
      </c>
    </row>
    <row r="4669" spans="1:10" hidden="1" x14ac:dyDescent="0.25">
      <c r="A4669" s="200"/>
      <c r="B4669" s="202"/>
      <c r="C4669" s="36" t="s">
        <v>68</v>
      </c>
      <c r="D4669" s="36" t="s">
        <v>12</v>
      </c>
      <c r="E4669" s="37">
        <v>0.2</v>
      </c>
      <c r="F4669" s="34">
        <v>21.080500000000001</v>
      </c>
      <c r="G4669" s="34">
        <f>IF(ISNUMBER(F4669),E4669*F4669,"")</f>
        <v>4.2161</v>
      </c>
      <c r="H4669" s="39">
        <f>SUM(G4669:G4670)</f>
        <v>12.843050000000002</v>
      </c>
      <c r="I4669" s="40"/>
      <c r="J4669" s="155">
        <v>0</v>
      </c>
    </row>
    <row r="4670" spans="1:10" hidden="1" x14ac:dyDescent="0.25">
      <c r="A4670" s="200"/>
      <c r="B4670" s="202"/>
      <c r="C4670" s="36" t="s">
        <v>874</v>
      </c>
      <c r="D4670" s="36" t="s">
        <v>42</v>
      </c>
      <c r="E4670" s="37">
        <v>0.22500000000000001</v>
      </c>
      <c r="F4670" s="31">
        <v>38.341999999999999</v>
      </c>
      <c r="G4670" s="34">
        <f>IF(ISNUMBER(F4670),E4670*F4670,"")</f>
        <v>8.6269500000000008</v>
      </c>
      <c r="H4670" s="35"/>
      <c r="I4670" s="31"/>
      <c r="J4670" s="155">
        <v>0</v>
      </c>
    </row>
    <row r="4671" spans="1:10" hidden="1" x14ac:dyDescent="0.25">
      <c r="A4671" s="200"/>
      <c r="B4671" s="202"/>
      <c r="C4671" s="36"/>
      <c r="D4671" s="36"/>
      <c r="E4671" s="37"/>
      <c r="F4671" s="31"/>
      <c r="G4671" s="34"/>
      <c r="H4671" s="35"/>
      <c r="I4671" s="31"/>
      <c r="J4671" s="155">
        <v>0</v>
      </c>
    </row>
    <row r="4672" spans="1:10" hidden="1" x14ac:dyDescent="0.25">
      <c r="A4672" s="200"/>
      <c r="B4672" s="202"/>
      <c r="C4672" s="52" t="s">
        <v>3646</v>
      </c>
      <c r="D4672" s="36"/>
      <c r="E4672" s="37"/>
      <c r="F4672" s="31"/>
      <c r="G4672" s="34"/>
      <c r="H4672" s="35"/>
      <c r="I4672" s="31"/>
      <c r="J4672" s="155">
        <v>0</v>
      </c>
    </row>
    <row r="4673" spans="1:10" hidden="1" x14ac:dyDescent="0.25">
      <c r="A4673" s="200"/>
      <c r="B4673" s="202"/>
      <c r="C4673" s="52" t="s">
        <v>3644</v>
      </c>
      <c r="D4673" s="36"/>
      <c r="E4673" s="37"/>
      <c r="F4673" s="31"/>
      <c r="G4673" s="34"/>
      <c r="H4673" s="35"/>
      <c r="I4673" s="31"/>
      <c r="J4673" s="155">
        <v>0</v>
      </c>
    </row>
    <row r="4674" spans="1:10" ht="15.75" hidden="1" thickBot="1" x14ac:dyDescent="0.3">
      <c r="A4674" s="201"/>
      <c r="B4674" s="188"/>
      <c r="C4674" s="36"/>
      <c r="D4674" s="36"/>
      <c r="E4674" s="37"/>
      <c r="F4674" s="31" t="s">
        <v>558</v>
      </c>
      <c r="G4674" s="34" t="str">
        <f>IF(ISNUMBER(F4674),E4674*F4674,"")</f>
        <v/>
      </c>
      <c r="H4674" s="35"/>
      <c r="I4674" s="31"/>
      <c r="J4674" s="155">
        <v>0</v>
      </c>
    </row>
    <row r="4675" spans="1:10" ht="15.75" hidden="1" thickBot="1" x14ac:dyDescent="0.3">
      <c r="A4675" s="180" t="s">
        <v>3493</v>
      </c>
      <c r="B4675" s="186" t="str">
        <f>INDEX(Orçamentária!A:B,MATCH(Composições!A4675,Orçamentária!A:A,0),2)</f>
        <v>Capa do Perfil Guia Inferior “Click” - Vidro temperado 8mm</v>
      </c>
      <c r="C4675" s="41"/>
      <c r="D4675" s="26" t="str">
        <f>TRIM(INDEX(Orçamentária!C:C,MATCH(Composições!A4675,Orçamentária!A:A,0),1))</f>
        <v>m</v>
      </c>
      <c r="E4675" s="27"/>
      <c r="F4675" s="42" t="s">
        <v>558</v>
      </c>
      <c r="G4675" s="28" t="str">
        <f>IF(ISNUMBER(F4675),E4675*F4675,"")</f>
        <v/>
      </c>
      <c r="H4675" s="29"/>
      <c r="I4675" s="30"/>
      <c r="J4675" s="155">
        <v>0</v>
      </c>
    </row>
    <row r="4676" spans="1:10" hidden="1" x14ac:dyDescent="0.25">
      <c r="A4676" s="200"/>
      <c r="B4676" s="202"/>
      <c r="C4676" s="32"/>
      <c r="D4676" s="32"/>
      <c r="E4676" s="33"/>
      <c r="F4676" s="43" t="s">
        <v>558</v>
      </c>
      <c r="G4676" s="34" t="str">
        <f>IF(ISNUMBER(F4676),E4676*F4676,"")</f>
        <v/>
      </c>
      <c r="H4676" s="35"/>
      <c r="I4676" s="31"/>
      <c r="J4676" s="155">
        <v>0</v>
      </c>
    </row>
    <row r="4677" spans="1:10" hidden="1" x14ac:dyDescent="0.25">
      <c r="A4677" s="200"/>
      <c r="B4677" s="202"/>
      <c r="C4677" s="36" t="s">
        <v>68</v>
      </c>
      <c r="D4677" s="36" t="s">
        <v>12</v>
      </c>
      <c r="E4677" s="37">
        <v>0.15</v>
      </c>
      <c r="F4677" s="34">
        <v>21.080500000000001</v>
      </c>
      <c r="G4677" s="34">
        <f>IF(ISNUMBER(F4677),E4677*F4677,"")</f>
        <v>3.1620750000000002</v>
      </c>
      <c r="H4677" s="39">
        <f>SUM(G4677:G4678)</f>
        <v>5.2708849999999998</v>
      </c>
      <c r="I4677" s="40"/>
      <c r="J4677" s="155">
        <v>0</v>
      </c>
    </row>
    <row r="4678" spans="1:10" hidden="1" x14ac:dyDescent="0.25">
      <c r="A4678" s="200"/>
      <c r="B4678" s="202"/>
      <c r="C4678" s="36" t="s">
        <v>874</v>
      </c>
      <c r="D4678" s="36" t="s">
        <v>42</v>
      </c>
      <c r="E4678" s="37">
        <v>5.5E-2</v>
      </c>
      <c r="F4678" s="31">
        <v>38.341999999999999</v>
      </c>
      <c r="G4678" s="34">
        <f>IF(ISNUMBER(F4678),E4678*F4678,"")</f>
        <v>2.1088100000000001</v>
      </c>
      <c r="H4678" s="35"/>
      <c r="I4678" s="31"/>
      <c r="J4678" s="155">
        <v>0</v>
      </c>
    </row>
    <row r="4679" spans="1:10" hidden="1" x14ac:dyDescent="0.25">
      <c r="A4679" s="200"/>
      <c r="B4679" s="202"/>
      <c r="C4679" s="36"/>
      <c r="D4679" s="36"/>
      <c r="E4679" s="37"/>
      <c r="F4679" s="31"/>
      <c r="G4679" s="34"/>
      <c r="H4679" s="35"/>
      <c r="I4679" s="31"/>
      <c r="J4679" s="155">
        <v>0</v>
      </c>
    </row>
    <row r="4680" spans="1:10" hidden="1" x14ac:dyDescent="0.25">
      <c r="A4680" s="200"/>
      <c r="B4680" s="202"/>
      <c r="C4680" s="52" t="s">
        <v>3647</v>
      </c>
      <c r="D4680" s="36"/>
      <c r="E4680" s="37"/>
      <c r="F4680" s="31"/>
      <c r="G4680" s="34"/>
      <c r="H4680" s="35"/>
      <c r="I4680" s="31"/>
      <c r="J4680" s="155">
        <v>0</v>
      </c>
    </row>
    <row r="4681" spans="1:10" hidden="1" x14ac:dyDescent="0.25">
      <c r="A4681" s="200"/>
      <c r="B4681" s="202"/>
      <c r="C4681" s="52" t="s">
        <v>3644</v>
      </c>
      <c r="D4681" s="36"/>
      <c r="E4681" s="37"/>
      <c r="F4681" s="31"/>
      <c r="G4681" s="34"/>
      <c r="H4681" s="35"/>
      <c r="I4681" s="31"/>
      <c r="J4681" s="155">
        <v>0</v>
      </c>
    </row>
    <row r="4682" spans="1:10" ht="15.75" hidden="1" thickBot="1" x14ac:dyDescent="0.3">
      <c r="A4682" s="201"/>
      <c r="B4682" s="188"/>
      <c r="C4682" s="36"/>
      <c r="D4682" s="36"/>
      <c r="E4682" s="37"/>
      <c r="F4682" s="31" t="s">
        <v>558</v>
      </c>
      <c r="G4682" s="34" t="str">
        <f>IF(ISNUMBER(F4682),E4682*F4682,"")</f>
        <v/>
      </c>
      <c r="H4682" s="35"/>
      <c r="I4682" s="31"/>
      <c r="J4682" s="155">
        <v>0</v>
      </c>
    </row>
    <row r="4683" spans="1:10" ht="15.75" hidden="1" thickBot="1" x14ac:dyDescent="0.3">
      <c r="A4683" s="180" t="s">
        <v>3494</v>
      </c>
      <c r="B4683" s="186" t="str">
        <f>INDEX(Orçamentária!A:B,MATCH(Composições!A4683,Orçamentária!A:A,0),2)</f>
        <v>Perfil guia inferior de alumínio para porta de giro em vidro temperado 8mm</v>
      </c>
      <c r="C4683" s="41"/>
      <c r="D4683" s="26" t="str">
        <f>TRIM(INDEX(Orçamentária!C:C,MATCH(Composições!A4683,Orçamentária!A:A,0),1))</f>
        <v>m</v>
      </c>
      <c r="E4683" s="27"/>
      <c r="F4683" s="42" t="s">
        <v>558</v>
      </c>
      <c r="G4683" s="28" t="str">
        <f>IF(ISNUMBER(F4683),E4683*F4683,"")</f>
        <v/>
      </c>
      <c r="H4683" s="29"/>
      <c r="I4683" s="30"/>
      <c r="J4683" s="155">
        <v>0</v>
      </c>
    </row>
    <row r="4684" spans="1:10" hidden="1" x14ac:dyDescent="0.25">
      <c r="A4684" s="200"/>
      <c r="B4684" s="202"/>
      <c r="C4684" s="32"/>
      <c r="D4684" s="32"/>
      <c r="E4684" s="33"/>
      <c r="F4684" s="43" t="s">
        <v>558</v>
      </c>
      <c r="G4684" s="34" t="str">
        <f>IF(ISNUMBER(F4684),E4684*F4684,"")</f>
        <v/>
      </c>
      <c r="H4684" s="35"/>
      <c r="I4684" s="31"/>
      <c r="J4684" s="155">
        <v>0</v>
      </c>
    </row>
    <row r="4685" spans="1:10" hidden="1" x14ac:dyDescent="0.25">
      <c r="A4685" s="200"/>
      <c r="B4685" s="202"/>
      <c r="C4685" s="36" t="s">
        <v>68</v>
      </c>
      <c r="D4685" s="36" t="s">
        <v>12</v>
      </c>
      <c r="E4685" s="37">
        <v>0.3</v>
      </c>
      <c r="F4685" s="34">
        <v>21.080500000000001</v>
      </c>
      <c r="G4685" s="34">
        <f>IF(ISNUMBER(F4685),E4685*F4685,"")</f>
        <v>6.3241500000000004</v>
      </c>
      <c r="H4685" s="39">
        <f>SUM(G4685:G4686)</f>
        <v>14.299285999999999</v>
      </c>
      <c r="I4685" s="40"/>
      <c r="J4685" s="155">
        <v>0</v>
      </c>
    </row>
    <row r="4686" spans="1:10" hidden="1" x14ac:dyDescent="0.25">
      <c r="A4686" s="200"/>
      <c r="B4686" s="202"/>
      <c r="C4686" s="36" t="s">
        <v>874</v>
      </c>
      <c r="D4686" s="36" t="s">
        <v>42</v>
      </c>
      <c r="E4686" s="37">
        <v>0.20799999999999999</v>
      </c>
      <c r="F4686" s="31">
        <v>38.341999999999999</v>
      </c>
      <c r="G4686" s="34">
        <f>IF(ISNUMBER(F4686),E4686*F4686,"")</f>
        <v>7.9751359999999991</v>
      </c>
      <c r="H4686" s="35"/>
      <c r="I4686" s="31"/>
      <c r="J4686" s="155">
        <v>0</v>
      </c>
    </row>
    <row r="4687" spans="1:10" hidden="1" x14ac:dyDescent="0.25">
      <c r="A4687" s="200"/>
      <c r="B4687" s="202"/>
      <c r="C4687" s="36"/>
      <c r="D4687" s="36"/>
      <c r="E4687" s="37"/>
      <c r="F4687" s="31"/>
      <c r="G4687" s="34"/>
      <c r="H4687" s="35"/>
      <c r="I4687" s="31"/>
      <c r="J4687" s="155">
        <v>0</v>
      </c>
    </row>
    <row r="4688" spans="1:10" hidden="1" x14ac:dyDescent="0.25">
      <c r="A4688" s="200"/>
      <c r="B4688" s="202"/>
      <c r="C4688" s="52" t="s">
        <v>3648</v>
      </c>
      <c r="D4688" s="36"/>
      <c r="E4688" s="37"/>
      <c r="F4688" s="31"/>
      <c r="G4688" s="34"/>
      <c r="H4688" s="35"/>
      <c r="I4688" s="31"/>
      <c r="J4688" s="155">
        <v>0</v>
      </c>
    </row>
    <row r="4689" spans="1:10" hidden="1" x14ac:dyDescent="0.25">
      <c r="A4689" s="200"/>
      <c r="B4689" s="202"/>
      <c r="C4689" s="52" t="s">
        <v>3644</v>
      </c>
      <c r="D4689" s="36"/>
      <c r="E4689" s="37"/>
      <c r="F4689" s="31"/>
      <c r="G4689" s="34"/>
      <c r="H4689" s="35"/>
      <c r="I4689" s="31"/>
      <c r="J4689" s="155">
        <v>0</v>
      </c>
    </row>
    <row r="4690" spans="1:10" ht="15.75" hidden="1" thickBot="1" x14ac:dyDescent="0.3">
      <c r="A4690" s="201"/>
      <c r="B4690" s="188"/>
      <c r="C4690" s="36"/>
      <c r="D4690" s="36"/>
      <c r="E4690" s="37"/>
      <c r="F4690" s="31" t="s">
        <v>558</v>
      </c>
      <c r="G4690" s="34" t="str">
        <f>IF(ISNUMBER(F4690),E4690*F4690,"")</f>
        <v/>
      </c>
      <c r="H4690" s="35"/>
      <c r="I4690" s="31"/>
      <c r="J4690" s="155">
        <v>0</v>
      </c>
    </row>
    <row r="4691" spans="1:10" ht="15.75" hidden="1" thickBot="1" x14ac:dyDescent="0.3">
      <c r="A4691" s="180" t="s">
        <v>3495</v>
      </c>
      <c r="B4691" s="186" t="str">
        <f>INDEX(Orçamentária!A:B,MATCH(Composições!A4691,Orçamentária!A:A,0),2)</f>
        <v>Perfil guia inferior de alumínio para porta de correr em vidro temperado 8mm</v>
      </c>
      <c r="C4691" s="41"/>
      <c r="D4691" s="26" t="str">
        <f>TRIM(INDEX(Orçamentária!C:C,MATCH(Composições!A4691,Orçamentária!A:A,0),1))</f>
        <v>m</v>
      </c>
      <c r="E4691" s="27"/>
      <c r="F4691" s="42" t="s">
        <v>558</v>
      </c>
      <c r="G4691" s="28" t="str">
        <f>IF(ISNUMBER(F4691),E4691*F4691,"")</f>
        <v/>
      </c>
      <c r="H4691" s="29"/>
      <c r="I4691" s="30"/>
      <c r="J4691" s="155">
        <v>0</v>
      </c>
    </row>
    <row r="4692" spans="1:10" hidden="1" x14ac:dyDescent="0.25">
      <c r="A4692" s="200"/>
      <c r="B4692" s="202"/>
      <c r="C4692" s="32"/>
      <c r="D4692" s="32"/>
      <c r="E4692" s="33"/>
      <c r="F4692" s="43" t="s">
        <v>558</v>
      </c>
      <c r="G4692" s="34" t="str">
        <f>IF(ISNUMBER(F4692),E4692*F4692,"")</f>
        <v/>
      </c>
      <c r="H4692" s="35"/>
      <c r="I4692" s="31"/>
      <c r="J4692" s="155">
        <v>0</v>
      </c>
    </row>
    <row r="4693" spans="1:10" hidden="1" x14ac:dyDescent="0.25">
      <c r="A4693" s="200"/>
      <c r="B4693" s="202"/>
      <c r="C4693" s="36" t="s">
        <v>68</v>
      </c>
      <c r="D4693" s="36" t="s">
        <v>12</v>
      </c>
      <c r="E4693" s="37">
        <v>0.3</v>
      </c>
      <c r="F4693" s="34">
        <v>21.080500000000001</v>
      </c>
      <c r="G4693" s="34">
        <f>IF(ISNUMBER(F4693),E4693*F4693,"")</f>
        <v>6.3241500000000004</v>
      </c>
      <c r="H4693" s="39">
        <f>SUM(G4693:G4694)</f>
        <v>16.254728</v>
      </c>
      <c r="I4693" s="40"/>
      <c r="J4693" s="155">
        <v>0</v>
      </c>
    </row>
    <row r="4694" spans="1:10" hidden="1" x14ac:dyDescent="0.25">
      <c r="A4694" s="200"/>
      <c r="B4694" s="202"/>
      <c r="C4694" s="36" t="s">
        <v>874</v>
      </c>
      <c r="D4694" s="36" t="s">
        <v>42</v>
      </c>
      <c r="E4694" s="37">
        <v>0.25900000000000001</v>
      </c>
      <c r="F4694" s="31">
        <v>38.341999999999999</v>
      </c>
      <c r="G4694" s="34">
        <f>IF(ISNUMBER(F4694),E4694*F4694,"")</f>
        <v>9.9305780000000006</v>
      </c>
      <c r="H4694" s="35"/>
      <c r="I4694" s="31"/>
      <c r="J4694" s="155">
        <v>0</v>
      </c>
    </row>
    <row r="4695" spans="1:10" hidden="1" x14ac:dyDescent="0.25">
      <c r="A4695" s="200"/>
      <c r="B4695" s="202"/>
      <c r="C4695" s="36"/>
      <c r="D4695" s="36"/>
      <c r="E4695" s="37"/>
      <c r="F4695" s="31"/>
      <c r="G4695" s="34"/>
      <c r="H4695" s="35"/>
      <c r="I4695" s="31"/>
      <c r="J4695" s="155">
        <v>0</v>
      </c>
    </row>
    <row r="4696" spans="1:10" hidden="1" x14ac:dyDescent="0.25">
      <c r="A4696" s="200"/>
      <c r="B4696" s="202"/>
      <c r="C4696" s="52" t="s">
        <v>3649</v>
      </c>
      <c r="D4696" s="36"/>
      <c r="E4696" s="37"/>
      <c r="F4696" s="31"/>
      <c r="G4696" s="34"/>
      <c r="H4696" s="35"/>
      <c r="I4696" s="31"/>
      <c r="J4696" s="155">
        <v>0</v>
      </c>
    </row>
    <row r="4697" spans="1:10" hidden="1" x14ac:dyDescent="0.25">
      <c r="A4697" s="200"/>
      <c r="B4697" s="202"/>
      <c r="C4697" s="52" t="s">
        <v>3644</v>
      </c>
      <c r="D4697" s="36"/>
      <c r="E4697" s="37"/>
      <c r="F4697" s="31"/>
      <c r="G4697" s="34"/>
      <c r="H4697" s="35"/>
      <c r="I4697" s="31"/>
      <c r="J4697" s="155">
        <v>0</v>
      </c>
    </row>
    <row r="4698" spans="1:10" ht="15.75" hidden="1" thickBot="1" x14ac:dyDescent="0.3">
      <c r="A4698" s="201"/>
      <c r="B4698" s="188"/>
      <c r="C4698" s="36"/>
      <c r="D4698" s="36"/>
      <c r="E4698" s="37"/>
      <c r="F4698" s="31" t="s">
        <v>558</v>
      </c>
      <c r="G4698" s="34" t="str">
        <f>IF(ISNUMBER(F4698),E4698*F4698,"")</f>
        <v/>
      </c>
      <c r="H4698" s="35"/>
      <c r="I4698" s="31"/>
      <c r="J4698" s="155">
        <v>0</v>
      </c>
    </row>
    <row r="4699" spans="1:10" ht="15.75" hidden="1" thickBot="1" x14ac:dyDescent="0.3">
      <c r="A4699" s="180" t="s">
        <v>3496</v>
      </c>
      <c r="B4699" s="186" t="str">
        <f>INDEX(Orçamentária!A:B,MATCH(Composições!A4699,Orçamentária!A:A,0),2)</f>
        <v>Trilho superior em alumínio 53,8mm x 49,6mm, para vidro temperado</v>
      </c>
      <c r="C4699" s="41"/>
      <c r="D4699" s="26" t="str">
        <f>TRIM(INDEX(Orçamentária!C:C,MATCH(Composições!A4699,Orçamentária!A:A,0),1))</f>
        <v>m</v>
      </c>
      <c r="E4699" s="27"/>
      <c r="F4699" s="42" t="s">
        <v>558</v>
      </c>
      <c r="G4699" s="28" t="str">
        <f>IF(ISNUMBER(F4699),E4699*F4699,"")</f>
        <v/>
      </c>
      <c r="H4699" s="29"/>
      <c r="I4699" s="30"/>
      <c r="J4699" s="155">
        <v>0</v>
      </c>
    </row>
    <row r="4700" spans="1:10" hidden="1" x14ac:dyDescent="0.25">
      <c r="A4700" s="200"/>
      <c r="B4700" s="202"/>
      <c r="C4700" s="32"/>
      <c r="D4700" s="32"/>
      <c r="E4700" s="33"/>
      <c r="F4700" s="43" t="s">
        <v>558</v>
      </c>
      <c r="G4700" s="34" t="str">
        <f>IF(ISNUMBER(F4700),E4700*F4700,"")</f>
        <v/>
      </c>
      <c r="H4700" s="35"/>
      <c r="I4700" s="31"/>
      <c r="J4700" s="155">
        <v>0</v>
      </c>
    </row>
    <row r="4701" spans="1:10" hidden="1" x14ac:dyDescent="0.25">
      <c r="A4701" s="200"/>
      <c r="B4701" s="202"/>
      <c r="C4701" s="36" t="s">
        <v>68</v>
      </c>
      <c r="D4701" s="36" t="s">
        <v>12</v>
      </c>
      <c r="E4701" s="37">
        <v>0.3</v>
      </c>
      <c r="F4701" s="34">
        <v>21.080500000000001</v>
      </c>
      <c r="G4701" s="34">
        <f>IF(ISNUMBER(F4701),E4701*F4701,"")</f>
        <v>6.3241500000000004</v>
      </c>
      <c r="H4701" s="39">
        <f>SUM(G4701:G4702)</f>
        <v>26.875461999999999</v>
      </c>
      <c r="I4701" s="40"/>
      <c r="J4701" s="155">
        <v>0</v>
      </c>
    </row>
    <row r="4702" spans="1:10" hidden="1" x14ac:dyDescent="0.25">
      <c r="A4702" s="200"/>
      <c r="B4702" s="202"/>
      <c r="C4702" s="36" t="s">
        <v>874</v>
      </c>
      <c r="D4702" s="36" t="s">
        <v>42</v>
      </c>
      <c r="E4702" s="37">
        <v>0.53600000000000003</v>
      </c>
      <c r="F4702" s="31">
        <v>38.341999999999999</v>
      </c>
      <c r="G4702" s="34">
        <f>IF(ISNUMBER(F4702),E4702*F4702,"")</f>
        <v>20.551311999999999</v>
      </c>
      <c r="H4702" s="35"/>
      <c r="I4702" s="31"/>
      <c r="J4702" s="155">
        <v>0</v>
      </c>
    </row>
    <row r="4703" spans="1:10" hidden="1" x14ac:dyDescent="0.25">
      <c r="A4703" s="200"/>
      <c r="B4703" s="202"/>
      <c r="C4703" s="36"/>
      <c r="D4703" s="36"/>
      <c r="E4703" s="37"/>
      <c r="F4703" s="31"/>
      <c r="G4703" s="34"/>
      <c r="H4703" s="35"/>
      <c r="I4703" s="31"/>
      <c r="J4703" s="155">
        <v>0</v>
      </c>
    </row>
    <row r="4704" spans="1:10" hidden="1" x14ac:dyDescent="0.25">
      <c r="A4704" s="200"/>
      <c r="B4704" s="202"/>
      <c r="C4704" s="52" t="s">
        <v>3650</v>
      </c>
      <c r="D4704" s="36"/>
      <c r="E4704" s="37"/>
      <c r="F4704" s="31"/>
      <c r="G4704" s="34"/>
      <c r="H4704" s="35"/>
      <c r="I4704" s="31"/>
      <c r="J4704" s="155">
        <v>0</v>
      </c>
    </row>
    <row r="4705" spans="1:10" hidden="1" x14ac:dyDescent="0.25">
      <c r="A4705" s="200"/>
      <c r="B4705" s="202"/>
      <c r="C4705" s="52" t="s">
        <v>3644</v>
      </c>
      <c r="D4705" s="36"/>
      <c r="E4705" s="37"/>
      <c r="F4705" s="31"/>
      <c r="G4705" s="34"/>
      <c r="H4705" s="35"/>
      <c r="I4705" s="31"/>
      <c r="J4705" s="155">
        <v>0</v>
      </c>
    </row>
    <row r="4706" spans="1:10" ht="15.75" hidden="1" thickBot="1" x14ac:dyDescent="0.3">
      <c r="A4706" s="201"/>
      <c r="B4706" s="188"/>
      <c r="C4706" s="36"/>
      <c r="D4706" s="36"/>
      <c r="E4706" s="37"/>
      <c r="F4706" s="31" t="s">
        <v>558</v>
      </c>
      <c r="G4706" s="34" t="str">
        <f>IF(ISNUMBER(F4706),E4706*F4706,"")</f>
        <v/>
      </c>
      <c r="H4706" s="35"/>
      <c r="I4706" s="31"/>
      <c r="J4706" s="155">
        <v>0</v>
      </c>
    </row>
    <row r="4707" spans="1:10" ht="15.75" hidden="1" thickBot="1" x14ac:dyDescent="0.3">
      <c r="A4707" s="180" t="s">
        <v>3497</v>
      </c>
      <c r="B4707" s="186" t="str">
        <f>INDEX(Orçamentária!A:B,MATCH(Composições!A4707,Orçamentária!A:A,0),2)</f>
        <v>Perfil em alumínio, tipo U - 10,5 x 20mm - para box de vidro temperado 8mm</v>
      </c>
      <c r="C4707" s="41"/>
      <c r="D4707" s="26" t="str">
        <f>TRIM(INDEX(Orçamentária!C:C,MATCH(Composições!A4707,Orçamentária!A:A,0),1))</f>
        <v>m</v>
      </c>
      <c r="E4707" s="27"/>
      <c r="F4707" s="42" t="s">
        <v>558</v>
      </c>
      <c r="G4707" s="28" t="str">
        <f>IF(ISNUMBER(F4707),E4707*F4707,"")</f>
        <v/>
      </c>
      <c r="H4707" s="29"/>
      <c r="I4707" s="30"/>
      <c r="J4707" s="155">
        <v>0</v>
      </c>
    </row>
    <row r="4708" spans="1:10" hidden="1" x14ac:dyDescent="0.25">
      <c r="A4708" s="200"/>
      <c r="B4708" s="202"/>
      <c r="C4708" s="32"/>
      <c r="D4708" s="32"/>
      <c r="E4708" s="33"/>
      <c r="F4708" s="43" t="s">
        <v>558</v>
      </c>
      <c r="G4708" s="34" t="str">
        <f>IF(ISNUMBER(F4708),E4708*F4708,"")</f>
        <v/>
      </c>
      <c r="H4708" s="35"/>
      <c r="I4708" s="31"/>
      <c r="J4708" s="155">
        <v>0</v>
      </c>
    </row>
    <row r="4709" spans="1:10" hidden="1" x14ac:dyDescent="0.25">
      <c r="A4709" s="200"/>
      <c r="B4709" s="202"/>
      <c r="C4709" s="36" t="s">
        <v>68</v>
      </c>
      <c r="D4709" s="36" t="s">
        <v>12</v>
      </c>
      <c r="E4709" s="37">
        <v>0.2</v>
      </c>
      <c r="F4709" s="34">
        <v>21.080500000000001</v>
      </c>
      <c r="G4709" s="34">
        <f>IF(ISNUMBER(F4709),E4709*F4709,"")</f>
        <v>4.2161</v>
      </c>
      <c r="H4709" s="39">
        <f>SUM(G4709:G4710)</f>
        <v>8.2420100000000005</v>
      </c>
      <c r="I4709" s="40"/>
      <c r="J4709" s="155">
        <v>0</v>
      </c>
    </row>
    <row r="4710" spans="1:10" hidden="1" x14ac:dyDescent="0.25">
      <c r="A4710" s="200"/>
      <c r="B4710" s="202"/>
      <c r="C4710" s="36" t="s">
        <v>874</v>
      </c>
      <c r="D4710" s="36" t="s">
        <v>42</v>
      </c>
      <c r="E4710" s="37">
        <v>0.105</v>
      </c>
      <c r="F4710" s="31">
        <v>38.341999999999999</v>
      </c>
      <c r="G4710" s="34">
        <f>IF(ISNUMBER(F4710),E4710*F4710,"")</f>
        <v>4.0259099999999997</v>
      </c>
      <c r="H4710" s="35"/>
      <c r="I4710" s="31"/>
      <c r="J4710" s="155">
        <v>0</v>
      </c>
    </row>
    <row r="4711" spans="1:10" hidden="1" x14ac:dyDescent="0.25">
      <c r="A4711" s="200"/>
      <c r="B4711" s="202"/>
      <c r="C4711" s="36"/>
      <c r="D4711" s="36"/>
      <c r="E4711" s="37"/>
      <c r="F4711" s="31"/>
      <c r="G4711" s="34"/>
      <c r="H4711" s="35"/>
      <c r="I4711" s="31"/>
      <c r="J4711" s="155">
        <v>0</v>
      </c>
    </row>
    <row r="4712" spans="1:10" hidden="1" x14ac:dyDescent="0.25">
      <c r="A4712" s="200"/>
      <c r="B4712" s="202"/>
      <c r="C4712" s="52" t="s">
        <v>3651</v>
      </c>
      <c r="D4712" s="36"/>
      <c r="E4712" s="37"/>
      <c r="F4712" s="31"/>
      <c r="G4712" s="34"/>
      <c r="H4712" s="35"/>
      <c r="I4712" s="31"/>
      <c r="J4712" s="155">
        <v>0</v>
      </c>
    </row>
    <row r="4713" spans="1:10" hidden="1" x14ac:dyDescent="0.25">
      <c r="A4713" s="200"/>
      <c r="B4713" s="202"/>
      <c r="C4713" s="52" t="s">
        <v>3644</v>
      </c>
      <c r="D4713" s="36"/>
      <c r="E4713" s="37"/>
      <c r="F4713" s="31"/>
      <c r="G4713" s="34"/>
      <c r="H4713" s="35"/>
      <c r="I4713" s="31"/>
      <c r="J4713" s="155">
        <v>0</v>
      </c>
    </row>
    <row r="4714" spans="1:10" ht="15.75" hidden="1" thickBot="1" x14ac:dyDescent="0.3">
      <c r="A4714" s="201"/>
      <c r="B4714" s="188"/>
      <c r="C4714" s="36"/>
      <c r="D4714" s="36"/>
      <c r="E4714" s="37"/>
      <c r="F4714" s="31" t="s">
        <v>558</v>
      </c>
      <c r="G4714" s="34" t="str">
        <f>IF(ISNUMBER(F4714),E4714*F4714,"")</f>
        <v/>
      </c>
      <c r="H4714" s="35"/>
      <c r="I4714" s="31"/>
      <c r="J4714" s="155">
        <v>0</v>
      </c>
    </row>
    <row r="4715" spans="1:10" ht="15.75" hidden="1" thickBot="1" x14ac:dyDescent="0.3">
      <c r="A4715" s="180" t="s">
        <v>3498</v>
      </c>
      <c r="B4715" s="186" t="str">
        <f>INDEX(Orçamentária!A:B,MATCH(Composições!A4715,Orçamentária!A:A,0),2)</f>
        <v>Perfil em alumínio , tipo U –  14 x 20mm - para box de vidro temperado 8mm</v>
      </c>
      <c r="C4715" s="41"/>
      <c r="D4715" s="26" t="str">
        <f>TRIM(INDEX(Orçamentária!C:C,MATCH(Composições!A4715,Orçamentária!A:A,0),1))</f>
        <v>m</v>
      </c>
      <c r="E4715" s="27"/>
      <c r="F4715" s="42" t="s">
        <v>558</v>
      </c>
      <c r="G4715" s="28" t="str">
        <f>IF(ISNUMBER(F4715),E4715*F4715,"")</f>
        <v/>
      </c>
      <c r="H4715" s="29"/>
      <c r="I4715" s="30"/>
      <c r="J4715" s="155">
        <v>0</v>
      </c>
    </row>
    <row r="4716" spans="1:10" hidden="1" x14ac:dyDescent="0.25">
      <c r="A4716" s="200"/>
      <c r="B4716" s="202"/>
      <c r="C4716" s="32"/>
      <c r="D4716" s="32"/>
      <c r="E4716" s="33"/>
      <c r="F4716" s="43" t="s">
        <v>558</v>
      </c>
      <c r="G4716" s="34" t="str">
        <f>IF(ISNUMBER(F4716),E4716*F4716,"")</f>
        <v/>
      </c>
      <c r="H4716" s="35"/>
      <c r="I4716" s="31"/>
      <c r="J4716" s="155">
        <v>0</v>
      </c>
    </row>
    <row r="4717" spans="1:10" hidden="1" x14ac:dyDescent="0.25">
      <c r="A4717" s="200"/>
      <c r="B4717" s="202"/>
      <c r="C4717" s="36" t="s">
        <v>68</v>
      </c>
      <c r="D4717" s="36" t="s">
        <v>12</v>
      </c>
      <c r="E4717" s="37">
        <v>0.2</v>
      </c>
      <c r="F4717" s="34">
        <v>21.080500000000001</v>
      </c>
      <c r="G4717" s="34">
        <f>IF(ISNUMBER(F4717),E4717*F4717,"")</f>
        <v>4.2161</v>
      </c>
      <c r="H4717" s="39">
        <f>SUM(G4717:G4718)</f>
        <v>8.7787979999999983</v>
      </c>
      <c r="I4717" s="40"/>
      <c r="J4717" s="155">
        <v>0</v>
      </c>
    </row>
    <row r="4718" spans="1:10" hidden="1" x14ac:dyDescent="0.25">
      <c r="A4718" s="200"/>
      <c r="B4718" s="202"/>
      <c r="C4718" s="36" t="s">
        <v>874</v>
      </c>
      <c r="D4718" s="36" t="s">
        <v>42</v>
      </c>
      <c r="E4718" s="37">
        <v>0.11899999999999999</v>
      </c>
      <c r="F4718" s="31">
        <v>38.341999999999999</v>
      </c>
      <c r="G4718" s="34">
        <f>IF(ISNUMBER(F4718),E4718*F4718,"")</f>
        <v>4.5626979999999993</v>
      </c>
      <c r="H4718" s="35"/>
      <c r="I4718" s="31"/>
      <c r="J4718" s="155">
        <v>0</v>
      </c>
    </row>
    <row r="4719" spans="1:10" hidden="1" x14ac:dyDescent="0.25">
      <c r="A4719" s="200"/>
      <c r="B4719" s="202"/>
      <c r="C4719" s="36"/>
      <c r="D4719" s="36"/>
      <c r="E4719" s="37"/>
      <c r="F4719" s="31"/>
      <c r="G4719" s="34"/>
      <c r="H4719" s="35"/>
      <c r="I4719" s="31"/>
      <c r="J4719" s="155">
        <v>0</v>
      </c>
    </row>
    <row r="4720" spans="1:10" hidden="1" x14ac:dyDescent="0.25">
      <c r="A4720" s="200"/>
      <c r="B4720" s="202"/>
      <c r="C4720" s="52" t="s">
        <v>3652</v>
      </c>
      <c r="D4720" s="36"/>
      <c r="E4720" s="37"/>
      <c r="F4720" s="31"/>
      <c r="G4720" s="34"/>
      <c r="H4720" s="35"/>
      <c r="I4720" s="31"/>
      <c r="J4720" s="155">
        <v>0</v>
      </c>
    </row>
    <row r="4721" spans="1:10" hidden="1" x14ac:dyDescent="0.25">
      <c r="A4721" s="200"/>
      <c r="B4721" s="202"/>
      <c r="C4721" s="52" t="s">
        <v>3644</v>
      </c>
      <c r="D4721" s="36"/>
      <c r="E4721" s="37"/>
      <c r="F4721" s="31"/>
      <c r="G4721" s="34"/>
      <c r="H4721" s="35"/>
      <c r="I4721" s="31"/>
      <c r="J4721" s="155">
        <v>0</v>
      </c>
    </row>
    <row r="4722" spans="1:10" ht="15.75" hidden="1" thickBot="1" x14ac:dyDescent="0.3">
      <c r="A4722" s="201"/>
      <c r="B4722" s="188"/>
      <c r="C4722" s="36"/>
      <c r="D4722" s="36"/>
      <c r="E4722" s="37"/>
      <c r="F4722" s="31" t="s">
        <v>558</v>
      </c>
      <c r="G4722" s="34" t="str">
        <f>IF(ISNUMBER(F4722),E4722*F4722,"")</f>
        <v/>
      </c>
      <c r="H4722" s="35"/>
      <c r="I4722" s="31"/>
      <c r="J4722" s="155">
        <v>0</v>
      </c>
    </row>
    <row r="4723" spans="1:10" ht="15.75" hidden="1" thickBot="1" x14ac:dyDescent="0.3">
      <c r="A4723" s="180" t="s">
        <v>3499</v>
      </c>
      <c r="B4723" s="186" t="str">
        <f>INDEX(Orçamentária!A:B,MATCH(Composições!A4723,Orçamentária!A:A,0),2)</f>
        <v>Bacia convencional – Linha Residencial</v>
      </c>
      <c r="C4723" s="41"/>
      <c r="D4723" s="26" t="str">
        <f>TRIM(INDEX(Orçamentária!C:C,MATCH(Composições!A4723,Orçamentária!A:A,0),1))</f>
        <v>un</v>
      </c>
      <c r="E4723" s="27"/>
      <c r="F4723" s="42" t="s">
        <v>558</v>
      </c>
      <c r="G4723" s="28" t="str">
        <f>IF(ISNUMBER(F4723),E4723*F4723,"")</f>
        <v/>
      </c>
      <c r="H4723" s="29"/>
      <c r="I4723" s="30"/>
      <c r="J4723" s="155">
        <v>0</v>
      </c>
    </row>
    <row r="4724" spans="1:10" hidden="1" x14ac:dyDescent="0.25">
      <c r="A4724" s="200"/>
      <c r="B4724" s="202"/>
      <c r="C4724" s="32"/>
      <c r="D4724" s="32"/>
      <c r="E4724" s="33"/>
      <c r="F4724" s="43" t="s">
        <v>558</v>
      </c>
      <c r="G4724" s="31" t="str">
        <f>IF(ISNUMBER(F4724),E4724*F4724,"")</f>
        <v/>
      </c>
      <c r="H4724" s="35"/>
      <c r="I4724" s="31"/>
      <c r="J4724" s="155">
        <v>0</v>
      </c>
    </row>
    <row r="4725" spans="1:10" ht="25.5" hidden="1" x14ac:dyDescent="0.25">
      <c r="A4725" s="200"/>
      <c r="B4725" s="202"/>
      <c r="C4725" s="36" t="s">
        <v>3657</v>
      </c>
      <c r="D4725" s="47" t="s">
        <v>292</v>
      </c>
      <c r="E4725" s="37">
        <v>1</v>
      </c>
      <c r="F4725" s="34" t="s">
        <v>558</v>
      </c>
      <c r="G4725" s="34" t="str">
        <f>IF(ISNUMBER(F4725),E4725*F4725,"")</f>
        <v/>
      </c>
      <c r="H4725" s="39">
        <f>SUM(G4725:G4731)</f>
        <v>52.5231706</v>
      </c>
      <c r="I4725" s="40"/>
      <c r="J4725" s="155">
        <v>0</v>
      </c>
    </row>
    <row r="4726" spans="1:10" ht="25.5" hidden="1" x14ac:dyDescent="0.25">
      <c r="A4726" s="200"/>
      <c r="B4726" s="202"/>
      <c r="C4726" s="36" t="s">
        <v>318</v>
      </c>
      <c r="D4726" s="36" t="s">
        <v>20</v>
      </c>
      <c r="E4726" s="37">
        <v>1</v>
      </c>
      <c r="F4726" s="34" t="s">
        <v>558</v>
      </c>
      <c r="G4726" s="34" t="str">
        <f>IF(ISNUMBER(F4726),E4726*F4726,"")</f>
        <v/>
      </c>
      <c r="H4726" s="35"/>
      <c r="I4726" s="31"/>
      <c r="J4726" s="155">
        <v>0</v>
      </c>
    </row>
    <row r="4727" spans="1:10" ht="25.5" hidden="1" x14ac:dyDescent="0.25">
      <c r="A4727" s="200"/>
      <c r="B4727" s="202"/>
      <c r="C4727" s="36" t="s">
        <v>353</v>
      </c>
      <c r="D4727" s="47" t="s">
        <v>292</v>
      </c>
      <c r="E4727" s="37">
        <v>2</v>
      </c>
      <c r="F4727" s="34">
        <v>14.107499999999998</v>
      </c>
      <c r="G4727" s="34">
        <f>IF(ISNUMBER(F4727),E4727*F4727,"")</f>
        <v>28.214999999999996</v>
      </c>
      <c r="H4727" s="35"/>
      <c r="I4727" s="31"/>
      <c r="J4727" s="155">
        <v>0</v>
      </c>
    </row>
    <row r="4728" spans="1:10" hidden="1" x14ac:dyDescent="0.25">
      <c r="A4728" s="200"/>
      <c r="B4728" s="202"/>
      <c r="C4728" s="36" t="s">
        <v>317</v>
      </c>
      <c r="D4728" s="47" t="s">
        <v>20</v>
      </c>
      <c r="E4728" s="37">
        <v>1</v>
      </c>
      <c r="F4728" s="34">
        <v>2.7549999999999999</v>
      </c>
      <c r="G4728" s="54">
        <f>IF(ISNUMBER(F4728),E4728*F4728,"")</f>
        <v>2.7549999999999999</v>
      </c>
      <c r="H4728" s="35"/>
      <c r="I4728" s="31"/>
      <c r="J4728" s="155">
        <v>0</v>
      </c>
    </row>
    <row r="4729" spans="1:10" hidden="1" x14ac:dyDescent="0.25">
      <c r="A4729" s="200"/>
      <c r="B4729" s="202"/>
      <c r="C4729" s="36" t="s">
        <v>3621</v>
      </c>
      <c r="D4729" s="47" t="s">
        <v>42</v>
      </c>
      <c r="E4729" s="37">
        <v>8.8099999999999998E-2</v>
      </c>
      <c r="F4729" s="34">
        <v>52.8675</v>
      </c>
      <c r="G4729" s="34">
        <f>IF(ISNUMBER(F4729),E4729*F4729,"")</f>
        <v>4.6576267499999995</v>
      </c>
      <c r="H4729" s="35"/>
      <c r="I4729" s="31"/>
      <c r="J4729" s="155">
        <v>0</v>
      </c>
    </row>
    <row r="4730" spans="1:10" hidden="1" x14ac:dyDescent="0.25">
      <c r="A4730" s="200"/>
      <c r="B4730" s="202"/>
      <c r="C4730" s="36" t="s">
        <v>39</v>
      </c>
      <c r="D4730" s="47" t="s">
        <v>12</v>
      </c>
      <c r="E4730" s="37">
        <v>0.49680000000000002</v>
      </c>
      <c r="F4730" s="31">
        <v>22.2395</v>
      </c>
      <c r="G4730" s="34">
        <f>IF(ISNUMBER(F4730),E4730*F4730,"")</f>
        <v>11.048583600000001</v>
      </c>
      <c r="H4730" s="35"/>
      <c r="I4730" s="31"/>
      <c r="J4730" s="155">
        <v>0</v>
      </c>
    </row>
    <row r="4731" spans="1:10" hidden="1" x14ac:dyDescent="0.25">
      <c r="A4731" s="200"/>
      <c r="B4731" s="202"/>
      <c r="C4731" s="36" t="s">
        <v>23</v>
      </c>
      <c r="D4731" s="47" t="s">
        <v>12</v>
      </c>
      <c r="E4731" s="37">
        <v>0.34949999999999998</v>
      </c>
      <c r="F4731" s="31">
        <v>16.729499999999998</v>
      </c>
      <c r="G4731" s="34">
        <f>IF(ISNUMBER(F4731),E4731*F4731,"")</f>
        <v>5.8469602499999986</v>
      </c>
      <c r="H4731" s="35"/>
      <c r="I4731" s="31"/>
      <c r="J4731" s="155">
        <v>0</v>
      </c>
    </row>
    <row r="4732" spans="1:10" ht="15.75" hidden="1" thickBot="1" x14ac:dyDescent="0.3">
      <c r="A4732" s="201"/>
      <c r="B4732" s="188"/>
      <c r="C4732" s="36"/>
      <c r="D4732" s="36"/>
      <c r="E4732" s="37"/>
      <c r="F4732" s="31" t="s">
        <v>558</v>
      </c>
      <c r="G4732" s="31" t="str">
        <f>IF(ISNUMBER(F4732),E4732*F4732,"")</f>
        <v/>
      </c>
      <c r="H4732" s="35"/>
      <c r="I4732" s="31"/>
      <c r="J4732" s="155">
        <v>0</v>
      </c>
    </row>
    <row r="4733" spans="1:10" ht="15.75" hidden="1" thickBot="1" x14ac:dyDescent="0.3">
      <c r="A4733" s="180" t="s">
        <v>3500</v>
      </c>
      <c r="B4733" s="186" t="str">
        <f>INDEX(Orçamentária!A:B,MATCH(Composições!A4733,Orçamentária!A:A,0),2)</f>
        <v>Bidê 3 furos - Linha Residencial</v>
      </c>
      <c r="C4733" s="41"/>
      <c r="D4733" s="26" t="str">
        <f>TRIM(INDEX(Orçamentária!C:C,MATCH(Composições!A4733,Orçamentária!A:A,0),1))</f>
        <v>un</v>
      </c>
      <c r="E4733" s="27"/>
      <c r="F4733" s="42" t="s">
        <v>558</v>
      </c>
      <c r="G4733" s="28" t="str">
        <f>IF(ISNUMBER(F4733),E4733*F4733,"")</f>
        <v/>
      </c>
      <c r="H4733" s="29"/>
      <c r="I4733" s="30"/>
      <c r="J4733" s="155">
        <v>0</v>
      </c>
    </row>
    <row r="4734" spans="1:10" hidden="1" x14ac:dyDescent="0.25">
      <c r="A4734" s="200"/>
      <c r="B4734" s="202"/>
      <c r="C4734" s="32"/>
      <c r="D4734" s="32"/>
      <c r="E4734" s="33"/>
      <c r="F4734" s="43" t="s">
        <v>558</v>
      </c>
      <c r="G4734" s="31" t="str">
        <f>IF(ISNUMBER(F4734),E4734*F4734,"")</f>
        <v/>
      </c>
      <c r="H4734" s="35"/>
      <c r="I4734" s="31"/>
      <c r="J4734" s="155">
        <v>0</v>
      </c>
    </row>
    <row r="4735" spans="1:10" hidden="1" x14ac:dyDescent="0.25">
      <c r="A4735" s="200"/>
      <c r="B4735" s="202"/>
      <c r="C4735" s="36" t="s">
        <v>3655</v>
      </c>
      <c r="D4735" s="47" t="s">
        <v>292</v>
      </c>
      <c r="E4735" s="37">
        <v>1</v>
      </c>
      <c r="F4735" s="34" t="s">
        <v>558</v>
      </c>
      <c r="G4735" s="34" t="str">
        <f>IF(ISNUMBER(F4735),E4735*F4735,"")</f>
        <v/>
      </c>
      <c r="H4735" s="39">
        <f>SUM(G4735:G4739)</f>
        <v>49.768170599999991</v>
      </c>
      <c r="I4735" s="40"/>
      <c r="J4735" s="155">
        <v>0</v>
      </c>
    </row>
    <row r="4736" spans="1:10" ht="25.5" hidden="1" x14ac:dyDescent="0.25">
      <c r="A4736" s="200"/>
      <c r="B4736" s="202"/>
      <c r="C4736" s="36" t="s">
        <v>353</v>
      </c>
      <c r="D4736" s="47" t="s">
        <v>292</v>
      </c>
      <c r="E4736" s="37">
        <v>2</v>
      </c>
      <c r="F4736" s="34">
        <v>14.107499999999998</v>
      </c>
      <c r="G4736" s="34">
        <f>IF(ISNUMBER(F4736),E4736*F4736,"")</f>
        <v>28.214999999999996</v>
      </c>
      <c r="H4736" s="35"/>
      <c r="I4736" s="31"/>
      <c r="J4736" s="155">
        <v>0</v>
      </c>
    </row>
    <row r="4737" spans="1:10" hidden="1" x14ac:dyDescent="0.25">
      <c r="A4737" s="200"/>
      <c r="B4737" s="202"/>
      <c r="C4737" s="36" t="s">
        <v>3621</v>
      </c>
      <c r="D4737" s="47" t="s">
        <v>42</v>
      </c>
      <c r="E4737" s="37">
        <v>8.8099999999999998E-2</v>
      </c>
      <c r="F4737" s="34">
        <v>52.8675</v>
      </c>
      <c r="G4737" s="34">
        <f>IF(ISNUMBER(F4737),E4737*F4737,"")</f>
        <v>4.6576267499999995</v>
      </c>
      <c r="H4737" s="35"/>
      <c r="I4737" s="31"/>
      <c r="J4737" s="155">
        <v>0</v>
      </c>
    </row>
    <row r="4738" spans="1:10" hidden="1" x14ac:dyDescent="0.25">
      <c r="A4738" s="200"/>
      <c r="B4738" s="202"/>
      <c r="C4738" s="36" t="s">
        <v>39</v>
      </c>
      <c r="D4738" s="47" t="s">
        <v>12</v>
      </c>
      <c r="E4738" s="37">
        <v>0.49680000000000002</v>
      </c>
      <c r="F4738" s="31">
        <v>22.2395</v>
      </c>
      <c r="G4738" s="34">
        <f>IF(ISNUMBER(F4738),E4738*F4738,"")</f>
        <v>11.048583600000001</v>
      </c>
      <c r="H4738" s="35"/>
      <c r="I4738" s="31"/>
      <c r="J4738" s="155">
        <v>0</v>
      </c>
    </row>
    <row r="4739" spans="1:10" hidden="1" x14ac:dyDescent="0.25">
      <c r="A4739" s="200"/>
      <c r="B4739" s="202"/>
      <c r="C4739" s="36" t="s">
        <v>23</v>
      </c>
      <c r="D4739" s="47" t="s">
        <v>12</v>
      </c>
      <c r="E4739" s="37">
        <v>0.34949999999999998</v>
      </c>
      <c r="F4739" s="31">
        <v>16.729499999999998</v>
      </c>
      <c r="G4739" s="34">
        <f>IF(ISNUMBER(F4739),E4739*F4739,"")</f>
        <v>5.8469602499999986</v>
      </c>
      <c r="H4739" s="35"/>
      <c r="I4739" s="31"/>
      <c r="J4739" s="155">
        <v>0</v>
      </c>
    </row>
    <row r="4740" spans="1:10" ht="15.75" hidden="1" thickBot="1" x14ac:dyDescent="0.3">
      <c r="A4740" s="201"/>
      <c r="B4740" s="188"/>
      <c r="C4740" s="36"/>
      <c r="D4740" s="36"/>
      <c r="E4740" s="37"/>
      <c r="F4740" s="31" t="s">
        <v>558</v>
      </c>
      <c r="G4740" s="31" t="str">
        <f>IF(ISNUMBER(F4740),E4740*F4740,"")</f>
        <v/>
      </c>
      <c r="H4740" s="35"/>
      <c r="I4740" s="31"/>
      <c r="J4740" s="155">
        <v>0</v>
      </c>
    </row>
    <row r="4741" spans="1:10" ht="15.75" hidden="1" thickBot="1" x14ac:dyDescent="0.3">
      <c r="A4741" s="180" t="s">
        <v>3503</v>
      </c>
      <c r="B4741" s="186" t="str">
        <f>INDEX(Orçamentária!A:B,MATCH(Composições!A4741,Orçamentária!A:A,0),2)</f>
        <v>Chuveiro de metal com tubo de parede – Linha Residencial</v>
      </c>
      <c r="C4741" s="41"/>
      <c r="D4741" s="26" t="str">
        <f>TRIM(INDEX(Orçamentária!C:C,MATCH(Composições!A4741,Orçamentária!A:A,0),1))</f>
        <v>un</v>
      </c>
      <c r="E4741" s="27"/>
      <c r="F4741" s="49" t="s">
        <v>558</v>
      </c>
      <c r="G4741" s="28" t="str">
        <f>IF(ISNUMBER(F4741),E4741*F4741,"")</f>
        <v/>
      </c>
      <c r="H4741" s="29"/>
      <c r="I4741" s="30"/>
      <c r="J4741" s="155">
        <v>0</v>
      </c>
    </row>
    <row r="4742" spans="1:10" hidden="1" x14ac:dyDescent="0.25">
      <c r="A4742" s="181"/>
      <c r="B4742" s="202"/>
      <c r="C4742" s="32"/>
      <c r="D4742" s="32"/>
      <c r="E4742" s="33"/>
      <c r="F4742" s="54" t="s">
        <v>558</v>
      </c>
      <c r="G4742" s="54" t="str">
        <f>IF(ISNUMBER(F4742),E4742*F4742,"")</f>
        <v/>
      </c>
      <c r="H4742" s="73"/>
      <c r="I4742" s="74"/>
      <c r="J4742" s="155">
        <v>0</v>
      </c>
    </row>
    <row r="4743" spans="1:10" ht="25.5" hidden="1" x14ac:dyDescent="0.25">
      <c r="A4743" s="181"/>
      <c r="B4743" s="202"/>
      <c r="C4743" s="36" t="s">
        <v>3656</v>
      </c>
      <c r="D4743" s="36" t="s">
        <v>292</v>
      </c>
      <c r="E4743" s="37">
        <v>1</v>
      </c>
      <c r="F4743" s="54" t="s">
        <v>558</v>
      </c>
      <c r="G4743" s="54" t="str">
        <f>IF(ISNUMBER(F4743),E4743*F4743,"")</f>
        <v/>
      </c>
      <c r="H4743" s="39">
        <f>SUM(G4743:G4746)</f>
        <v>12.361242300000001</v>
      </c>
      <c r="I4743" s="40"/>
      <c r="J4743" s="155">
        <v>0</v>
      </c>
    </row>
    <row r="4744" spans="1:10" hidden="1" x14ac:dyDescent="0.25">
      <c r="A4744" s="181"/>
      <c r="B4744" s="202"/>
      <c r="C4744" s="36" t="s">
        <v>1110</v>
      </c>
      <c r="D4744" s="36" t="s">
        <v>292</v>
      </c>
      <c r="E4744" s="37">
        <v>2.1000000000000001E-2</v>
      </c>
      <c r="F4744" s="54">
        <v>3.4769999999999999</v>
      </c>
      <c r="G4744" s="54">
        <f>IF(ISNUMBER(F4744),E4744*F4744,"")</f>
        <v>7.3016999999999999E-2</v>
      </c>
      <c r="H4744" s="73"/>
      <c r="I4744" s="74"/>
      <c r="J4744" s="155">
        <v>0</v>
      </c>
    </row>
    <row r="4745" spans="1:10" ht="25.5" hidden="1" x14ac:dyDescent="0.25">
      <c r="A4745" s="181"/>
      <c r="B4745" s="202"/>
      <c r="C4745" s="36" t="s">
        <v>994</v>
      </c>
      <c r="D4745" s="36" t="s">
        <v>742</v>
      </c>
      <c r="E4745" s="37">
        <v>0.44669999999999999</v>
      </c>
      <c r="F4745" s="54">
        <v>22.2395</v>
      </c>
      <c r="G4745" s="54">
        <f>IF(ISNUMBER(F4745),E4745*F4745,"")</f>
        <v>9.9343846500000001</v>
      </c>
      <c r="H4745" s="73"/>
      <c r="I4745" s="74"/>
      <c r="J4745" s="155">
        <v>0</v>
      </c>
    </row>
    <row r="4746" spans="1:10" hidden="1" x14ac:dyDescent="0.25">
      <c r="A4746" s="181"/>
      <c r="B4746" s="202"/>
      <c r="C4746" s="36" t="s">
        <v>743</v>
      </c>
      <c r="D4746" s="36" t="s">
        <v>742</v>
      </c>
      <c r="E4746" s="37">
        <v>0.14069999999999999</v>
      </c>
      <c r="F4746" s="54">
        <v>16.729499999999998</v>
      </c>
      <c r="G4746" s="54">
        <f>IF(ISNUMBER(F4746),E4746*F4746,"")</f>
        <v>2.3538406499999995</v>
      </c>
      <c r="H4746" s="73"/>
      <c r="I4746" s="74"/>
      <c r="J4746" s="155">
        <v>0</v>
      </c>
    </row>
    <row r="4747" spans="1:10" ht="15.75" hidden="1" thickBot="1" x14ac:dyDescent="0.3">
      <c r="A4747" s="182"/>
      <c r="B4747" s="188"/>
      <c r="C4747" s="36"/>
      <c r="D4747" s="36"/>
      <c r="E4747" s="37"/>
      <c r="F4747" s="54" t="s">
        <v>558</v>
      </c>
      <c r="G4747" s="54" t="str">
        <f>IF(ISNUMBER(F4747),E4747*F4747,"")</f>
        <v/>
      </c>
      <c r="H4747" s="73"/>
      <c r="I4747" s="74"/>
      <c r="J4747" s="155">
        <v>0</v>
      </c>
    </row>
    <row r="4748" spans="1:10" ht="15.75" hidden="1" thickBot="1" x14ac:dyDescent="0.3">
      <c r="A4748" s="180" t="s">
        <v>3504</v>
      </c>
      <c r="B4748" s="186" t="str">
        <f>INDEX(Orçamentária!A:B,MATCH(Composições!A4748,Orçamentária!A:A,0),2)</f>
        <v>Misturador para bidê – Linha Residencial</v>
      </c>
      <c r="C4748" s="41"/>
      <c r="D4748" s="26" t="str">
        <f>TRIM(INDEX(Orçamentária!C:C,MATCH(Composições!A4748,Orçamentária!A:A,0),1))</f>
        <v>un</v>
      </c>
      <c r="E4748" s="27"/>
      <c r="F4748" s="49" t="s">
        <v>558</v>
      </c>
      <c r="G4748" s="28" t="str">
        <f>IF(ISNUMBER(F4748),E4748*F4748,"")</f>
        <v/>
      </c>
      <c r="H4748" s="29"/>
      <c r="I4748" s="30"/>
      <c r="J4748" s="155">
        <v>0</v>
      </c>
    </row>
    <row r="4749" spans="1:10" hidden="1" x14ac:dyDescent="0.25">
      <c r="A4749" s="181"/>
      <c r="B4749" s="202"/>
      <c r="C4749" s="32"/>
      <c r="D4749" s="32"/>
      <c r="E4749" s="33"/>
      <c r="F4749" s="54" t="s">
        <v>558</v>
      </c>
      <c r="G4749" s="54" t="str">
        <f>IF(ISNUMBER(F4749),E4749*F4749,"")</f>
        <v/>
      </c>
      <c r="H4749" s="73"/>
      <c r="I4749" s="74"/>
      <c r="J4749" s="155">
        <v>0</v>
      </c>
    </row>
    <row r="4750" spans="1:10" hidden="1" x14ac:dyDescent="0.25">
      <c r="A4750" s="181"/>
      <c r="B4750" s="202"/>
      <c r="C4750" s="36" t="s">
        <v>1110</v>
      </c>
      <c r="D4750" s="36" t="s">
        <v>292</v>
      </c>
      <c r="E4750" s="37">
        <v>4.2000000000000003E-2</v>
      </c>
      <c r="F4750" s="54">
        <v>3.4769999999999999</v>
      </c>
      <c r="G4750" s="54">
        <f>IF(ISNUMBER(F4750),E4750*F4750,"")</f>
        <v>0.146034</v>
      </c>
      <c r="H4750" s="39">
        <f>SUM(G4750:G4753)</f>
        <v>12.892101349999999</v>
      </c>
      <c r="I4750" s="40"/>
      <c r="J4750" s="155">
        <v>0</v>
      </c>
    </row>
    <row r="4751" spans="1:10" hidden="1" x14ac:dyDescent="0.25">
      <c r="A4751" s="181"/>
      <c r="B4751" s="202"/>
      <c r="C4751" s="36" t="s">
        <v>3654</v>
      </c>
      <c r="D4751" s="36" t="s">
        <v>292</v>
      </c>
      <c r="E4751" s="37">
        <v>1</v>
      </c>
      <c r="F4751" s="54" t="s">
        <v>558</v>
      </c>
      <c r="G4751" s="54" t="str">
        <f>IF(ISNUMBER(F4751),E4751*F4751,"")</f>
        <v/>
      </c>
      <c r="H4751" s="73"/>
      <c r="I4751" s="74"/>
      <c r="J4751" s="155">
        <v>0</v>
      </c>
    </row>
    <row r="4752" spans="1:10" ht="25.5" hidden="1" x14ac:dyDescent="0.25">
      <c r="A4752" s="181"/>
      <c r="B4752" s="202"/>
      <c r="C4752" s="36" t="s">
        <v>994</v>
      </c>
      <c r="D4752" s="36" t="s">
        <v>742</v>
      </c>
      <c r="E4752" s="37">
        <v>0.46329999999999999</v>
      </c>
      <c r="F4752" s="54">
        <v>22.2395</v>
      </c>
      <c r="G4752" s="54">
        <f>IF(ISNUMBER(F4752),E4752*F4752,"")</f>
        <v>10.30356035</v>
      </c>
      <c r="H4752" s="73"/>
      <c r="I4752" s="74"/>
      <c r="J4752" s="155">
        <v>0</v>
      </c>
    </row>
    <row r="4753" spans="1:10" hidden="1" x14ac:dyDescent="0.25">
      <c r="A4753" s="181"/>
      <c r="B4753" s="202"/>
      <c r="C4753" s="36" t="s">
        <v>743</v>
      </c>
      <c r="D4753" s="36" t="s">
        <v>742</v>
      </c>
      <c r="E4753" s="37">
        <v>0.14599999999999999</v>
      </c>
      <c r="F4753" s="54">
        <v>16.729499999999998</v>
      </c>
      <c r="G4753" s="54">
        <f>IF(ISNUMBER(F4753),E4753*F4753,"")</f>
        <v>2.4425069999999995</v>
      </c>
      <c r="H4753" s="73"/>
      <c r="I4753" s="74"/>
      <c r="J4753" s="155">
        <v>0</v>
      </c>
    </row>
    <row r="4754" spans="1:10" ht="15.75" hidden="1" thickBot="1" x14ac:dyDescent="0.3">
      <c r="A4754" s="182"/>
      <c r="B4754" s="188"/>
      <c r="C4754" s="36"/>
      <c r="D4754" s="36"/>
      <c r="E4754" s="37"/>
      <c r="F4754" s="54" t="s">
        <v>558</v>
      </c>
      <c r="G4754" s="54" t="str">
        <f>IF(ISNUMBER(F4754),E4754*F4754,"")</f>
        <v/>
      </c>
      <c r="H4754" s="73"/>
      <c r="I4754" s="74"/>
      <c r="J4754" s="155">
        <v>0</v>
      </c>
    </row>
    <row r="4755" spans="1:10" ht="15.75" hidden="1" thickBot="1" x14ac:dyDescent="0.3">
      <c r="A4755" s="180" t="s">
        <v>3505</v>
      </c>
      <c r="B4755" s="186" t="str">
        <f>INDEX(Orçamentária!A:B,MATCH(Composições!A4755,Orçamentária!A:A,0),2)</f>
        <v>Misturador de mesa para cozinha bica móvel – Linha Residencial</v>
      </c>
      <c r="C4755" s="41"/>
      <c r="D4755" s="26" t="str">
        <f>TRIM(INDEX(Orçamentária!C:C,MATCH(Composições!A4755,Orçamentária!A:A,0),1))</f>
        <v>un</v>
      </c>
      <c r="E4755" s="27"/>
      <c r="F4755" s="49" t="s">
        <v>558</v>
      </c>
      <c r="G4755" s="28" t="str">
        <f>IF(ISNUMBER(F4755),E4755*F4755,"")</f>
        <v/>
      </c>
      <c r="H4755" s="29"/>
      <c r="I4755" s="30"/>
      <c r="J4755" s="155">
        <v>0</v>
      </c>
    </row>
    <row r="4756" spans="1:10" hidden="1" x14ac:dyDescent="0.25">
      <c r="A4756" s="181"/>
      <c r="B4756" s="202"/>
      <c r="C4756" s="32"/>
      <c r="D4756" s="32"/>
      <c r="E4756" s="33"/>
      <c r="F4756" s="54" t="s">
        <v>558</v>
      </c>
      <c r="G4756" s="54" t="str">
        <f>IF(ISNUMBER(F4756),E4756*F4756,"")</f>
        <v/>
      </c>
      <c r="H4756" s="73"/>
      <c r="I4756" s="74"/>
      <c r="J4756" s="155">
        <v>0</v>
      </c>
    </row>
    <row r="4757" spans="1:10" hidden="1" x14ac:dyDescent="0.25">
      <c r="A4757" s="181"/>
      <c r="B4757" s="202"/>
      <c r="C4757" s="36" t="s">
        <v>1110</v>
      </c>
      <c r="D4757" s="36" t="s">
        <v>292</v>
      </c>
      <c r="E4757" s="37">
        <v>4.2000000000000003E-2</v>
      </c>
      <c r="F4757" s="54">
        <v>3.4769999999999999</v>
      </c>
      <c r="G4757" s="54">
        <f>IF(ISNUMBER(F4757),E4757*F4757,"")</f>
        <v>0.146034</v>
      </c>
      <c r="H4757" s="39">
        <f>SUM(G4757:G4760)</f>
        <v>6.3799910000000004</v>
      </c>
      <c r="I4757" s="40"/>
      <c r="J4757" s="155">
        <v>0</v>
      </c>
    </row>
    <row r="4758" spans="1:10" ht="25.5" hidden="1" x14ac:dyDescent="0.25">
      <c r="A4758" s="181"/>
      <c r="B4758" s="202"/>
      <c r="C4758" s="36" t="s">
        <v>3653</v>
      </c>
      <c r="D4758" s="36" t="s">
        <v>292</v>
      </c>
      <c r="E4758" s="37">
        <v>1</v>
      </c>
      <c r="F4758" s="54" t="s">
        <v>558</v>
      </c>
      <c r="G4758" s="54" t="str">
        <f>IF(ISNUMBER(F4758),E4758*F4758,"")</f>
        <v/>
      </c>
      <c r="H4758" s="73"/>
      <c r="I4758" s="74"/>
      <c r="J4758" s="155">
        <v>0</v>
      </c>
    </row>
    <row r="4759" spans="1:10" ht="25.5" hidden="1" x14ac:dyDescent="0.25">
      <c r="A4759" s="181"/>
      <c r="B4759" s="202"/>
      <c r="C4759" s="36" t="s">
        <v>994</v>
      </c>
      <c r="D4759" s="36" t="s">
        <v>742</v>
      </c>
      <c r="E4759" s="37">
        <v>0.2266</v>
      </c>
      <c r="F4759" s="54">
        <v>22.2395</v>
      </c>
      <c r="G4759" s="54">
        <f>IF(ISNUMBER(F4759),E4759*F4759,"")</f>
        <v>5.0394706999999999</v>
      </c>
      <c r="H4759" s="73"/>
      <c r="I4759" s="74"/>
      <c r="J4759" s="155">
        <v>0</v>
      </c>
    </row>
    <row r="4760" spans="1:10" hidden="1" x14ac:dyDescent="0.25">
      <c r="A4760" s="181"/>
      <c r="B4760" s="202"/>
      <c r="C4760" s="36" t="s">
        <v>743</v>
      </c>
      <c r="D4760" s="36" t="s">
        <v>742</v>
      </c>
      <c r="E4760" s="37">
        <v>7.1400000000000005E-2</v>
      </c>
      <c r="F4760" s="54">
        <v>16.729499999999998</v>
      </c>
      <c r="G4760" s="54">
        <f>IF(ISNUMBER(F4760),E4760*F4760,"")</f>
        <v>1.1944862999999999</v>
      </c>
      <c r="H4760" s="73"/>
      <c r="I4760" s="74"/>
      <c r="J4760" s="155">
        <v>0</v>
      </c>
    </row>
    <row r="4761" spans="1:10" ht="15.75" hidden="1" thickBot="1" x14ac:dyDescent="0.3">
      <c r="A4761" s="182"/>
      <c r="B4761" s="188"/>
      <c r="C4761" s="36"/>
      <c r="D4761" s="36"/>
      <c r="E4761" s="37"/>
      <c r="F4761" s="54" t="s">
        <v>558</v>
      </c>
      <c r="G4761" s="54" t="str">
        <f>IF(ISNUMBER(F4761),E4761*F4761,"")</f>
        <v/>
      </c>
      <c r="H4761" s="73"/>
      <c r="I4761" s="74"/>
      <c r="J4761" s="155">
        <v>0</v>
      </c>
    </row>
    <row r="4762" spans="1:10" ht="15.75" hidden="1" thickBot="1" x14ac:dyDescent="0.3">
      <c r="A4762" s="180" t="s">
        <v>3506</v>
      </c>
      <c r="B4762" s="186" t="str">
        <f>INDEX(Orçamentária!A:B,MATCH(Composições!A4762,Orçamentária!A:A,0),2)</f>
        <v>Misturador de mesa para lavatório bica alta – Linha Residencial</v>
      </c>
      <c r="C4762" s="41"/>
      <c r="D4762" s="26" t="str">
        <f>TRIM(INDEX(Orçamentária!C:C,MATCH(Composições!A4762,Orçamentária!A:A,0),1))</f>
        <v>un</v>
      </c>
      <c r="E4762" s="27"/>
      <c r="F4762" s="49" t="s">
        <v>558</v>
      </c>
      <c r="G4762" s="28" t="str">
        <f>IF(ISNUMBER(F4762),E4762*F4762,"")</f>
        <v/>
      </c>
      <c r="H4762" s="29"/>
      <c r="I4762" s="30"/>
      <c r="J4762" s="155">
        <v>0</v>
      </c>
    </row>
    <row r="4763" spans="1:10" hidden="1" x14ac:dyDescent="0.25">
      <c r="A4763" s="181"/>
      <c r="B4763" s="202"/>
      <c r="C4763" s="32"/>
      <c r="D4763" s="32"/>
      <c r="E4763" s="33"/>
      <c r="F4763" s="54" t="s">
        <v>558</v>
      </c>
      <c r="G4763" s="54" t="str">
        <f>IF(ISNUMBER(F4763),E4763*F4763,"")</f>
        <v/>
      </c>
      <c r="H4763" s="73"/>
      <c r="I4763" s="74"/>
      <c r="J4763" s="155">
        <v>0</v>
      </c>
    </row>
    <row r="4764" spans="1:10" hidden="1" x14ac:dyDescent="0.25">
      <c r="A4764" s="181"/>
      <c r="B4764" s="202"/>
      <c r="C4764" s="36" t="s">
        <v>1110</v>
      </c>
      <c r="D4764" s="36" t="s">
        <v>292</v>
      </c>
      <c r="E4764" s="37">
        <v>4.2000000000000003E-2</v>
      </c>
      <c r="F4764" s="54">
        <v>3.4769999999999999</v>
      </c>
      <c r="G4764" s="54">
        <f>IF(ISNUMBER(F4764),E4764*F4764,"")</f>
        <v>0.146034</v>
      </c>
      <c r="H4764" s="39">
        <f>SUM(G4764:G4767)</f>
        <v>12.892101349999999</v>
      </c>
      <c r="I4764" s="40"/>
      <c r="J4764" s="155">
        <v>0</v>
      </c>
    </row>
    <row r="4765" spans="1:10" ht="25.5" hidden="1" x14ac:dyDescent="0.25">
      <c r="A4765" s="181"/>
      <c r="B4765" s="202"/>
      <c r="C4765" s="36" t="s">
        <v>3658</v>
      </c>
      <c r="D4765" s="36" t="s">
        <v>292</v>
      </c>
      <c r="E4765" s="37">
        <v>1</v>
      </c>
      <c r="F4765" s="54" t="s">
        <v>558</v>
      </c>
      <c r="G4765" s="54" t="str">
        <f>IF(ISNUMBER(F4765),E4765*F4765,"")</f>
        <v/>
      </c>
      <c r="H4765" s="73"/>
      <c r="I4765" s="74"/>
      <c r="J4765" s="155">
        <v>0</v>
      </c>
    </row>
    <row r="4766" spans="1:10" ht="25.5" hidden="1" x14ac:dyDescent="0.25">
      <c r="A4766" s="181"/>
      <c r="B4766" s="202"/>
      <c r="C4766" s="36" t="s">
        <v>994</v>
      </c>
      <c r="D4766" s="36" t="s">
        <v>742</v>
      </c>
      <c r="E4766" s="37">
        <v>0.46329999999999999</v>
      </c>
      <c r="F4766" s="54">
        <v>22.2395</v>
      </c>
      <c r="G4766" s="54">
        <f>IF(ISNUMBER(F4766),E4766*F4766,"")</f>
        <v>10.30356035</v>
      </c>
      <c r="H4766" s="73"/>
      <c r="I4766" s="74"/>
      <c r="J4766" s="155">
        <v>0</v>
      </c>
    </row>
    <row r="4767" spans="1:10" hidden="1" x14ac:dyDescent="0.25">
      <c r="A4767" s="181"/>
      <c r="B4767" s="202"/>
      <c r="C4767" s="36" t="s">
        <v>743</v>
      </c>
      <c r="D4767" s="36" t="s">
        <v>742</v>
      </c>
      <c r="E4767" s="37">
        <v>0.14599999999999999</v>
      </c>
      <c r="F4767" s="54">
        <v>16.729499999999998</v>
      </c>
      <c r="G4767" s="54">
        <f>IF(ISNUMBER(F4767),E4767*F4767,"")</f>
        <v>2.4425069999999995</v>
      </c>
      <c r="H4767" s="73"/>
      <c r="I4767" s="74"/>
      <c r="J4767" s="155">
        <v>0</v>
      </c>
    </row>
    <row r="4768" spans="1:10" ht="15.75" hidden="1" thickBot="1" x14ac:dyDescent="0.3">
      <c r="A4768" s="182"/>
      <c r="B4768" s="188"/>
      <c r="C4768" s="36"/>
      <c r="D4768" s="36"/>
      <c r="E4768" s="37"/>
      <c r="F4768" s="54" t="s">
        <v>558</v>
      </c>
      <c r="G4768" s="54" t="str">
        <f>IF(ISNUMBER(F4768),E4768*F4768,"")</f>
        <v/>
      </c>
      <c r="H4768" s="73"/>
      <c r="I4768" s="74"/>
      <c r="J4768" s="155">
        <v>0</v>
      </c>
    </row>
    <row r="4769" spans="1:10" ht="15.75" hidden="1" thickBot="1" x14ac:dyDescent="0.3">
      <c r="A4769" s="180" t="s">
        <v>3507</v>
      </c>
      <c r="B4769" s="186" t="str">
        <f>INDEX(Orçamentária!A:B,MATCH(Composições!A4769,Orçamentária!A:A,0),2)</f>
        <v>Misturador de parede para cozinha bica móvel – Linha Residencial</v>
      </c>
      <c r="C4769" s="41"/>
      <c r="D4769" s="26" t="str">
        <f>TRIM(INDEX(Orçamentária!C:C,MATCH(Composições!A4769,Orçamentária!A:A,0),1))</f>
        <v>un</v>
      </c>
      <c r="E4769" s="27"/>
      <c r="F4769" s="49" t="s">
        <v>558</v>
      </c>
      <c r="G4769" s="28" t="str">
        <f>IF(ISNUMBER(F4769),E4769*F4769,"")</f>
        <v/>
      </c>
      <c r="H4769" s="29"/>
      <c r="I4769" s="30"/>
      <c r="J4769" s="155">
        <v>0</v>
      </c>
    </row>
    <row r="4770" spans="1:10" hidden="1" x14ac:dyDescent="0.25">
      <c r="A4770" s="181"/>
      <c r="B4770" s="202"/>
      <c r="C4770" s="32"/>
      <c r="D4770" s="32"/>
      <c r="E4770" s="33"/>
      <c r="F4770" s="54" t="s">
        <v>558</v>
      </c>
      <c r="G4770" s="54" t="str">
        <f>IF(ISNUMBER(F4770),E4770*F4770,"")</f>
        <v/>
      </c>
      <c r="H4770" s="73"/>
      <c r="I4770" s="74"/>
      <c r="J4770" s="155">
        <v>0</v>
      </c>
    </row>
    <row r="4771" spans="1:10" hidden="1" x14ac:dyDescent="0.25">
      <c r="A4771" s="181"/>
      <c r="B4771" s="202"/>
      <c r="C4771" s="36" t="s">
        <v>1110</v>
      </c>
      <c r="D4771" s="36" t="s">
        <v>292</v>
      </c>
      <c r="E4771" s="37">
        <v>4.2000000000000003E-2</v>
      </c>
      <c r="F4771" s="54">
        <v>3.4769999999999999</v>
      </c>
      <c r="G4771" s="54">
        <f>IF(ISNUMBER(F4771),E4771*F4771,"")</f>
        <v>0.146034</v>
      </c>
      <c r="H4771" s="39">
        <f>SUM(G4771:G4774)</f>
        <v>6.3799910000000004</v>
      </c>
      <c r="I4771" s="40"/>
      <c r="J4771" s="155">
        <v>0</v>
      </c>
    </row>
    <row r="4772" spans="1:10" ht="25.5" hidden="1" x14ac:dyDescent="0.25">
      <c r="A4772" s="181"/>
      <c r="B4772" s="202"/>
      <c r="C4772" s="36" t="s">
        <v>3659</v>
      </c>
      <c r="D4772" s="36" t="s">
        <v>292</v>
      </c>
      <c r="E4772" s="37">
        <v>1</v>
      </c>
      <c r="F4772" s="54" t="s">
        <v>558</v>
      </c>
      <c r="G4772" s="54" t="str">
        <f>IF(ISNUMBER(F4772),E4772*F4772,"")</f>
        <v/>
      </c>
      <c r="H4772" s="73"/>
      <c r="I4772" s="74"/>
      <c r="J4772" s="155">
        <v>0</v>
      </c>
    </row>
    <row r="4773" spans="1:10" ht="25.5" hidden="1" x14ac:dyDescent="0.25">
      <c r="A4773" s="181"/>
      <c r="B4773" s="202"/>
      <c r="C4773" s="36" t="s">
        <v>994</v>
      </c>
      <c r="D4773" s="36" t="s">
        <v>742</v>
      </c>
      <c r="E4773" s="37">
        <v>0.2266</v>
      </c>
      <c r="F4773" s="54">
        <v>22.2395</v>
      </c>
      <c r="G4773" s="54">
        <f>IF(ISNUMBER(F4773),E4773*F4773,"")</f>
        <v>5.0394706999999999</v>
      </c>
      <c r="H4773" s="73"/>
      <c r="I4773" s="74"/>
      <c r="J4773" s="155">
        <v>0</v>
      </c>
    </row>
    <row r="4774" spans="1:10" hidden="1" x14ac:dyDescent="0.25">
      <c r="A4774" s="181"/>
      <c r="B4774" s="202"/>
      <c r="C4774" s="36" t="s">
        <v>743</v>
      </c>
      <c r="D4774" s="36" t="s">
        <v>742</v>
      </c>
      <c r="E4774" s="37">
        <v>7.1400000000000005E-2</v>
      </c>
      <c r="F4774" s="54">
        <v>16.729499999999998</v>
      </c>
      <c r="G4774" s="54">
        <f>IF(ISNUMBER(F4774),E4774*F4774,"")</f>
        <v>1.1944862999999999</v>
      </c>
      <c r="H4774" s="73"/>
      <c r="I4774" s="74"/>
      <c r="J4774" s="155">
        <v>0</v>
      </c>
    </row>
    <row r="4775" spans="1:10" ht="15.75" hidden="1" thickBot="1" x14ac:dyDescent="0.3">
      <c r="A4775" s="182"/>
      <c r="B4775" s="188"/>
      <c r="C4775" s="36"/>
      <c r="D4775" s="36"/>
      <c r="E4775" s="37"/>
      <c r="F4775" s="54" t="s">
        <v>558</v>
      </c>
      <c r="G4775" s="54" t="str">
        <f>IF(ISNUMBER(F4775),E4775*F4775,"")</f>
        <v/>
      </c>
      <c r="H4775" s="73"/>
      <c r="I4775" s="74"/>
      <c r="J4775" s="155">
        <v>0</v>
      </c>
    </row>
    <row r="4776" spans="1:10" ht="15.75" hidden="1" thickBot="1" x14ac:dyDescent="0.3">
      <c r="A4776" s="180" t="s">
        <v>3508</v>
      </c>
      <c r="B4776" s="186" t="str">
        <f>INDEX(Orçamentária!A:B,MATCH(Composições!A4776,Orçamentária!A:A,0),2)</f>
        <v>Dobradiça automática vidro/vidro para box de vidro temperado</v>
      </c>
      <c r="C4776" s="41"/>
      <c r="D4776" s="26" t="str">
        <f>TRIM(INDEX(Orçamentária!C:C,MATCH(Composições!A4776,Orçamentária!A:A,0),1))</f>
        <v>un</v>
      </c>
      <c r="E4776" s="27"/>
      <c r="F4776" s="42" t="s">
        <v>558</v>
      </c>
      <c r="G4776" s="28" t="str">
        <f>IF(ISNUMBER(F4776),E4776*F4776,"")</f>
        <v/>
      </c>
      <c r="H4776" s="29"/>
      <c r="I4776" s="30"/>
      <c r="J4776" s="155">
        <v>0</v>
      </c>
    </row>
    <row r="4777" spans="1:10" hidden="1" x14ac:dyDescent="0.25">
      <c r="A4777" s="200"/>
      <c r="B4777" s="202"/>
      <c r="C4777" s="32"/>
      <c r="D4777" s="32"/>
      <c r="E4777" s="33"/>
      <c r="F4777" s="43" t="s">
        <v>558</v>
      </c>
      <c r="G4777" s="34" t="str">
        <f>IF(ISNUMBER(F4777),E4777*F4777,"")</f>
        <v/>
      </c>
      <c r="H4777" s="35"/>
      <c r="I4777" s="31"/>
      <c r="J4777" s="155">
        <v>0</v>
      </c>
    </row>
    <row r="4778" spans="1:10" hidden="1" x14ac:dyDescent="0.25">
      <c r="A4778" s="200"/>
      <c r="B4778" s="202"/>
      <c r="C4778" s="36" t="s">
        <v>68</v>
      </c>
      <c r="D4778" s="36" t="s">
        <v>12</v>
      </c>
      <c r="E4778" s="37">
        <v>0.3</v>
      </c>
      <c r="F4778" s="34">
        <v>21.080500000000001</v>
      </c>
      <c r="G4778" s="34">
        <f>IF(ISNUMBER(F4778),E4778*F4778,"")</f>
        <v>6.3241500000000004</v>
      </c>
      <c r="H4778" s="39">
        <f>SUM(G4778:G4779)</f>
        <v>6.3241500000000004</v>
      </c>
      <c r="I4778" s="40"/>
      <c r="J4778" s="155">
        <v>0</v>
      </c>
    </row>
    <row r="4779" spans="1:10" ht="25.5" hidden="1" x14ac:dyDescent="0.25">
      <c r="A4779" s="200"/>
      <c r="B4779" s="202"/>
      <c r="C4779" s="36" t="s">
        <v>3660</v>
      </c>
      <c r="D4779" s="47" t="s">
        <v>20</v>
      </c>
      <c r="E4779" s="37">
        <v>1</v>
      </c>
      <c r="F4779" s="31" t="s">
        <v>558</v>
      </c>
      <c r="G4779" s="34" t="str">
        <f>IF(ISNUMBER(F4779),E4779*F4779,"")</f>
        <v/>
      </c>
      <c r="H4779" s="35"/>
      <c r="I4779" s="31"/>
      <c r="J4779" s="155">
        <v>0</v>
      </c>
    </row>
    <row r="4780" spans="1:10" ht="15.75" hidden="1" thickBot="1" x14ac:dyDescent="0.3">
      <c r="A4780" s="201"/>
      <c r="B4780" s="188"/>
      <c r="C4780" s="36"/>
      <c r="D4780" s="36"/>
      <c r="E4780" s="37"/>
      <c r="F4780" s="31" t="s">
        <v>558</v>
      </c>
      <c r="G4780" s="34" t="str">
        <f>IF(ISNUMBER(F4780),E4780*F4780,"")</f>
        <v/>
      </c>
      <c r="H4780" s="35"/>
      <c r="I4780" s="31"/>
      <c r="J4780" s="155">
        <v>0</v>
      </c>
    </row>
    <row r="4781" spans="1:10" ht="15.75" hidden="1" thickBot="1" x14ac:dyDescent="0.3">
      <c r="A4781" s="180" t="s">
        <v>3509</v>
      </c>
      <c r="B4781" s="186" t="str">
        <f>INDEX(Orçamentária!A:B,MATCH(Composições!A4781,Orçamentária!A:A,0),2)</f>
        <v>Luminária tipo arandela – Linha Residencial</v>
      </c>
      <c r="C4781" s="41"/>
      <c r="D4781" s="26" t="str">
        <f>TRIM(INDEX(Orçamentária!C:C,MATCH(Composições!A4781,Orçamentária!A:A,0),1))</f>
        <v>un</v>
      </c>
      <c r="E4781" s="27"/>
      <c r="F4781" s="42" t="s">
        <v>558</v>
      </c>
      <c r="G4781" s="28" t="str">
        <f>IF(ISNUMBER(F4781),E4781*F4781,"")</f>
        <v/>
      </c>
      <c r="H4781" s="29"/>
      <c r="I4781" s="30"/>
      <c r="J4781" s="155">
        <v>0</v>
      </c>
    </row>
    <row r="4782" spans="1:10" hidden="1" x14ac:dyDescent="0.25">
      <c r="A4782" s="200"/>
      <c r="B4782" s="202"/>
      <c r="C4782" s="32"/>
      <c r="D4782" s="32"/>
      <c r="E4782" s="33"/>
      <c r="F4782" s="43" t="s">
        <v>558</v>
      </c>
      <c r="G4782" s="31" t="str">
        <f>IF(ISNUMBER(F4782),E4782*F4782,"")</f>
        <v/>
      </c>
      <c r="H4782" s="35"/>
      <c r="I4782" s="31"/>
      <c r="J4782" s="155">
        <v>0</v>
      </c>
    </row>
    <row r="4783" spans="1:10" ht="25.5" hidden="1" x14ac:dyDescent="0.25">
      <c r="A4783" s="200"/>
      <c r="B4783" s="202"/>
      <c r="C4783" s="36" t="s">
        <v>3662</v>
      </c>
      <c r="D4783" s="36" t="s">
        <v>147</v>
      </c>
      <c r="E4783" s="37">
        <v>1</v>
      </c>
      <c r="F4783" s="34" t="s">
        <v>558</v>
      </c>
      <c r="G4783" s="34" t="str">
        <f>IF(ISNUMBER(F4783),E4783*F4783,"")</f>
        <v/>
      </c>
      <c r="H4783" s="39">
        <f>SUM(G4783:G4786)</f>
        <v>14.344665599999999</v>
      </c>
      <c r="I4783" s="40"/>
      <c r="J4783" s="155">
        <v>0</v>
      </c>
    </row>
    <row r="4784" spans="1:10" ht="25.5" hidden="1" x14ac:dyDescent="0.25">
      <c r="A4784" s="200"/>
      <c r="B4784" s="202"/>
      <c r="C4784" s="36" t="s">
        <v>3661</v>
      </c>
      <c r="D4784" s="36" t="s">
        <v>147</v>
      </c>
      <c r="E4784" s="37">
        <v>1</v>
      </c>
      <c r="F4784" s="34" t="s">
        <v>558</v>
      </c>
      <c r="G4784" s="34" t="str">
        <f>IF(ISNUMBER(F4784),E4784*F4784,"")</f>
        <v/>
      </c>
      <c r="H4784" s="45"/>
      <c r="I4784" s="46"/>
      <c r="J4784" s="155">
        <v>0</v>
      </c>
    </row>
    <row r="4785" spans="1:10" hidden="1" x14ac:dyDescent="0.25">
      <c r="A4785" s="200"/>
      <c r="B4785" s="202"/>
      <c r="C4785" s="36" t="s">
        <v>74</v>
      </c>
      <c r="D4785" s="47" t="s">
        <v>12</v>
      </c>
      <c r="E4785" s="37">
        <v>0.19719999999999999</v>
      </c>
      <c r="F4785" s="31">
        <v>17.802999999999997</v>
      </c>
      <c r="G4785" s="31">
        <f>IF(ISNUMBER(F4785),E4785*F4785,"")</f>
        <v>3.5107515999999994</v>
      </c>
      <c r="H4785" s="35"/>
      <c r="I4785" s="31"/>
      <c r="J4785" s="155">
        <v>0</v>
      </c>
    </row>
    <row r="4786" spans="1:10" hidden="1" x14ac:dyDescent="0.25">
      <c r="A4786" s="200"/>
      <c r="B4786" s="202"/>
      <c r="C4786" s="36" t="s">
        <v>30</v>
      </c>
      <c r="D4786" s="36" t="s">
        <v>12</v>
      </c>
      <c r="E4786" s="37">
        <v>0.47320000000000001</v>
      </c>
      <c r="F4786" s="31">
        <v>22.895</v>
      </c>
      <c r="G4786" s="31">
        <f>IF(ISNUMBER(F4786),E4786*F4786,"")</f>
        <v>10.833914</v>
      </c>
      <c r="H4786" s="35"/>
      <c r="I4786" s="31"/>
      <c r="J4786" s="155">
        <v>0</v>
      </c>
    </row>
    <row r="4787" spans="1:10" ht="15.75" hidden="1" thickBot="1" x14ac:dyDescent="0.3">
      <c r="A4787" s="201"/>
      <c r="B4787" s="188"/>
      <c r="C4787" s="36"/>
      <c r="D4787" s="36"/>
      <c r="E4787" s="37"/>
      <c r="F4787" s="31" t="s">
        <v>558</v>
      </c>
      <c r="G4787" s="31" t="str">
        <f>IF(ISNUMBER(F4787),E4787*F4787,"")</f>
        <v/>
      </c>
      <c r="H4787" s="35"/>
      <c r="I4787" s="31"/>
      <c r="J4787" s="155">
        <v>0</v>
      </c>
    </row>
    <row r="4788" spans="1:10" ht="15.75" hidden="1" thickBot="1" x14ac:dyDescent="0.3">
      <c r="A4788" s="180" t="s">
        <v>3510</v>
      </c>
      <c r="B4788" s="186" t="str">
        <f>INDEX(Orçamentária!A:B,MATCH(Composições!A4788,Orçamentária!A:A,0),2)</f>
        <v>Tê misturador de transição 1/2” ou 3/4” – Linha Residencial</v>
      </c>
      <c r="C4788" s="41"/>
      <c r="D4788" s="26" t="str">
        <f>TRIM(INDEX(Orçamentária!C:C,MATCH(Composições!A4788,Orçamentária!A:A,0),1))</f>
        <v>un</v>
      </c>
      <c r="E4788" s="27"/>
      <c r="F4788" s="42" t="s">
        <v>558</v>
      </c>
      <c r="G4788" s="28" t="str">
        <f>IF(ISNUMBER(F4788),E4788*F4788,"")</f>
        <v/>
      </c>
      <c r="H4788" s="29"/>
      <c r="I4788" s="30"/>
      <c r="J4788" s="155">
        <v>0</v>
      </c>
    </row>
    <row r="4789" spans="1:10" hidden="1" x14ac:dyDescent="0.25">
      <c r="A4789" s="200"/>
      <c r="B4789" s="202"/>
      <c r="C4789" s="32"/>
      <c r="D4789" s="32"/>
      <c r="E4789" s="33"/>
      <c r="F4789" s="43" t="s">
        <v>558</v>
      </c>
      <c r="G4789" s="31" t="str">
        <f>IF(ISNUMBER(F4789),E4789*F4789,"")</f>
        <v/>
      </c>
      <c r="H4789" s="35"/>
      <c r="I4789" s="31"/>
      <c r="J4789" s="155">
        <v>0</v>
      </c>
    </row>
    <row r="4790" spans="1:10" hidden="1" x14ac:dyDescent="0.25">
      <c r="A4790" s="200"/>
      <c r="B4790" s="202"/>
      <c r="C4790" s="36" t="s">
        <v>3322</v>
      </c>
      <c r="D4790" s="36" t="s">
        <v>292</v>
      </c>
      <c r="E4790" s="37">
        <v>1.2E-2</v>
      </c>
      <c r="F4790" s="34">
        <v>21.184999999999999</v>
      </c>
      <c r="G4790" s="34">
        <f>IF(ISNUMBER(F4790),E4790*F4790,"")</f>
        <v>0.25422</v>
      </c>
      <c r="H4790" s="39">
        <f>SUM(G4790:G4793)</f>
        <v>29.219834000000002</v>
      </c>
      <c r="I4790" s="40"/>
      <c r="J4790" s="155">
        <v>0</v>
      </c>
    </row>
    <row r="4791" spans="1:10" ht="25.5" hidden="1" x14ac:dyDescent="0.25">
      <c r="A4791" s="200"/>
      <c r="B4791" s="202"/>
      <c r="C4791" s="36" t="s">
        <v>3455</v>
      </c>
      <c r="D4791" s="36" t="s">
        <v>292</v>
      </c>
      <c r="E4791" s="37">
        <v>1</v>
      </c>
      <c r="F4791" s="34">
        <v>21.726500000000001</v>
      </c>
      <c r="G4791" s="34">
        <f>IF(ISNUMBER(F4791),E4791*F4791,"")</f>
        <v>21.726500000000001</v>
      </c>
      <c r="H4791" s="45"/>
      <c r="I4791" s="46"/>
      <c r="J4791" s="155">
        <v>0</v>
      </c>
    </row>
    <row r="4792" spans="1:10" ht="25.5" hidden="1" x14ac:dyDescent="0.25">
      <c r="A4792" s="200"/>
      <c r="B4792" s="202"/>
      <c r="C4792" s="36" t="s">
        <v>993</v>
      </c>
      <c r="D4792" s="47" t="s">
        <v>742</v>
      </c>
      <c r="E4792" s="37">
        <v>0.183</v>
      </c>
      <c r="F4792" s="31">
        <v>17.3185</v>
      </c>
      <c r="G4792" s="31">
        <f>IF(ISNUMBER(F4792),E4792*F4792,"")</f>
        <v>3.1692855</v>
      </c>
      <c r="H4792" s="35"/>
      <c r="I4792" s="31"/>
      <c r="J4792" s="155">
        <v>0</v>
      </c>
    </row>
    <row r="4793" spans="1:10" ht="25.5" hidden="1" x14ac:dyDescent="0.25">
      <c r="A4793" s="200"/>
      <c r="B4793" s="202"/>
      <c r="C4793" s="36" t="s">
        <v>994</v>
      </c>
      <c r="D4793" s="36" t="s">
        <v>742</v>
      </c>
      <c r="E4793" s="37">
        <v>0.183</v>
      </c>
      <c r="F4793" s="31">
        <v>22.2395</v>
      </c>
      <c r="G4793" s="31">
        <f>IF(ISNUMBER(F4793),E4793*F4793,"")</f>
        <v>4.0698284999999998</v>
      </c>
      <c r="H4793" s="35"/>
      <c r="I4793" s="31"/>
      <c r="J4793" s="155">
        <v>0</v>
      </c>
    </row>
    <row r="4794" spans="1:10" ht="15.75" hidden="1" thickBot="1" x14ac:dyDescent="0.3">
      <c r="A4794" s="201"/>
      <c r="B4794" s="188"/>
      <c r="C4794" s="36"/>
      <c r="D4794" s="36"/>
      <c r="E4794" s="37"/>
      <c r="F4794" s="31" t="s">
        <v>558</v>
      </c>
      <c r="G4794" s="31" t="str">
        <f>IF(ISNUMBER(F4794),E4794*F4794,"")</f>
        <v/>
      </c>
      <c r="H4794" s="35"/>
      <c r="I4794" s="31"/>
      <c r="J4794" s="155">
        <v>0</v>
      </c>
    </row>
    <row r="4795" spans="1:10" ht="15.75" hidden="1" thickBot="1" x14ac:dyDescent="0.3">
      <c r="A4795" s="180" t="s">
        <v>3511</v>
      </c>
      <c r="B4795" s="186" t="str">
        <f>INDEX(Orçamentária!A:B,MATCH(Composições!A4795,Orçamentária!A:A,0),2)</f>
        <v>Base para válvula de descarga 1 1/2”</v>
      </c>
      <c r="C4795" s="41"/>
      <c r="D4795" s="26" t="str">
        <f>TRIM(INDEX(Orçamentária!C:C,MATCH(Composições!A4795,Orçamentária!A:A,0),1))</f>
        <v>un</v>
      </c>
      <c r="E4795" s="27"/>
      <c r="F4795" s="42" t="s">
        <v>558</v>
      </c>
      <c r="G4795" s="28" t="str">
        <f>IF(ISNUMBER(F4795),E4795*F4795,"")</f>
        <v/>
      </c>
      <c r="H4795" s="29"/>
      <c r="I4795" s="30"/>
      <c r="J4795" s="155">
        <v>0</v>
      </c>
    </row>
    <row r="4796" spans="1:10" hidden="1" x14ac:dyDescent="0.25">
      <c r="A4796" s="200"/>
      <c r="B4796" s="202"/>
      <c r="C4796" s="32"/>
      <c r="D4796" s="32"/>
      <c r="E4796" s="33"/>
      <c r="F4796" s="43" t="s">
        <v>558</v>
      </c>
      <c r="G4796" s="31" t="str">
        <f>IF(ISNUMBER(F4796),E4796*F4796,"")</f>
        <v/>
      </c>
      <c r="H4796" s="35"/>
      <c r="I4796" s="31"/>
      <c r="J4796" s="155">
        <v>0</v>
      </c>
    </row>
    <row r="4797" spans="1:10" hidden="1" x14ac:dyDescent="0.25">
      <c r="A4797" s="200"/>
      <c r="B4797" s="202"/>
      <c r="C4797" s="36" t="s">
        <v>336</v>
      </c>
      <c r="D4797" s="36" t="s">
        <v>292</v>
      </c>
      <c r="E4797" s="37">
        <v>1.9E-2</v>
      </c>
      <c r="F4797" s="34">
        <v>12.8155</v>
      </c>
      <c r="G4797" s="34">
        <f>IF(ISNUMBER(F4797),E4797*F4797,"")</f>
        <v>0.2434945</v>
      </c>
      <c r="H4797" s="39">
        <f>SUM(G4797:G4800)</f>
        <v>25.2125041</v>
      </c>
      <c r="I4797" s="40"/>
      <c r="J4797" s="155">
        <v>0</v>
      </c>
    </row>
    <row r="4798" spans="1:10" hidden="1" x14ac:dyDescent="0.25">
      <c r="A4798" s="200"/>
      <c r="B4798" s="202"/>
      <c r="C4798" s="36" t="s">
        <v>3663</v>
      </c>
      <c r="D4798" s="36" t="s">
        <v>292</v>
      </c>
      <c r="E4798" s="37">
        <v>1</v>
      </c>
      <c r="F4798" s="34" t="s">
        <v>558</v>
      </c>
      <c r="G4798" s="34" t="str">
        <f>IF(ISNUMBER(F4798),E4798*F4798,"")</f>
        <v/>
      </c>
      <c r="H4798" s="45"/>
      <c r="I4798" s="46"/>
      <c r="J4798" s="155">
        <v>0</v>
      </c>
    </row>
    <row r="4799" spans="1:10" ht="25.5" hidden="1" x14ac:dyDescent="0.25">
      <c r="A4799" s="200"/>
      <c r="B4799" s="202"/>
      <c r="C4799" s="36" t="s">
        <v>993</v>
      </c>
      <c r="D4799" s="47" t="s">
        <v>742</v>
      </c>
      <c r="E4799" s="37">
        <f>ROUND(0.789*0.8,4)</f>
        <v>0.63119999999999998</v>
      </c>
      <c r="F4799" s="31">
        <v>17.3185</v>
      </c>
      <c r="G4799" s="31">
        <f>IF(ISNUMBER(F4799),E4799*F4799,"")</f>
        <v>10.9314372</v>
      </c>
      <c r="H4799" s="35"/>
      <c r="I4799" s="31"/>
      <c r="J4799" s="155">
        <v>0</v>
      </c>
    </row>
    <row r="4800" spans="1:10" ht="25.5" hidden="1" x14ac:dyDescent="0.25">
      <c r="A4800" s="200"/>
      <c r="B4800" s="202"/>
      <c r="C4800" s="36" t="s">
        <v>994</v>
      </c>
      <c r="D4800" s="36" t="s">
        <v>742</v>
      </c>
      <c r="E4800" s="37">
        <f>ROUND(0.789*0.8,4)</f>
        <v>0.63119999999999998</v>
      </c>
      <c r="F4800" s="31">
        <v>22.2395</v>
      </c>
      <c r="G4800" s="31">
        <f>IF(ISNUMBER(F4800),E4800*F4800,"")</f>
        <v>14.0375724</v>
      </c>
      <c r="H4800" s="35"/>
      <c r="I4800" s="31"/>
      <c r="J4800" s="155">
        <v>0</v>
      </c>
    </row>
    <row r="4801" spans="1:10" ht="15.75" hidden="1" thickBot="1" x14ac:dyDescent="0.3">
      <c r="A4801" s="201"/>
      <c r="B4801" s="188"/>
      <c r="C4801" s="36"/>
      <c r="D4801" s="36"/>
      <c r="E4801" s="37"/>
      <c r="F4801" s="31" t="s">
        <v>558</v>
      </c>
      <c r="G4801" s="31" t="str">
        <f>IF(ISNUMBER(F4801),E4801*F4801,"")</f>
        <v/>
      </c>
      <c r="H4801" s="35"/>
      <c r="I4801" s="31"/>
      <c r="J4801" s="155">
        <v>0</v>
      </c>
    </row>
    <row r="4802" spans="1:10" ht="15.75" hidden="1" thickBot="1" x14ac:dyDescent="0.3">
      <c r="A4802" s="180" t="s">
        <v>3512</v>
      </c>
      <c r="B4802" s="186" t="str">
        <f>INDEX(Orçamentária!A:B,MATCH(Composições!A4802,Orçamentária!A:A,0),2)</f>
        <v>Base para válvula de descarga 1 1/4”</v>
      </c>
      <c r="C4802" s="41"/>
      <c r="D4802" s="26" t="str">
        <f>TRIM(INDEX(Orçamentária!C:C,MATCH(Composições!A4802,Orçamentária!A:A,0),1))</f>
        <v>un</v>
      </c>
      <c r="E4802" s="27"/>
      <c r="F4802" s="42" t="s">
        <v>558</v>
      </c>
      <c r="G4802" s="28" t="str">
        <f>IF(ISNUMBER(F4802),E4802*F4802,"")</f>
        <v/>
      </c>
      <c r="H4802" s="29"/>
      <c r="I4802" s="30"/>
      <c r="J4802" s="155">
        <v>0</v>
      </c>
    </row>
    <row r="4803" spans="1:10" hidden="1" x14ac:dyDescent="0.25">
      <c r="A4803" s="200"/>
      <c r="B4803" s="202"/>
      <c r="C4803" s="32"/>
      <c r="D4803" s="32"/>
      <c r="E4803" s="33"/>
      <c r="F4803" s="43" t="s">
        <v>558</v>
      </c>
      <c r="G4803" s="31" t="str">
        <f>IF(ISNUMBER(F4803),E4803*F4803,"")</f>
        <v/>
      </c>
      <c r="H4803" s="35"/>
      <c r="I4803" s="31"/>
      <c r="J4803" s="155">
        <v>0</v>
      </c>
    </row>
    <row r="4804" spans="1:10" hidden="1" x14ac:dyDescent="0.25">
      <c r="A4804" s="200"/>
      <c r="B4804" s="202"/>
      <c r="C4804" s="36" t="s">
        <v>336</v>
      </c>
      <c r="D4804" s="36" t="s">
        <v>292</v>
      </c>
      <c r="E4804" s="37">
        <v>1.9E-2</v>
      </c>
      <c r="F4804" s="34">
        <v>12.8155</v>
      </c>
      <c r="G4804" s="34">
        <f>IF(ISNUMBER(F4804),E4804*F4804,"")</f>
        <v>0.2434945</v>
      </c>
      <c r="H4804" s="39">
        <f>SUM(G4804:G4807)</f>
        <v>25.2125041</v>
      </c>
      <c r="I4804" s="40"/>
      <c r="J4804" s="155">
        <v>0</v>
      </c>
    </row>
    <row r="4805" spans="1:10" hidden="1" x14ac:dyDescent="0.25">
      <c r="A4805" s="200"/>
      <c r="B4805" s="202"/>
      <c r="C4805" s="36" t="s">
        <v>3664</v>
      </c>
      <c r="D4805" s="36" t="s">
        <v>292</v>
      </c>
      <c r="E4805" s="37">
        <v>1</v>
      </c>
      <c r="F4805" s="34" t="s">
        <v>558</v>
      </c>
      <c r="G4805" s="34" t="str">
        <f>IF(ISNUMBER(F4805),E4805*F4805,"")</f>
        <v/>
      </c>
      <c r="H4805" s="45"/>
      <c r="I4805" s="46"/>
      <c r="J4805" s="155">
        <v>0</v>
      </c>
    </row>
    <row r="4806" spans="1:10" ht="25.5" hidden="1" x14ac:dyDescent="0.25">
      <c r="A4806" s="200"/>
      <c r="B4806" s="202"/>
      <c r="C4806" s="36" t="s">
        <v>993</v>
      </c>
      <c r="D4806" s="47" t="s">
        <v>742</v>
      </c>
      <c r="E4806" s="37">
        <f t="shared" ref="E4806:E4807" si="0">ROUND(0.789*0.8,4)</f>
        <v>0.63119999999999998</v>
      </c>
      <c r="F4806" s="31">
        <v>17.3185</v>
      </c>
      <c r="G4806" s="31">
        <f>IF(ISNUMBER(F4806),E4806*F4806,"")</f>
        <v>10.9314372</v>
      </c>
      <c r="H4806" s="35"/>
      <c r="I4806" s="31"/>
      <c r="J4806" s="155">
        <v>0</v>
      </c>
    </row>
    <row r="4807" spans="1:10" ht="25.5" hidden="1" x14ac:dyDescent="0.25">
      <c r="A4807" s="200"/>
      <c r="B4807" s="202"/>
      <c r="C4807" s="36" t="s">
        <v>994</v>
      </c>
      <c r="D4807" s="36" t="s">
        <v>742</v>
      </c>
      <c r="E4807" s="37">
        <f t="shared" si="0"/>
        <v>0.63119999999999998</v>
      </c>
      <c r="F4807" s="31">
        <v>22.2395</v>
      </c>
      <c r="G4807" s="31">
        <f>IF(ISNUMBER(F4807),E4807*F4807,"")</f>
        <v>14.0375724</v>
      </c>
      <c r="H4807" s="35"/>
      <c r="I4807" s="31"/>
      <c r="J4807" s="155">
        <v>0</v>
      </c>
    </row>
    <row r="4808" spans="1:10" ht="15.75" hidden="1" thickBot="1" x14ac:dyDescent="0.3">
      <c r="A4808" s="201"/>
      <c r="B4808" s="188"/>
      <c r="C4808" s="36"/>
      <c r="D4808" s="36"/>
      <c r="E4808" s="37"/>
      <c r="F4808" s="31" t="s">
        <v>558</v>
      </c>
      <c r="G4808" s="31" t="str">
        <f>IF(ISNUMBER(F4808),E4808*F4808,"")</f>
        <v/>
      </c>
      <c r="H4808" s="35"/>
      <c r="I4808" s="31"/>
      <c r="J4808" s="155">
        <v>0</v>
      </c>
    </row>
    <row r="4809" spans="1:10" ht="15.75" hidden="1" thickBot="1" x14ac:dyDescent="0.3">
      <c r="A4809" s="180" t="s">
        <v>3513</v>
      </c>
      <c r="B4809" s="186" t="str">
        <f>INDEX(Orçamentária!A:B,MATCH(Composições!A4809,Orçamentária!A:A,0),2)</f>
        <v>Anel de Vedação para bacia sanitária</v>
      </c>
      <c r="C4809" s="41"/>
      <c r="D4809" s="26" t="str">
        <f>TRIM(INDEX(Orçamentária!C:C,MATCH(Composições!A4809,Orçamentária!A:A,0),1))</f>
        <v>un</v>
      </c>
      <c r="E4809" s="27"/>
      <c r="F4809" s="42" t="s">
        <v>558</v>
      </c>
      <c r="G4809" s="28" t="str">
        <f>IF(ISNUMBER(F4809),E4809*F4809,"")</f>
        <v/>
      </c>
      <c r="H4809" s="29"/>
      <c r="I4809" s="30"/>
      <c r="J4809" s="155">
        <v>0</v>
      </c>
    </row>
    <row r="4810" spans="1:10" hidden="1" x14ac:dyDescent="0.25">
      <c r="A4810" s="200"/>
      <c r="B4810" s="202"/>
      <c r="C4810" s="32"/>
      <c r="D4810" s="32"/>
      <c r="E4810" s="33"/>
      <c r="F4810" s="43" t="s">
        <v>558</v>
      </c>
      <c r="G4810" s="34" t="str">
        <f>IF(ISNUMBER(F4810),E4810*F4810,"")</f>
        <v/>
      </c>
      <c r="H4810" s="35"/>
      <c r="I4810" s="31"/>
      <c r="J4810" s="155">
        <v>0</v>
      </c>
    </row>
    <row r="4811" spans="1:10" hidden="1" x14ac:dyDescent="0.25">
      <c r="A4811" s="200"/>
      <c r="B4811" s="202"/>
      <c r="C4811" s="36" t="s">
        <v>317</v>
      </c>
      <c r="D4811" s="47" t="s">
        <v>20</v>
      </c>
      <c r="E4811" s="37">
        <v>1</v>
      </c>
      <c r="F4811" s="34">
        <v>2.7549999999999999</v>
      </c>
      <c r="G4811" s="54">
        <f>IF(ISNUMBER(F4811),E4811*F4811,"")</f>
        <v>2.7549999999999999</v>
      </c>
      <c r="H4811" s="39">
        <f>SUM(G4811:G4812)</f>
        <v>4.9789499999999993</v>
      </c>
      <c r="I4811" s="31"/>
      <c r="J4811" s="155">
        <v>0</v>
      </c>
    </row>
    <row r="4812" spans="1:10" ht="25.5" hidden="1" x14ac:dyDescent="0.25">
      <c r="A4812" s="200"/>
      <c r="B4812" s="202"/>
      <c r="C4812" s="36" t="s">
        <v>994</v>
      </c>
      <c r="D4812" s="36" t="s">
        <v>742</v>
      </c>
      <c r="E4812" s="37">
        <v>0.1</v>
      </c>
      <c r="F4812" s="31">
        <v>22.2395</v>
      </c>
      <c r="G4812" s="31">
        <f>IF(ISNUMBER(F4812),E4812*F4812,"")</f>
        <v>2.2239499999999999</v>
      </c>
      <c r="H4812" s="35"/>
      <c r="I4812" s="31"/>
      <c r="J4812" s="155">
        <v>0</v>
      </c>
    </row>
    <row r="4813" spans="1:10" ht="15.75" hidden="1" thickBot="1" x14ac:dyDescent="0.3">
      <c r="A4813" s="201"/>
      <c r="B4813" s="188"/>
      <c r="C4813" s="36"/>
      <c r="D4813" s="36"/>
      <c r="E4813" s="37"/>
      <c r="F4813" s="31" t="s">
        <v>558</v>
      </c>
      <c r="G4813" s="34" t="str">
        <f>IF(ISNUMBER(F4813),E4813*F4813,"")</f>
        <v/>
      </c>
      <c r="H4813" s="35"/>
      <c r="I4813" s="31"/>
      <c r="J4813" s="155">
        <v>0</v>
      </c>
    </row>
    <row r="4814" spans="1:10" ht="15.75" hidden="1" thickBot="1" x14ac:dyDescent="0.3">
      <c r="A4814" s="189" t="s">
        <v>3514</v>
      </c>
      <c r="B4814" s="192" t="str">
        <f>INDEX(Orçamentária!A:B,MATCH(Composições!A4814,Orçamentária!A:A,0),2)</f>
        <v>Folha de porta em madeira e MDF 2,10x0,60m</v>
      </c>
      <c r="C4814" s="41"/>
      <c r="D4814" s="26" t="str">
        <f>TRIM(INDEX(Orçamentária!C:C,MATCH(Composições!A4814,Orçamentária!A:A,0),1))</f>
        <v>un</v>
      </c>
      <c r="E4814" s="27"/>
      <c r="F4814" s="42" t="s">
        <v>558</v>
      </c>
      <c r="G4814" s="28" t="str">
        <f>IF(ISNUMBER(F4814),E4814*F4814,"")</f>
        <v/>
      </c>
      <c r="H4814" s="29"/>
      <c r="I4814" s="30"/>
      <c r="J4814" s="155">
        <v>0</v>
      </c>
    </row>
    <row r="4815" spans="1:10" hidden="1" x14ac:dyDescent="0.25">
      <c r="A4815" s="190"/>
      <c r="B4815" s="203"/>
      <c r="C4815" s="32"/>
      <c r="D4815" s="32"/>
      <c r="E4815" s="33"/>
      <c r="F4815" s="43" t="s">
        <v>558</v>
      </c>
      <c r="G4815" s="31" t="str">
        <f>IF(ISNUMBER(F4815),E4815*F4815,"")</f>
        <v/>
      </c>
      <c r="H4815" s="35"/>
      <c r="I4815" s="31"/>
      <c r="J4815" s="155">
        <v>0</v>
      </c>
    </row>
    <row r="4816" spans="1:10" ht="51" hidden="1" x14ac:dyDescent="0.25">
      <c r="A4816" s="190"/>
      <c r="B4816" s="203"/>
      <c r="C4816" s="36" t="s">
        <v>3825</v>
      </c>
      <c r="D4816" s="47" t="s">
        <v>292</v>
      </c>
      <c r="E4816" s="37">
        <v>1</v>
      </c>
      <c r="F4816" s="34">
        <v>196.33649999999997</v>
      </c>
      <c r="G4816" s="34">
        <f>IF(ISNUMBER(F4816),E4816*F4816,"")</f>
        <v>196.33649999999997</v>
      </c>
      <c r="H4816" s="39">
        <f>SUM(G4816:G4818)</f>
        <v>228.02625799999998</v>
      </c>
      <c r="I4816" s="40"/>
      <c r="J4816" s="155">
        <v>0</v>
      </c>
    </row>
    <row r="4817" spans="1:10" hidden="1" x14ac:dyDescent="0.25">
      <c r="A4817" s="190"/>
      <c r="B4817" s="203"/>
      <c r="C4817" s="36" t="s">
        <v>741</v>
      </c>
      <c r="D4817" s="47" t="s">
        <v>742</v>
      </c>
      <c r="E4817" s="37">
        <f>ROUND(1.282*0.8,4)</f>
        <v>1.0256000000000001</v>
      </c>
      <c r="F4817" s="31">
        <v>22.533999999999999</v>
      </c>
      <c r="G4817" s="34">
        <f>IF(ISNUMBER(F4817),E4817*F4817,"")</f>
        <v>23.1108704</v>
      </c>
      <c r="H4817" s="35"/>
      <c r="I4817" s="31"/>
      <c r="J4817" s="155">
        <v>0</v>
      </c>
    </row>
    <row r="4818" spans="1:10" hidden="1" x14ac:dyDescent="0.25">
      <c r="A4818" s="190"/>
      <c r="B4818" s="203"/>
      <c r="C4818" s="36" t="s">
        <v>743</v>
      </c>
      <c r="D4818" s="47" t="s">
        <v>742</v>
      </c>
      <c r="E4818" s="37">
        <f>ROUND(0.641*0.8,4)</f>
        <v>0.51280000000000003</v>
      </c>
      <c r="F4818" s="31">
        <v>16.729499999999998</v>
      </c>
      <c r="G4818" s="34">
        <f>IF(ISNUMBER(F4818),E4818*F4818,"")</f>
        <v>8.5788875999999998</v>
      </c>
      <c r="H4818" s="35"/>
      <c r="I4818" s="31"/>
      <c r="J4818" s="155">
        <v>0</v>
      </c>
    </row>
    <row r="4819" spans="1:10" hidden="1" x14ac:dyDescent="0.25">
      <c r="A4819" s="190"/>
      <c r="B4819" s="203"/>
      <c r="C4819" s="36"/>
      <c r="D4819" s="47"/>
      <c r="E4819" s="37"/>
      <c r="F4819" s="34" t="s">
        <v>558</v>
      </c>
      <c r="G4819" s="34" t="str">
        <f>IF(ISNUMBER(F4819),E4819*F4819,"")</f>
        <v/>
      </c>
      <c r="H4819" s="35"/>
      <c r="I4819" s="31"/>
      <c r="J4819" s="155">
        <v>0</v>
      </c>
    </row>
    <row r="4820" spans="1:10" ht="15.75" hidden="1" thickBot="1" x14ac:dyDescent="0.3">
      <c r="A4820" s="189" t="s">
        <v>3515</v>
      </c>
      <c r="B4820" s="192" t="str">
        <f>INDEX(Orçamentária!A:B,MATCH(Composições!A4820,Orçamentária!A:A,0),2)</f>
        <v>Folha de porta em madeira e MDF 2,10x0,70m</v>
      </c>
      <c r="C4820" s="41"/>
      <c r="D4820" s="26" t="str">
        <f>TRIM(INDEX(Orçamentária!C:C,MATCH(Composições!A4820,Orçamentária!A:A,0),1))</f>
        <v>un</v>
      </c>
      <c r="E4820" s="27"/>
      <c r="F4820" s="42" t="s">
        <v>558</v>
      </c>
      <c r="G4820" s="28" t="str">
        <f>IF(ISNUMBER(F4820),E4820*F4820,"")</f>
        <v/>
      </c>
      <c r="H4820" s="29"/>
      <c r="I4820" s="30"/>
      <c r="J4820" s="155">
        <v>0</v>
      </c>
    </row>
    <row r="4821" spans="1:10" hidden="1" x14ac:dyDescent="0.25">
      <c r="A4821" s="190"/>
      <c r="B4821" s="203"/>
      <c r="C4821" s="32"/>
      <c r="D4821" s="32"/>
      <c r="E4821" s="33"/>
      <c r="F4821" s="43" t="s">
        <v>558</v>
      </c>
      <c r="G4821" s="31" t="str">
        <f>IF(ISNUMBER(F4821),E4821*F4821,"")</f>
        <v/>
      </c>
      <c r="H4821" s="35"/>
      <c r="I4821" s="31"/>
      <c r="J4821" s="155">
        <v>0</v>
      </c>
    </row>
    <row r="4822" spans="1:10" ht="51" hidden="1" x14ac:dyDescent="0.25">
      <c r="A4822" s="190"/>
      <c r="B4822" s="203"/>
      <c r="C4822" s="36" t="s">
        <v>3820</v>
      </c>
      <c r="D4822" s="47" t="s">
        <v>292</v>
      </c>
      <c r="E4822" s="37">
        <v>1</v>
      </c>
      <c r="F4822" s="34">
        <v>213.41749999999999</v>
      </c>
      <c r="G4822" s="34">
        <f>IF(ISNUMBER(F4822),E4822*F4822,"")</f>
        <v>213.41749999999999</v>
      </c>
      <c r="H4822" s="39">
        <f>SUM(G4822:G4824)</f>
        <v>248.37016599999998</v>
      </c>
      <c r="I4822" s="40"/>
      <c r="J4822" s="155">
        <v>0</v>
      </c>
    </row>
    <row r="4823" spans="1:10" hidden="1" x14ac:dyDescent="0.25">
      <c r="A4823" s="190"/>
      <c r="B4823" s="203"/>
      <c r="C4823" s="36" t="s">
        <v>741</v>
      </c>
      <c r="D4823" s="47" t="s">
        <v>742</v>
      </c>
      <c r="E4823" s="37">
        <f>ROUND(1.414*0.8,4)</f>
        <v>1.1312</v>
      </c>
      <c r="F4823" s="31">
        <v>22.533999999999999</v>
      </c>
      <c r="G4823" s="34">
        <f>IF(ISNUMBER(F4823),E4823*F4823,"")</f>
        <v>25.490460799999997</v>
      </c>
      <c r="H4823" s="35"/>
      <c r="I4823" s="31"/>
      <c r="J4823" s="155">
        <v>0</v>
      </c>
    </row>
    <row r="4824" spans="1:10" hidden="1" x14ac:dyDescent="0.25">
      <c r="A4824" s="190"/>
      <c r="B4824" s="203"/>
      <c r="C4824" s="36" t="s">
        <v>743</v>
      </c>
      <c r="D4824" s="47" t="s">
        <v>742</v>
      </c>
      <c r="E4824" s="37">
        <f>ROUND(0.707*0.8,4)</f>
        <v>0.56559999999999999</v>
      </c>
      <c r="F4824" s="31">
        <v>16.729499999999998</v>
      </c>
      <c r="G4824" s="34">
        <f>IF(ISNUMBER(F4824),E4824*F4824,"")</f>
        <v>9.4622051999999979</v>
      </c>
      <c r="H4824" s="35"/>
      <c r="I4824" s="31"/>
      <c r="J4824" s="155">
        <v>0</v>
      </c>
    </row>
    <row r="4825" spans="1:10" hidden="1" x14ac:dyDescent="0.25">
      <c r="A4825" s="190"/>
      <c r="B4825" s="203"/>
      <c r="C4825" s="36"/>
      <c r="D4825" s="47"/>
      <c r="E4825" s="37"/>
      <c r="F4825" s="34" t="s">
        <v>558</v>
      </c>
      <c r="G4825" s="34" t="str">
        <f>IF(ISNUMBER(F4825),E4825*F4825,"")</f>
        <v/>
      </c>
      <c r="H4825" s="35"/>
      <c r="I4825" s="31"/>
      <c r="J4825" s="155">
        <v>0</v>
      </c>
    </row>
    <row r="4826" spans="1:10" ht="15.75" hidden="1" thickBot="1" x14ac:dyDescent="0.3">
      <c r="A4826" s="189" t="s">
        <v>3516</v>
      </c>
      <c r="B4826" s="192" t="str">
        <f>INDEX(Orçamentária!A:B,MATCH(Composições!A4826,Orçamentária!A:A,0),2)</f>
        <v>Folha de porta em madeira e MDF 2,10x0,80m</v>
      </c>
      <c r="C4826" s="41"/>
      <c r="D4826" s="26" t="str">
        <f>TRIM(INDEX(Orçamentária!C:C,MATCH(Composições!A4826,Orçamentária!A:A,0),1))</f>
        <v>un</v>
      </c>
      <c r="E4826" s="27"/>
      <c r="F4826" s="42" t="s">
        <v>558</v>
      </c>
      <c r="G4826" s="28" t="str">
        <f>IF(ISNUMBER(F4826),E4826*F4826,"")</f>
        <v/>
      </c>
      <c r="H4826" s="29"/>
      <c r="I4826" s="30"/>
      <c r="J4826" s="155">
        <v>0</v>
      </c>
    </row>
    <row r="4827" spans="1:10" hidden="1" x14ac:dyDescent="0.25">
      <c r="A4827" s="190"/>
      <c r="B4827" s="203"/>
      <c r="C4827" s="32"/>
      <c r="D4827" s="32"/>
      <c r="E4827" s="33"/>
      <c r="F4827" s="43" t="s">
        <v>558</v>
      </c>
      <c r="G4827" s="31" t="str">
        <f>IF(ISNUMBER(F4827),E4827*F4827,"")</f>
        <v/>
      </c>
      <c r="H4827" s="35"/>
      <c r="I4827" s="31"/>
      <c r="J4827" s="155">
        <v>0</v>
      </c>
    </row>
    <row r="4828" spans="1:10" ht="51" hidden="1" x14ac:dyDescent="0.25">
      <c r="A4828" s="190"/>
      <c r="B4828" s="203"/>
      <c r="C4828" s="36" t="s">
        <v>3822</v>
      </c>
      <c r="D4828" s="47" t="s">
        <v>292</v>
      </c>
      <c r="E4828" s="37">
        <v>1</v>
      </c>
      <c r="F4828" s="34">
        <v>241.03399999999999</v>
      </c>
      <c r="G4828" s="34">
        <f>IF(ISNUMBER(F4828),E4828*F4828,"")</f>
        <v>241.03399999999999</v>
      </c>
      <c r="H4828" s="39">
        <f>SUM(G4828:G4830)</f>
        <v>279.24957399999994</v>
      </c>
      <c r="I4828" s="40"/>
      <c r="J4828" s="155">
        <v>0</v>
      </c>
    </row>
    <row r="4829" spans="1:10" hidden="1" x14ac:dyDescent="0.25">
      <c r="A4829" s="190"/>
      <c r="B4829" s="203"/>
      <c r="C4829" s="36" t="s">
        <v>741</v>
      </c>
      <c r="D4829" s="47" t="s">
        <v>742</v>
      </c>
      <c r="E4829" s="37">
        <f>ROUND(1.546*0.8,4)</f>
        <v>1.2367999999999999</v>
      </c>
      <c r="F4829" s="31">
        <v>22.533999999999999</v>
      </c>
      <c r="G4829" s="34">
        <f>IF(ISNUMBER(F4829),E4829*F4829,"")</f>
        <v>27.870051199999995</v>
      </c>
      <c r="H4829" s="35"/>
      <c r="I4829" s="31"/>
      <c r="J4829" s="155">
        <v>0</v>
      </c>
    </row>
    <row r="4830" spans="1:10" hidden="1" x14ac:dyDescent="0.25">
      <c r="A4830" s="190"/>
      <c r="B4830" s="203"/>
      <c r="C4830" s="36" t="s">
        <v>743</v>
      </c>
      <c r="D4830" s="47" t="s">
        <v>742</v>
      </c>
      <c r="E4830" s="37">
        <f>ROUND(0.773*0.8,4)</f>
        <v>0.61839999999999995</v>
      </c>
      <c r="F4830" s="31">
        <v>16.729499999999998</v>
      </c>
      <c r="G4830" s="34">
        <f>IF(ISNUMBER(F4830),E4830*F4830,"")</f>
        <v>10.345522799999998</v>
      </c>
      <c r="H4830" s="35"/>
      <c r="I4830" s="31"/>
      <c r="J4830" s="155">
        <v>0</v>
      </c>
    </row>
    <row r="4831" spans="1:10" hidden="1" x14ac:dyDescent="0.25">
      <c r="A4831" s="190"/>
      <c r="B4831" s="203"/>
      <c r="C4831" s="36"/>
      <c r="D4831" s="47"/>
      <c r="E4831" s="37"/>
      <c r="F4831" s="34" t="s">
        <v>558</v>
      </c>
      <c r="G4831" s="34" t="str">
        <f>IF(ISNUMBER(F4831),E4831*F4831,"")</f>
        <v/>
      </c>
      <c r="H4831" s="35"/>
      <c r="I4831" s="31"/>
      <c r="J4831" s="155">
        <v>0</v>
      </c>
    </row>
    <row r="4832" spans="1:10" ht="15.75" hidden="1" thickBot="1" x14ac:dyDescent="0.3">
      <c r="A4832" s="189" t="s">
        <v>3517</v>
      </c>
      <c r="B4832" s="192" t="str">
        <f>INDEX(Orçamentária!A:B,MATCH(Composições!A4832,Orçamentária!A:A,0),2)</f>
        <v>Folha de porta em madeira e MDF 2,10x0,90m</v>
      </c>
      <c r="C4832" s="41"/>
      <c r="D4832" s="26" t="str">
        <f>TRIM(INDEX(Orçamentária!C:C,MATCH(Composições!A4832,Orçamentária!A:A,0),1))</f>
        <v>un</v>
      </c>
      <c r="E4832" s="27"/>
      <c r="F4832" s="42" t="s">
        <v>558</v>
      </c>
      <c r="G4832" s="28" t="str">
        <f>IF(ISNUMBER(F4832),E4832*F4832,"")</f>
        <v/>
      </c>
      <c r="H4832" s="29"/>
      <c r="I4832" s="30"/>
      <c r="J4832" s="155">
        <v>0</v>
      </c>
    </row>
    <row r="4833" spans="1:10" hidden="1" x14ac:dyDescent="0.25">
      <c r="A4833" s="190"/>
      <c r="B4833" s="203"/>
      <c r="C4833" s="32"/>
      <c r="D4833" s="32"/>
      <c r="E4833" s="33"/>
      <c r="F4833" s="43" t="s">
        <v>558</v>
      </c>
      <c r="G4833" s="31" t="str">
        <f>IF(ISNUMBER(F4833),E4833*F4833,"")</f>
        <v/>
      </c>
      <c r="H4833" s="35"/>
      <c r="I4833" s="31"/>
      <c r="J4833" s="155">
        <v>0</v>
      </c>
    </row>
    <row r="4834" spans="1:10" ht="51" hidden="1" x14ac:dyDescent="0.25">
      <c r="A4834" s="190"/>
      <c r="B4834" s="203"/>
      <c r="C4834" s="36" t="s">
        <v>3824</v>
      </c>
      <c r="D4834" s="47" t="s">
        <v>292</v>
      </c>
      <c r="E4834" s="37">
        <v>1</v>
      </c>
      <c r="F4834" s="34">
        <v>269.3725</v>
      </c>
      <c r="G4834" s="34">
        <f>IF(ISNUMBER(F4834),E4834*F4834,"")</f>
        <v>269.3725</v>
      </c>
      <c r="H4834" s="39">
        <f>SUM(G4834:G4836)</f>
        <v>310.85098200000004</v>
      </c>
      <c r="I4834" s="40"/>
      <c r="J4834" s="155">
        <v>0</v>
      </c>
    </row>
    <row r="4835" spans="1:10" hidden="1" x14ac:dyDescent="0.25">
      <c r="A4835" s="190"/>
      <c r="B4835" s="203"/>
      <c r="C4835" s="36" t="s">
        <v>741</v>
      </c>
      <c r="D4835" s="47" t="s">
        <v>742</v>
      </c>
      <c r="E4835" s="37">
        <f>ROUND(1.678*0.8,4)</f>
        <v>1.3424</v>
      </c>
      <c r="F4835" s="31">
        <v>22.533999999999999</v>
      </c>
      <c r="G4835" s="34">
        <f>IF(ISNUMBER(F4835),E4835*F4835,"")</f>
        <v>30.2496416</v>
      </c>
      <c r="H4835" s="35"/>
      <c r="I4835" s="31"/>
      <c r="J4835" s="155">
        <v>0</v>
      </c>
    </row>
    <row r="4836" spans="1:10" hidden="1" x14ac:dyDescent="0.25">
      <c r="A4836" s="190"/>
      <c r="B4836" s="203"/>
      <c r="C4836" s="36" t="s">
        <v>743</v>
      </c>
      <c r="D4836" s="47" t="s">
        <v>742</v>
      </c>
      <c r="E4836" s="37">
        <f>ROUND(0.839*0.8,4)</f>
        <v>0.67120000000000002</v>
      </c>
      <c r="F4836" s="31">
        <v>16.729499999999998</v>
      </c>
      <c r="G4836" s="34">
        <f>IF(ISNUMBER(F4836),E4836*F4836,"")</f>
        <v>11.228840399999999</v>
      </c>
      <c r="H4836" s="35"/>
      <c r="I4836" s="31"/>
      <c r="J4836" s="155">
        <v>0</v>
      </c>
    </row>
    <row r="4837" spans="1:10" hidden="1" x14ac:dyDescent="0.25">
      <c r="A4837" s="190"/>
      <c r="B4837" s="203"/>
      <c r="C4837" s="36"/>
      <c r="D4837" s="47"/>
      <c r="E4837" s="37"/>
      <c r="F4837" s="34" t="s">
        <v>558</v>
      </c>
      <c r="G4837" s="34" t="str">
        <f>IF(ISNUMBER(F4837),E4837*F4837,"")</f>
        <v/>
      </c>
      <c r="H4837" s="35"/>
      <c r="I4837" s="31"/>
      <c r="J4837" s="155">
        <v>0</v>
      </c>
    </row>
    <row r="4838" spans="1:10" ht="15.75" hidden="1" thickBot="1" x14ac:dyDescent="0.3">
      <c r="A4838" s="189" t="s">
        <v>3518</v>
      </c>
      <c r="B4838" s="192" t="str">
        <f>INDEX(Orçamentária!A:B,MATCH(Composições!A4838,Orçamentária!A:A,0),2)</f>
        <v>Remoção de boiler</v>
      </c>
      <c r="C4838" s="41"/>
      <c r="D4838" s="26" t="str">
        <f>TRIM(INDEX(Orçamentária!C:C,MATCH(Composições!A4838,Orçamentária!A:A,0),1))</f>
        <v>un</v>
      </c>
      <c r="E4838" s="27"/>
      <c r="F4838" s="42" t="s">
        <v>558</v>
      </c>
      <c r="G4838" s="28" t="str">
        <f>IF(ISNUMBER(F4838),E4838*F4838,"")</f>
        <v/>
      </c>
      <c r="H4838" s="29"/>
      <c r="I4838" s="30"/>
      <c r="J4838" s="155">
        <v>0</v>
      </c>
    </row>
    <row r="4839" spans="1:10" hidden="1" x14ac:dyDescent="0.25">
      <c r="A4839" s="190"/>
      <c r="B4839" s="203"/>
      <c r="C4839" s="32"/>
      <c r="D4839" s="32"/>
      <c r="E4839" s="33"/>
      <c r="F4839" s="43" t="s">
        <v>558</v>
      </c>
      <c r="G4839" s="31" t="str">
        <f>IF(ISNUMBER(F4839),E4839*F4839,"")</f>
        <v/>
      </c>
      <c r="H4839" s="35"/>
      <c r="I4839" s="31"/>
      <c r="J4839" s="155">
        <v>0</v>
      </c>
    </row>
    <row r="4840" spans="1:10" ht="25.5" hidden="1" x14ac:dyDescent="0.25">
      <c r="A4840" s="190"/>
      <c r="B4840" s="203"/>
      <c r="C4840" s="36" t="s">
        <v>993</v>
      </c>
      <c r="D4840" s="47" t="s">
        <v>742</v>
      </c>
      <c r="E4840" s="37">
        <f>4*0.3</f>
        <v>1.2</v>
      </c>
      <c r="F4840" s="31">
        <v>17.3185</v>
      </c>
      <c r="G4840" s="31">
        <f>IF(ISNUMBER(F4840),E4840*F4840,"")</f>
        <v>20.7822</v>
      </c>
      <c r="H4840" s="39">
        <f>SUM(G4840:G4843)</f>
        <v>71.88839999999999</v>
      </c>
      <c r="I4840" s="40"/>
      <c r="J4840" s="155">
        <v>0</v>
      </c>
    </row>
    <row r="4841" spans="1:10" ht="25.5" hidden="1" x14ac:dyDescent="0.25">
      <c r="A4841" s="190"/>
      <c r="B4841" s="203"/>
      <c r="C4841" s="36" t="s">
        <v>994</v>
      </c>
      <c r="D4841" s="36" t="s">
        <v>742</v>
      </c>
      <c r="E4841" s="37">
        <f>4*0.3</f>
        <v>1.2</v>
      </c>
      <c r="F4841" s="31">
        <v>22.2395</v>
      </c>
      <c r="G4841" s="31">
        <f>IF(ISNUMBER(F4841),E4841*F4841,"")</f>
        <v>26.6874</v>
      </c>
      <c r="H4841" s="45"/>
      <c r="I4841" s="46"/>
      <c r="J4841" s="155">
        <v>0</v>
      </c>
    </row>
    <row r="4842" spans="1:10" hidden="1" x14ac:dyDescent="0.25">
      <c r="A4842" s="190"/>
      <c r="B4842" s="203"/>
      <c r="C4842" s="36" t="s">
        <v>74</v>
      </c>
      <c r="D4842" s="47" t="s">
        <v>742</v>
      </c>
      <c r="E4842" s="37">
        <f>2*0.3</f>
        <v>0.6</v>
      </c>
      <c r="F4842" s="31">
        <v>17.802999999999997</v>
      </c>
      <c r="G4842" s="31">
        <f>IF(ISNUMBER(F4842),E4842*F4842,"")</f>
        <v>10.681799999999997</v>
      </c>
      <c r="H4842" s="35"/>
      <c r="I4842" s="31"/>
      <c r="J4842" s="155">
        <v>0</v>
      </c>
    </row>
    <row r="4843" spans="1:10" hidden="1" x14ac:dyDescent="0.25">
      <c r="A4843" s="190"/>
      <c r="B4843" s="203"/>
      <c r="C4843" s="36" t="s">
        <v>30</v>
      </c>
      <c r="D4843" s="36" t="s">
        <v>742</v>
      </c>
      <c r="E4843" s="37">
        <f>2*0.3</f>
        <v>0.6</v>
      </c>
      <c r="F4843" s="31">
        <v>22.895</v>
      </c>
      <c r="G4843" s="31">
        <f>IF(ISNUMBER(F4843),E4843*F4843,"")</f>
        <v>13.737</v>
      </c>
      <c r="H4843" s="35"/>
      <c r="I4843" s="31"/>
      <c r="J4843" s="155">
        <v>0</v>
      </c>
    </row>
    <row r="4844" spans="1:10" ht="15.75" hidden="1" thickBot="1" x14ac:dyDescent="0.3">
      <c r="A4844" s="191"/>
      <c r="B4844" s="194"/>
      <c r="C4844" s="36"/>
      <c r="D4844" s="36"/>
      <c r="E4844" s="37"/>
      <c r="F4844" s="31" t="s">
        <v>558</v>
      </c>
      <c r="G4844" s="31" t="str">
        <f>IF(ISNUMBER(F4844),E4844*F4844,"")</f>
        <v/>
      </c>
      <c r="H4844" s="35"/>
      <c r="I4844" s="31"/>
      <c r="J4844" s="155">
        <v>0</v>
      </c>
    </row>
    <row r="4845" spans="1:10" ht="15.75" hidden="1" thickBot="1" x14ac:dyDescent="0.3">
      <c r="A4845" s="180" t="s">
        <v>3519</v>
      </c>
      <c r="B4845" s="186" t="str">
        <f>INDEX(Orçamentária!A:B,MATCH(Composições!A4845,Orçamentária!A:A,0),2)</f>
        <v>Remoção de tacos de madeira</v>
      </c>
      <c r="C4845" s="41"/>
      <c r="D4845" s="26" t="str">
        <f>TRIM(INDEX(Orçamentária!C:C,MATCH(Composições!A4845,Orçamentária!A:A,0),1))</f>
        <v>m2</v>
      </c>
      <c r="E4845" s="27"/>
      <c r="F4845" s="42" t="s">
        <v>558</v>
      </c>
      <c r="G4845" s="28" t="str">
        <f>IF(ISNUMBER(F4845),E4845*F4845,"")</f>
        <v/>
      </c>
      <c r="H4845" s="29"/>
      <c r="I4845" s="30"/>
      <c r="J4845" s="155">
        <v>0</v>
      </c>
    </row>
    <row r="4846" spans="1:10" hidden="1" x14ac:dyDescent="0.25">
      <c r="A4846" s="200"/>
      <c r="B4846" s="202"/>
      <c r="C4846" s="32"/>
      <c r="D4846" s="32"/>
      <c r="E4846" s="33"/>
      <c r="F4846" s="43" t="s">
        <v>558</v>
      </c>
      <c r="G4846" s="31" t="str">
        <f>IF(ISNUMBER(F4846),E4846*F4846,"")</f>
        <v/>
      </c>
      <c r="H4846" s="35"/>
      <c r="I4846" s="31"/>
      <c r="J4846" s="155">
        <v>0</v>
      </c>
    </row>
    <row r="4847" spans="1:10" hidden="1" x14ac:dyDescent="0.25">
      <c r="A4847" s="200"/>
      <c r="B4847" s="202"/>
      <c r="C4847" s="36" t="s">
        <v>741</v>
      </c>
      <c r="D4847" s="36" t="s">
        <v>742</v>
      </c>
      <c r="E4847" s="37">
        <v>0.12</v>
      </c>
      <c r="F4847" s="34">
        <v>22.533999999999999</v>
      </c>
      <c r="G4847" s="34">
        <f>IF(ISNUMBER(F4847),E4847*F4847,"")</f>
        <v>2.7040799999999998</v>
      </c>
      <c r="H4847" s="39">
        <f>SUM(G4847:G4848)</f>
        <v>25.458480000000002</v>
      </c>
      <c r="I4847" s="40"/>
      <c r="J4847" s="155">
        <v>0</v>
      </c>
    </row>
    <row r="4848" spans="1:10" hidden="1" x14ac:dyDescent="0.25">
      <c r="A4848" s="200"/>
      <c r="B4848" s="202"/>
      <c r="C4848" s="36" t="s">
        <v>825</v>
      </c>
      <c r="D4848" s="36" t="s">
        <v>742</v>
      </c>
      <c r="E4848" s="37">
        <v>1.2</v>
      </c>
      <c r="F4848" s="34">
        <v>18.962</v>
      </c>
      <c r="G4848" s="34">
        <f>IF(ISNUMBER(F4848),E4848*F4848,"")</f>
        <v>22.7544</v>
      </c>
      <c r="H4848" s="45"/>
      <c r="I4848" s="46"/>
      <c r="J4848" s="155">
        <v>0</v>
      </c>
    </row>
    <row r="4849" spans="1:10" ht="15.75" hidden="1" thickBot="1" x14ac:dyDescent="0.3">
      <c r="A4849" s="201"/>
      <c r="B4849" s="188"/>
      <c r="C4849" s="36"/>
      <c r="D4849" s="36"/>
      <c r="E4849" s="37"/>
      <c r="F4849" s="31" t="s">
        <v>558</v>
      </c>
      <c r="G4849" s="31" t="str">
        <f>IF(ISNUMBER(F4849),E4849*F4849,"")</f>
        <v/>
      </c>
      <c r="H4849" s="35"/>
      <c r="I4849" s="31"/>
      <c r="J4849" s="155">
        <v>0</v>
      </c>
    </row>
    <row r="4850" spans="1:10" ht="15.75" hidden="1" thickBot="1" x14ac:dyDescent="0.3">
      <c r="A4850" s="180" t="s">
        <v>3520</v>
      </c>
      <c r="B4850" s="186" t="str">
        <f>INDEX(Orçamentária!A:B,MATCH(Composições!A4850,Orçamentária!A:A,0),2)</f>
        <v>Cerâmica 30x60cm - Glacier White - Portobello – Linha Residencial</v>
      </c>
      <c r="C4850" s="41"/>
      <c r="D4850" s="26" t="str">
        <f>TRIM(INDEX(Orçamentária!C:C,MATCH(Composições!A4850,Orçamentária!A:A,0),1))</f>
        <v>m2</v>
      </c>
      <c r="E4850" s="27"/>
      <c r="F4850" s="49" t="s">
        <v>558</v>
      </c>
      <c r="G4850" s="28" t="str">
        <f>IF(ISNUMBER(F4850),E4850*F4850,"")</f>
        <v/>
      </c>
      <c r="H4850" s="29"/>
      <c r="I4850" s="30"/>
      <c r="J4850" s="155">
        <v>0</v>
      </c>
    </row>
    <row r="4851" spans="1:10" hidden="1" x14ac:dyDescent="0.25">
      <c r="A4851" s="181"/>
      <c r="B4851" s="202"/>
      <c r="C4851" s="32"/>
      <c r="D4851" s="32"/>
      <c r="E4851" s="33"/>
      <c r="F4851" s="54" t="s">
        <v>558</v>
      </c>
      <c r="G4851" s="54" t="str">
        <f>IF(ISNUMBER(F4851),E4851*F4851,"")</f>
        <v/>
      </c>
      <c r="H4851" s="73"/>
      <c r="I4851" s="74"/>
      <c r="J4851" s="155">
        <v>0</v>
      </c>
    </row>
    <row r="4852" spans="1:10" ht="25.5" hidden="1" x14ac:dyDescent="0.25">
      <c r="A4852" s="181"/>
      <c r="B4852" s="202"/>
      <c r="C4852" s="36" t="s">
        <v>3665</v>
      </c>
      <c r="D4852" s="36" t="s">
        <v>95</v>
      </c>
      <c r="E4852" s="37">
        <v>1.08</v>
      </c>
      <c r="F4852" s="54" t="s">
        <v>558</v>
      </c>
      <c r="G4852" s="54" t="str">
        <f>IF(ISNUMBER(F4852),E4852*F4852,"")</f>
        <v/>
      </c>
      <c r="H4852" s="39">
        <f>SUM(G4852:G4856)</f>
        <v>26.350909999999999</v>
      </c>
      <c r="I4852" s="40"/>
      <c r="J4852" s="155">
        <v>0</v>
      </c>
    </row>
    <row r="4853" spans="1:10" hidden="1" x14ac:dyDescent="0.25">
      <c r="A4853" s="181"/>
      <c r="B4853" s="202"/>
      <c r="C4853" s="36" t="s">
        <v>3620</v>
      </c>
      <c r="D4853" s="36" t="s">
        <v>42</v>
      </c>
      <c r="E4853" s="37">
        <v>6.14</v>
      </c>
      <c r="F4853" s="54">
        <v>0.78849999999999998</v>
      </c>
      <c r="G4853" s="54">
        <f>IF(ISNUMBER(F4853),E4853*F4853,"")</f>
        <v>4.8413899999999996</v>
      </c>
      <c r="H4853" s="73"/>
      <c r="I4853" s="74"/>
      <c r="J4853" s="155">
        <v>0</v>
      </c>
    </row>
    <row r="4854" spans="1:10" hidden="1" x14ac:dyDescent="0.25">
      <c r="A4854" s="181"/>
      <c r="B4854" s="202"/>
      <c r="C4854" s="36" t="s">
        <v>3618</v>
      </c>
      <c r="D4854" s="36" t="s">
        <v>42</v>
      </c>
      <c r="E4854" s="37">
        <v>0.22</v>
      </c>
      <c r="F4854" s="54">
        <v>2.508</v>
      </c>
      <c r="G4854" s="54">
        <f>IF(ISNUMBER(F4854),E4854*F4854,"")</f>
        <v>0.55176000000000003</v>
      </c>
      <c r="H4854" s="73"/>
      <c r="I4854" s="74"/>
      <c r="J4854" s="155">
        <v>0</v>
      </c>
    </row>
    <row r="4855" spans="1:10" hidden="1" x14ac:dyDescent="0.25">
      <c r="A4855" s="181"/>
      <c r="B4855" s="202"/>
      <c r="C4855" s="36" t="s">
        <v>36</v>
      </c>
      <c r="D4855" s="36" t="s">
        <v>12</v>
      </c>
      <c r="E4855" s="37">
        <v>0.66</v>
      </c>
      <c r="F4855" s="54">
        <v>22.628999999999998</v>
      </c>
      <c r="G4855" s="54">
        <f>IF(ISNUMBER(F4855),E4855*F4855,"")</f>
        <v>14.935139999999999</v>
      </c>
      <c r="H4855" s="73"/>
      <c r="I4855" s="74"/>
      <c r="J4855" s="155">
        <v>0</v>
      </c>
    </row>
    <row r="4856" spans="1:10" hidden="1" x14ac:dyDescent="0.25">
      <c r="A4856" s="181"/>
      <c r="B4856" s="202"/>
      <c r="C4856" s="36" t="s">
        <v>23</v>
      </c>
      <c r="D4856" s="36" t="s">
        <v>12</v>
      </c>
      <c r="E4856" s="37">
        <v>0.36</v>
      </c>
      <c r="F4856" s="54">
        <v>16.729499999999998</v>
      </c>
      <c r="G4856" s="54">
        <f>IF(ISNUMBER(F4856),E4856*F4856,"")</f>
        <v>6.022619999999999</v>
      </c>
      <c r="H4856" s="73"/>
      <c r="I4856" s="74"/>
      <c r="J4856" s="155">
        <v>0</v>
      </c>
    </row>
    <row r="4857" spans="1:10" hidden="1" x14ac:dyDescent="0.25">
      <c r="A4857" s="181"/>
      <c r="B4857" s="202"/>
      <c r="C4857" s="36"/>
      <c r="D4857" s="47"/>
      <c r="E4857" s="37"/>
      <c r="F4857" s="54" t="s">
        <v>558</v>
      </c>
      <c r="G4857" s="54" t="str">
        <f>IF(ISNUMBER(F4857),E4857*F4857,"")</f>
        <v/>
      </c>
      <c r="H4857" s="73"/>
      <c r="I4857" s="74"/>
      <c r="J4857" s="155">
        <v>0</v>
      </c>
    </row>
    <row r="4858" spans="1:10" ht="15.75" hidden="1" thickBot="1" x14ac:dyDescent="0.3">
      <c r="A4858" s="189" t="s">
        <v>3521</v>
      </c>
      <c r="B4858" s="192" t="str">
        <f>INDEX(Orçamentária!A:B,MATCH(Composições!A4858,Orçamentária!A:A,0),2)</f>
        <v>Instalação de tacos de madeira reaproveitados</v>
      </c>
      <c r="C4858" s="41"/>
      <c r="D4858" s="26" t="str">
        <f>TRIM(INDEX(Orçamentária!C:C,MATCH(Composições!A4858,Orçamentária!A:A,0),1))</f>
        <v>m2</v>
      </c>
      <c r="E4858" s="27"/>
      <c r="F4858" s="42" t="s">
        <v>558</v>
      </c>
      <c r="G4858" s="28" t="str">
        <f>IF(ISNUMBER(F4858),E4858*F4858,"")</f>
        <v/>
      </c>
      <c r="H4858" s="29"/>
      <c r="I4858" s="30"/>
      <c r="J4858" s="155">
        <v>0</v>
      </c>
    </row>
    <row r="4859" spans="1:10" hidden="1" x14ac:dyDescent="0.25">
      <c r="A4859" s="190"/>
      <c r="B4859" s="203"/>
      <c r="C4859" s="32"/>
      <c r="D4859" s="32"/>
      <c r="E4859" s="33"/>
      <c r="F4859" s="43" t="s">
        <v>558</v>
      </c>
      <c r="G4859" s="31" t="str">
        <f>IF(ISNUMBER(F4859),E4859*F4859,"")</f>
        <v/>
      </c>
      <c r="H4859" s="35"/>
      <c r="I4859" s="31"/>
      <c r="J4859" s="155">
        <v>0</v>
      </c>
    </row>
    <row r="4860" spans="1:10" hidden="1" x14ac:dyDescent="0.25">
      <c r="A4860" s="190"/>
      <c r="B4860" s="203"/>
      <c r="C4860" s="36" t="s">
        <v>1293</v>
      </c>
      <c r="D4860" s="36" t="s">
        <v>103</v>
      </c>
      <c r="E4860" s="37">
        <v>0.57499999999999996</v>
      </c>
      <c r="F4860" s="34">
        <v>17.499000000000002</v>
      </c>
      <c r="G4860" s="34">
        <f>IF(ISNUMBER(F4860),E4860*F4860,"")</f>
        <v>10.061925</v>
      </c>
      <c r="H4860" s="39">
        <f>SUM(G4860:G4862)</f>
        <v>29.21919845</v>
      </c>
      <c r="I4860" s="40"/>
      <c r="J4860" s="155">
        <v>0</v>
      </c>
    </row>
    <row r="4861" spans="1:10" hidden="1" x14ac:dyDescent="0.25">
      <c r="A4861" s="190"/>
      <c r="B4861" s="203"/>
      <c r="C4861" s="36" t="s">
        <v>743</v>
      </c>
      <c r="D4861" s="36" t="s">
        <v>742</v>
      </c>
      <c r="E4861" s="37">
        <v>0.2399</v>
      </c>
      <c r="F4861" s="34">
        <v>16.729499999999998</v>
      </c>
      <c r="G4861" s="34">
        <f>IF(ISNUMBER(F4861),E4861*F4861,"")</f>
        <v>4.0134070499999996</v>
      </c>
      <c r="H4861" s="45"/>
      <c r="I4861" s="46"/>
      <c r="J4861" s="155">
        <v>0</v>
      </c>
    </row>
    <row r="4862" spans="1:10" hidden="1" x14ac:dyDescent="0.25">
      <c r="A4862" s="190"/>
      <c r="B4862" s="203"/>
      <c r="C4862" s="36" t="s">
        <v>1271</v>
      </c>
      <c r="D4862" s="47" t="s">
        <v>742</v>
      </c>
      <c r="E4862" s="37">
        <v>0.57589999999999997</v>
      </c>
      <c r="F4862" s="31">
        <v>26.295999999999999</v>
      </c>
      <c r="G4862" s="31">
        <f>IF(ISNUMBER(F4862),E4862*F4862,"")</f>
        <v>15.143866399999999</v>
      </c>
      <c r="H4862" s="35"/>
      <c r="I4862" s="31"/>
      <c r="J4862" s="155">
        <v>0</v>
      </c>
    </row>
    <row r="4863" spans="1:10" ht="15.75" hidden="1" thickBot="1" x14ac:dyDescent="0.3">
      <c r="A4863" s="191"/>
      <c r="B4863" s="194"/>
      <c r="C4863" s="36"/>
      <c r="D4863" s="36"/>
      <c r="E4863" s="37"/>
      <c r="F4863" s="31" t="s">
        <v>558</v>
      </c>
      <c r="G4863" s="31" t="str">
        <f>IF(ISNUMBER(F4863),E4863*F4863,"")</f>
        <v/>
      </c>
      <c r="H4863" s="35"/>
      <c r="I4863" s="31"/>
      <c r="J4863" s="155">
        <v>0</v>
      </c>
    </row>
    <row r="4864" spans="1:10" ht="15.75" hidden="1" thickBot="1" x14ac:dyDescent="0.3">
      <c r="A4864" s="189" t="s">
        <v>3526</v>
      </c>
      <c r="B4864" s="192" t="str">
        <f>INDEX(Orçamentária!A:B,MATCH(Composições!A4864,Orçamentária!A:A,0),2)</f>
        <v>Instalação de cortinas reaproveitadas</v>
      </c>
      <c r="C4864" s="41"/>
      <c r="D4864" s="26" t="str">
        <f>TRIM(INDEX(Orçamentária!C:C,MATCH(Composições!A4864,Orçamentária!A:A,0),1))</f>
        <v>m</v>
      </c>
      <c r="E4864" s="27"/>
      <c r="F4864" s="42" t="s">
        <v>558</v>
      </c>
      <c r="G4864" s="28" t="str">
        <f>IF(ISNUMBER(F4864),E4864*F4864,"")</f>
        <v/>
      </c>
      <c r="H4864" s="29"/>
      <c r="I4864" s="30"/>
      <c r="J4864" s="155">
        <v>0</v>
      </c>
    </row>
    <row r="4865" spans="1:10" hidden="1" x14ac:dyDescent="0.25">
      <c r="A4865" s="190"/>
      <c r="B4865" s="203"/>
      <c r="C4865" s="32"/>
      <c r="D4865" s="32"/>
      <c r="E4865" s="33"/>
      <c r="F4865" s="43" t="s">
        <v>558</v>
      </c>
      <c r="G4865" s="31" t="str">
        <f>IF(ISNUMBER(F4865),E4865*F4865,"")</f>
        <v/>
      </c>
      <c r="H4865" s="35"/>
      <c r="I4865" s="31"/>
      <c r="J4865" s="155">
        <v>0</v>
      </c>
    </row>
    <row r="4866" spans="1:10" hidden="1" x14ac:dyDescent="0.25">
      <c r="A4866" s="190"/>
      <c r="B4866" s="203"/>
      <c r="C4866" s="36" t="s">
        <v>1449</v>
      </c>
      <c r="D4866" s="36" t="s">
        <v>742</v>
      </c>
      <c r="E4866" s="37">
        <v>0.5</v>
      </c>
      <c r="F4866" s="34">
        <v>19.911999999999999</v>
      </c>
      <c r="G4866" s="34">
        <f>IF(ISNUMBER(F4866),E4866*F4866,"")</f>
        <v>9.9559999999999995</v>
      </c>
      <c r="H4866" s="39">
        <f>SUM(G4866:G4866)</f>
        <v>9.9559999999999995</v>
      </c>
      <c r="I4866" s="40"/>
      <c r="J4866" s="155">
        <v>0</v>
      </c>
    </row>
    <row r="4867" spans="1:10" ht="15.75" hidden="1" thickBot="1" x14ac:dyDescent="0.3">
      <c r="A4867" s="191"/>
      <c r="B4867" s="194"/>
      <c r="C4867" s="36"/>
      <c r="D4867" s="36"/>
      <c r="E4867" s="37"/>
      <c r="F4867" s="31" t="s">
        <v>558</v>
      </c>
      <c r="G4867" s="31" t="str">
        <f>IF(ISNUMBER(F4867),E4867*F4867,"")</f>
        <v/>
      </c>
      <c r="H4867" s="35"/>
      <c r="I4867" s="31"/>
      <c r="J4867" s="155">
        <v>0</v>
      </c>
    </row>
    <row r="4868" spans="1:10" ht="15.75" hidden="1" thickBot="1" x14ac:dyDescent="0.3">
      <c r="A4868" s="189" t="s">
        <v>3527</v>
      </c>
      <c r="B4868" s="192" t="str">
        <f>INDEX(Orçamentária!A:B,MATCH(Composições!A4868,Orçamentária!A:A,0),2)</f>
        <v>Tubo CPVC soldável 22mm – Linha Residencial</v>
      </c>
      <c r="C4868" s="41"/>
      <c r="D4868" s="26" t="str">
        <f>TRIM(INDEX(Orçamentária!C:C,MATCH(Composições!A4868,Orçamentária!A:A,0),1))</f>
        <v>m</v>
      </c>
      <c r="E4868" s="27"/>
      <c r="F4868" s="42" t="s">
        <v>558</v>
      </c>
      <c r="G4868" s="28" t="str">
        <f>IF(ISNUMBER(F4868),E4868*F4868,"")</f>
        <v/>
      </c>
      <c r="H4868" s="29"/>
      <c r="I4868" s="30"/>
      <c r="J4868" s="155">
        <v>0</v>
      </c>
    </row>
    <row r="4869" spans="1:10" hidden="1" x14ac:dyDescent="0.25">
      <c r="A4869" s="190"/>
      <c r="B4869" s="203"/>
      <c r="C4869" s="32"/>
      <c r="D4869" s="32"/>
      <c r="E4869" s="33"/>
      <c r="F4869" s="43" t="s">
        <v>558</v>
      </c>
      <c r="G4869" s="31" t="str">
        <f>IF(ISNUMBER(F4869),E4869*F4869,"")</f>
        <v/>
      </c>
      <c r="H4869" s="35"/>
      <c r="I4869" s="31"/>
      <c r="J4869" s="155">
        <v>0</v>
      </c>
    </row>
    <row r="4870" spans="1:10" ht="25.5" hidden="1" x14ac:dyDescent="0.25">
      <c r="A4870" s="190"/>
      <c r="B4870" s="203"/>
      <c r="C4870" s="36" t="s">
        <v>3475</v>
      </c>
      <c r="D4870" s="36" t="s">
        <v>513</v>
      </c>
      <c r="E4870" s="37">
        <v>1.0609999999999999</v>
      </c>
      <c r="F4870" s="34">
        <v>10.639999999999999</v>
      </c>
      <c r="G4870" s="34">
        <f>IF(ISNUMBER(F4870),E4870*F4870,"")</f>
        <v>11.289039999999998</v>
      </c>
      <c r="H4870" s="39">
        <f>SUM(G4870:G4872)</f>
        <v>24.699202</v>
      </c>
      <c r="I4870" s="40"/>
      <c r="J4870" s="155">
        <v>0</v>
      </c>
    </row>
    <row r="4871" spans="1:10" ht="25.5" hidden="1" x14ac:dyDescent="0.25">
      <c r="A4871" s="190"/>
      <c r="B4871" s="203"/>
      <c r="C4871" s="36" t="s">
        <v>993</v>
      </c>
      <c r="D4871" s="36" t="s">
        <v>742</v>
      </c>
      <c r="E4871" s="37">
        <v>0.33900000000000002</v>
      </c>
      <c r="F4871" s="34">
        <v>17.3185</v>
      </c>
      <c r="G4871" s="34">
        <f>IF(ISNUMBER(F4871),E4871*F4871,"")</f>
        <v>5.8709715000000005</v>
      </c>
      <c r="H4871" s="45"/>
      <c r="I4871" s="46"/>
      <c r="J4871" s="155">
        <v>0</v>
      </c>
    </row>
    <row r="4872" spans="1:10" ht="25.5" hidden="1" x14ac:dyDescent="0.25">
      <c r="A4872" s="190"/>
      <c r="B4872" s="203"/>
      <c r="C4872" s="36" t="s">
        <v>994</v>
      </c>
      <c r="D4872" s="47" t="s">
        <v>742</v>
      </c>
      <c r="E4872" s="37">
        <v>0.33900000000000002</v>
      </c>
      <c r="F4872" s="31">
        <v>22.2395</v>
      </c>
      <c r="G4872" s="31">
        <f>IF(ISNUMBER(F4872),E4872*F4872,"")</f>
        <v>7.5391905000000001</v>
      </c>
      <c r="H4872" s="35"/>
      <c r="I4872" s="31"/>
      <c r="J4872" s="155">
        <v>0</v>
      </c>
    </row>
    <row r="4873" spans="1:10" ht="15.75" hidden="1" thickBot="1" x14ac:dyDescent="0.3">
      <c r="A4873" s="191"/>
      <c r="B4873" s="194"/>
      <c r="C4873" s="36"/>
      <c r="D4873" s="36"/>
      <c r="E4873" s="37"/>
      <c r="F4873" s="31" t="s">
        <v>558</v>
      </c>
      <c r="G4873" s="31" t="str">
        <f>IF(ISNUMBER(F4873),E4873*F4873,"")</f>
        <v/>
      </c>
      <c r="H4873" s="35"/>
      <c r="I4873" s="31"/>
      <c r="J4873" s="155">
        <v>0</v>
      </c>
    </row>
    <row r="4874" spans="1:10" ht="15.75" hidden="1" thickBot="1" x14ac:dyDescent="0.3">
      <c r="A4874" s="189" t="s">
        <v>3528</v>
      </c>
      <c r="B4874" s="192" t="str">
        <f>INDEX(Orçamentária!A:B,MATCH(Composições!A4874,Orçamentária!A:A,0),2)</f>
        <v>Tubo CPVC soldável 28mm – Linha Residencial</v>
      </c>
      <c r="C4874" s="41"/>
      <c r="D4874" s="26" t="str">
        <f>TRIM(INDEX(Orçamentária!C:C,MATCH(Composições!A4874,Orçamentária!A:A,0),1))</f>
        <v>m</v>
      </c>
      <c r="E4874" s="27"/>
      <c r="F4874" s="42" t="s">
        <v>558</v>
      </c>
      <c r="G4874" s="28" t="str">
        <f>IF(ISNUMBER(F4874),E4874*F4874,"")</f>
        <v/>
      </c>
      <c r="H4874" s="29"/>
      <c r="I4874" s="30"/>
      <c r="J4874" s="155">
        <v>0</v>
      </c>
    </row>
    <row r="4875" spans="1:10" hidden="1" x14ac:dyDescent="0.25">
      <c r="A4875" s="190"/>
      <c r="B4875" s="203"/>
      <c r="C4875" s="32"/>
      <c r="D4875" s="32"/>
      <c r="E4875" s="33"/>
      <c r="F4875" s="43" t="s">
        <v>558</v>
      </c>
      <c r="G4875" s="31" t="str">
        <f>IF(ISNUMBER(F4875),E4875*F4875,"")</f>
        <v/>
      </c>
      <c r="H4875" s="35"/>
      <c r="I4875" s="31"/>
      <c r="J4875" s="155">
        <v>0</v>
      </c>
    </row>
    <row r="4876" spans="1:10" ht="25.5" hidden="1" x14ac:dyDescent="0.25">
      <c r="A4876" s="190"/>
      <c r="B4876" s="203"/>
      <c r="C4876" s="36" t="s">
        <v>3476</v>
      </c>
      <c r="D4876" s="36" t="s">
        <v>513</v>
      </c>
      <c r="E4876" s="37">
        <v>1.0609999999999999</v>
      </c>
      <c r="F4876" s="34">
        <v>17.081</v>
      </c>
      <c r="G4876" s="34">
        <f>IF(ISNUMBER(F4876),E4876*F4876,"")</f>
        <v>18.122940999999997</v>
      </c>
      <c r="H4876" s="39">
        <f>SUM(G4876:G4878)</f>
        <v>33.946140999999997</v>
      </c>
      <c r="I4876" s="40"/>
      <c r="J4876" s="155">
        <v>0</v>
      </c>
    </row>
    <row r="4877" spans="1:10" ht="25.5" hidden="1" x14ac:dyDescent="0.25">
      <c r="A4877" s="190"/>
      <c r="B4877" s="203"/>
      <c r="C4877" s="36" t="s">
        <v>993</v>
      </c>
      <c r="D4877" s="36" t="s">
        <v>742</v>
      </c>
      <c r="E4877" s="37">
        <v>0.4</v>
      </c>
      <c r="F4877" s="34">
        <v>17.3185</v>
      </c>
      <c r="G4877" s="34">
        <f>IF(ISNUMBER(F4877),E4877*F4877,"")</f>
        <v>6.9274000000000004</v>
      </c>
      <c r="H4877" s="45"/>
      <c r="I4877" s="46"/>
      <c r="J4877" s="155">
        <v>0</v>
      </c>
    </row>
    <row r="4878" spans="1:10" ht="25.5" hidden="1" x14ac:dyDescent="0.25">
      <c r="A4878" s="190"/>
      <c r="B4878" s="203"/>
      <c r="C4878" s="36" t="s">
        <v>994</v>
      </c>
      <c r="D4878" s="47" t="s">
        <v>742</v>
      </c>
      <c r="E4878" s="37">
        <v>0.4</v>
      </c>
      <c r="F4878" s="31">
        <v>22.2395</v>
      </c>
      <c r="G4878" s="31">
        <f>IF(ISNUMBER(F4878),E4878*F4878,"")</f>
        <v>8.8957999999999995</v>
      </c>
      <c r="H4878" s="35"/>
      <c r="I4878" s="31"/>
      <c r="J4878" s="155">
        <v>0</v>
      </c>
    </row>
    <row r="4879" spans="1:10" ht="15.75" hidden="1" thickBot="1" x14ac:dyDescent="0.3">
      <c r="A4879" s="191"/>
      <c r="B4879" s="194"/>
      <c r="C4879" s="36"/>
      <c r="D4879" s="36"/>
      <c r="E4879" s="37"/>
      <c r="F4879" s="31" t="s">
        <v>558</v>
      </c>
      <c r="G4879" s="31" t="str">
        <f>IF(ISNUMBER(F4879),E4879*F4879,"")</f>
        <v/>
      </c>
      <c r="H4879" s="35"/>
      <c r="I4879" s="31"/>
      <c r="J4879" s="155">
        <v>0</v>
      </c>
    </row>
    <row r="4880" spans="1:10" ht="15.75" hidden="1" thickBot="1" x14ac:dyDescent="0.3">
      <c r="A4880" s="180" t="s">
        <v>3529</v>
      </c>
      <c r="B4880" s="186" t="str">
        <f>INDEX(Orçamentária!A:B,MATCH(Composições!A4880,Orçamentária!A:A,0),2)</f>
        <v>Instalação de bidê reaproveitado</v>
      </c>
      <c r="C4880" s="41"/>
      <c r="D4880" s="26" t="str">
        <f>TRIM(INDEX(Orçamentária!C:C,MATCH(Composições!A4880,Orçamentária!A:A,0),1))</f>
        <v>un</v>
      </c>
      <c r="E4880" s="27"/>
      <c r="F4880" s="42" t="s">
        <v>558</v>
      </c>
      <c r="G4880" s="28" t="str">
        <f>IF(ISNUMBER(F4880),E4880*F4880,"")</f>
        <v/>
      </c>
      <c r="H4880" s="29"/>
      <c r="I4880" s="30"/>
      <c r="J4880" s="155">
        <v>0</v>
      </c>
    </row>
    <row r="4881" spans="1:10" hidden="1" x14ac:dyDescent="0.25">
      <c r="A4881" s="200"/>
      <c r="B4881" s="202"/>
      <c r="C4881" s="32"/>
      <c r="D4881" s="32"/>
      <c r="E4881" s="33"/>
      <c r="F4881" s="43" t="s">
        <v>558</v>
      </c>
      <c r="G4881" s="31" t="str">
        <f>IF(ISNUMBER(F4881),E4881*F4881,"")</f>
        <v/>
      </c>
      <c r="H4881" s="35"/>
      <c r="I4881" s="31"/>
      <c r="J4881" s="155">
        <v>0</v>
      </c>
    </row>
    <row r="4882" spans="1:10" ht="25.5" hidden="1" x14ac:dyDescent="0.25">
      <c r="A4882" s="200"/>
      <c r="B4882" s="202"/>
      <c r="C4882" s="36" t="s">
        <v>353</v>
      </c>
      <c r="D4882" s="47" t="s">
        <v>292</v>
      </c>
      <c r="E4882" s="37">
        <v>2</v>
      </c>
      <c r="F4882" s="34">
        <v>14.107499999999998</v>
      </c>
      <c r="G4882" s="34">
        <f>IF(ISNUMBER(F4882),E4882*F4882,"")</f>
        <v>28.214999999999996</v>
      </c>
      <c r="H4882" s="39">
        <f>SUM(G4882:G4885)</f>
        <v>49.768170599999991</v>
      </c>
      <c r="I4882" s="40"/>
      <c r="J4882" s="155">
        <v>0</v>
      </c>
    </row>
    <row r="4883" spans="1:10" hidden="1" x14ac:dyDescent="0.25">
      <c r="A4883" s="200"/>
      <c r="B4883" s="202"/>
      <c r="C4883" s="36" t="s">
        <v>3621</v>
      </c>
      <c r="D4883" s="47" t="s">
        <v>42</v>
      </c>
      <c r="E4883" s="37">
        <v>8.8099999999999998E-2</v>
      </c>
      <c r="F4883" s="34">
        <v>52.8675</v>
      </c>
      <c r="G4883" s="34">
        <f>IF(ISNUMBER(F4883),E4883*F4883,"")</f>
        <v>4.6576267499999995</v>
      </c>
      <c r="H4883" s="35"/>
      <c r="I4883" s="31"/>
      <c r="J4883" s="155">
        <v>0</v>
      </c>
    </row>
    <row r="4884" spans="1:10" hidden="1" x14ac:dyDescent="0.25">
      <c r="A4884" s="200"/>
      <c r="B4884" s="202"/>
      <c r="C4884" s="36" t="s">
        <v>39</v>
      </c>
      <c r="D4884" s="47" t="s">
        <v>12</v>
      </c>
      <c r="E4884" s="37">
        <v>0.49680000000000002</v>
      </c>
      <c r="F4884" s="31">
        <v>22.2395</v>
      </c>
      <c r="G4884" s="34">
        <f>IF(ISNUMBER(F4884),E4884*F4884,"")</f>
        <v>11.048583600000001</v>
      </c>
      <c r="H4884" s="35"/>
      <c r="I4884" s="31"/>
      <c r="J4884" s="155">
        <v>0</v>
      </c>
    </row>
    <row r="4885" spans="1:10" hidden="1" x14ac:dyDescent="0.25">
      <c r="A4885" s="200"/>
      <c r="B4885" s="202"/>
      <c r="C4885" s="36" t="s">
        <v>23</v>
      </c>
      <c r="D4885" s="47" t="s">
        <v>12</v>
      </c>
      <c r="E4885" s="37">
        <v>0.34949999999999998</v>
      </c>
      <c r="F4885" s="31">
        <v>16.729499999999998</v>
      </c>
      <c r="G4885" s="34">
        <f>IF(ISNUMBER(F4885),E4885*F4885,"")</f>
        <v>5.8469602499999986</v>
      </c>
      <c r="H4885" s="35"/>
      <c r="I4885" s="31"/>
      <c r="J4885" s="155">
        <v>0</v>
      </c>
    </row>
    <row r="4886" spans="1:10" ht="15.75" hidden="1" thickBot="1" x14ac:dyDescent="0.3">
      <c r="A4886" s="201"/>
      <c r="B4886" s="188"/>
      <c r="C4886" s="36"/>
      <c r="D4886" s="36"/>
      <c r="E4886" s="37"/>
      <c r="F4886" s="31" t="s">
        <v>558</v>
      </c>
      <c r="G4886" s="31" t="str">
        <f>IF(ISNUMBER(F4886),E4886*F4886,"")</f>
        <v/>
      </c>
      <c r="H4886" s="35"/>
      <c r="I4886" s="31"/>
      <c r="J4886" s="155">
        <v>0</v>
      </c>
    </row>
    <row r="4887" spans="1:10" ht="15.75" hidden="1" thickBot="1" x14ac:dyDescent="0.3">
      <c r="A4887" s="180" t="s">
        <v>3530</v>
      </c>
      <c r="B4887" s="186" t="str">
        <f>INDEX(Orçamentária!A:B,MATCH(Composições!A4887,Orçamentária!A:A,0),2)</f>
        <v>Aquecedor elétrico para pia – Linha Residencial</v>
      </c>
      <c r="C4887" s="41"/>
      <c r="D4887" s="26" t="str">
        <f>TRIM(INDEX(Orçamentária!C:C,MATCH(Composições!A4887,Orçamentária!A:A,0),1))</f>
        <v>un</v>
      </c>
      <c r="E4887" s="27"/>
      <c r="F4887" s="42" t="s">
        <v>558</v>
      </c>
      <c r="G4887" s="28" t="str">
        <f>IF(ISNUMBER(F4887),E4887*F4887,"")</f>
        <v/>
      </c>
      <c r="H4887" s="29"/>
      <c r="I4887" s="30"/>
      <c r="J4887" s="155">
        <v>0</v>
      </c>
    </row>
    <row r="4888" spans="1:10" hidden="1" x14ac:dyDescent="0.25">
      <c r="A4888" s="200"/>
      <c r="B4888" s="202"/>
      <c r="C4888" s="32"/>
      <c r="D4888" s="32"/>
      <c r="E4888" s="33"/>
      <c r="F4888" s="43" t="s">
        <v>558</v>
      </c>
      <c r="G4888" s="31" t="str">
        <f>IF(ISNUMBER(F4888),E4888*F4888,"")</f>
        <v/>
      </c>
      <c r="H4888" s="35"/>
      <c r="I4888" s="31"/>
      <c r="J4888" s="155">
        <v>0</v>
      </c>
    </row>
    <row r="4889" spans="1:10" ht="25.5" hidden="1" x14ac:dyDescent="0.25">
      <c r="A4889" s="200"/>
      <c r="B4889" s="202"/>
      <c r="C4889" s="36" t="s">
        <v>994</v>
      </c>
      <c r="D4889" s="47" t="s">
        <v>742</v>
      </c>
      <c r="E4889" s="37">
        <v>0.5</v>
      </c>
      <c r="F4889" s="31">
        <v>22.2395</v>
      </c>
      <c r="G4889" s="31">
        <f>IF(ISNUMBER(F4889),E4889*F4889,"")</f>
        <v>11.11975</v>
      </c>
      <c r="H4889" s="39">
        <f>SUM(G4889:G4892)</f>
        <v>19.8994657</v>
      </c>
      <c r="I4889" s="40"/>
      <c r="J4889" s="155">
        <v>0</v>
      </c>
    </row>
    <row r="4890" spans="1:10" ht="25.5" hidden="1" x14ac:dyDescent="0.25">
      <c r="A4890" s="200"/>
      <c r="B4890" s="202"/>
      <c r="C4890" s="36" t="s">
        <v>993</v>
      </c>
      <c r="D4890" s="36" t="s">
        <v>742</v>
      </c>
      <c r="E4890" s="37">
        <v>0.5</v>
      </c>
      <c r="F4890" s="34">
        <v>17.3185</v>
      </c>
      <c r="G4890" s="34">
        <f>IF(ISNUMBER(F4890),E4890*F4890,"")</f>
        <v>8.6592500000000001</v>
      </c>
      <c r="H4890" s="35"/>
      <c r="I4890" s="31"/>
      <c r="J4890" s="155">
        <v>0</v>
      </c>
    </row>
    <row r="4891" spans="1:10" hidden="1" x14ac:dyDescent="0.25">
      <c r="A4891" s="200"/>
      <c r="B4891" s="202"/>
      <c r="C4891" s="36" t="s">
        <v>336</v>
      </c>
      <c r="D4891" s="36" t="s">
        <v>292</v>
      </c>
      <c r="E4891" s="37">
        <f>0.47/50</f>
        <v>9.3999999999999986E-3</v>
      </c>
      <c r="F4891" s="34">
        <v>12.8155</v>
      </c>
      <c r="G4891" s="34">
        <f>IF(ISNUMBER(F4891),E4891*F4891,"")</f>
        <v>0.12046569999999998</v>
      </c>
      <c r="H4891" s="35"/>
      <c r="I4891" s="31"/>
      <c r="J4891" s="155">
        <v>0</v>
      </c>
    </row>
    <row r="4892" spans="1:10" hidden="1" x14ac:dyDescent="0.25">
      <c r="A4892" s="200"/>
      <c r="B4892" s="202"/>
      <c r="C4892" s="36" t="s">
        <v>3666</v>
      </c>
      <c r="D4892" s="36" t="s">
        <v>292</v>
      </c>
      <c r="E4892" s="37">
        <v>1</v>
      </c>
      <c r="F4892" s="31" t="s">
        <v>558</v>
      </c>
      <c r="G4892" s="34" t="str">
        <f>IF(ISNUMBER(F4892),E4892*F4892,"")</f>
        <v/>
      </c>
      <c r="H4892" s="35"/>
      <c r="I4892" s="31"/>
      <c r="J4892" s="155">
        <v>0</v>
      </c>
    </row>
    <row r="4893" spans="1:10" ht="15.75" hidden="1" thickBot="1" x14ac:dyDescent="0.3">
      <c r="A4893" s="201"/>
      <c r="B4893" s="188"/>
      <c r="C4893" s="36"/>
      <c r="D4893" s="36"/>
      <c r="E4893" s="37"/>
      <c r="F4893" s="31" t="s">
        <v>558</v>
      </c>
      <c r="G4893" s="31" t="str">
        <f>IF(ISNUMBER(F4893),E4893*F4893,"")</f>
        <v/>
      </c>
      <c r="H4893" s="35"/>
      <c r="I4893" s="31"/>
      <c r="J4893" s="155">
        <v>0</v>
      </c>
    </row>
    <row r="4894" spans="1:10" ht="15.75" hidden="1" thickBot="1" x14ac:dyDescent="0.3">
      <c r="A4894" s="180" t="s">
        <v>3531</v>
      </c>
      <c r="B4894" s="186" t="str">
        <f>INDEX(Orçamentária!A:B,MATCH(Composições!A4894,Orçamentária!A:A,0),2)</f>
        <v>Chuveiro elétrico – Linha Residencial</v>
      </c>
      <c r="C4894" s="41"/>
      <c r="D4894" s="26" t="str">
        <f>TRIM(INDEX(Orçamentária!C:C,MATCH(Composições!A4894,Orçamentária!A:A,0),1))</f>
        <v>un</v>
      </c>
      <c r="E4894" s="27"/>
      <c r="F4894" s="49" t="s">
        <v>558</v>
      </c>
      <c r="G4894" s="28" t="str">
        <f>IF(ISNUMBER(F4894),E4894*F4894,"")</f>
        <v/>
      </c>
      <c r="H4894" s="29"/>
      <c r="I4894" s="30"/>
      <c r="J4894" s="155">
        <v>0</v>
      </c>
    </row>
    <row r="4895" spans="1:10" hidden="1" x14ac:dyDescent="0.25">
      <c r="A4895" s="181"/>
      <c r="B4895" s="202"/>
      <c r="C4895" s="32"/>
      <c r="D4895" s="32"/>
      <c r="E4895" s="33"/>
      <c r="F4895" s="54" t="s">
        <v>558</v>
      </c>
      <c r="G4895" s="54" t="str">
        <f>IF(ISNUMBER(F4895),E4895*F4895,"")</f>
        <v/>
      </c>
      <c r="H4895" s="73"/>
      <c r="I4895" s="74"/>
      <c r="J4895" s="155">
        <v>0</v>
      </c>
    </row>
    <row r="4896" spans="1:10" hidden="1" x14ac:dyDescent="0.25">
      <c r="A4896" s="181"/>
      <c r="B4896" s="202"/>
      <c r="C4896" s="36" t="s">
        <v>3773</v>
      </c>
      <c r="D4896" s="36" t="s">
        <v>292</v>
      </c>
      <c r="E4896" s="37">
        <v>1</v>
      </c>
      <c r="F4896" s="54" t="s">
        <v>558</v>
      </c>
      <c r="G4896" s="54" t="str">
        <f>IF(ISNUMBER(F4896),E4896*F4896,"")</f>
        <v/>
      </c>
      <c r="H4896" s="39">
        <f>SUM(G4896:G4899)</f>
        <v>12.361242300000001</v>
      </c>
      <c r="I4896" s="40"/>
      <c r="J4896" s="155">
        <v>0</v>
      </c>
    </row>
    <row r="4897" spans="1:10" hidden="1" x14ac:dyDescent="0.25">
      <c r="A4897" s="181"/>
      <c r="B4897" s="202"/>
      <c r="C4897" s="36" t="s">
        <v>1110</v>
      </c>
      <c r="D4897" s="36" t="s">
        <v>292</v>
      </c>
      <c r="E4897" s="37">
        <v>2.1000000000000001E-2</v>
      </c>
      <c r="F4897" s="54">
        <v>3.4769999999999999</v>
      </c>
      <c r="G4897" s="54">
        <f>IF(ISNUMBER(F4897),E4897*F4897,"")</f>
        <v>7.3016999999999999E-2</v>
      </c>
      <c r="H4897" s="73"/>
      <c r="I4897" s="74"/>
      <c r="J4897" s="155">
        <v>0</v>
      </c>
    </row>
    <row r="4898" spans="1:10" ht="25.5" hidden="1" x14ac:dyDescent="0.25">
      <c r="A4898" s="181"/>
      <c r="B4898" s="202"/>
      <c r="C4898" s="36" t="s">
        <v>994</v>
      </c>
      <c r="D4898" s="36" t="s">
        <v>742</v>
      </c>
      <c r="E4898" s="37">
        <v>0.44669999999999999</v>
      </c>
      <c r="F4898" s="54">
        <v>22.2395</v>
      </c>
      <c r="G4898" s="54">
        <f>IF(ISNUMBER(F4898),E4898*F4898,"")</f>
        <v>9.9343846500000001</v>
      </c>
      <c r="H4898" s="73"/>
      <c r="I4898" s="74"/>
      <c r="J4898" s="155">
        <v>0</v>
      </c>
    </row>
    <row r="4899" spans="1:10" hidden="1" x14ac:dyDescent="0.25">
      <c r="A4899" s="181"/>
      <c r="B4899" s="202"/>
      <c r="C4899" s="36" t="s">
        <v>743</v>
      </c>
      <c r="D4899" s="36" t="s">
        <v>742</v>
      </c>
      <c r="E4899" s="37">
        <v>0.14069999999999999</v>
      </c>
      <c r="F4899" s="54">
        <v>16.729499999999998</v>
      </c>
      <c r="G4899" s="54">
        <f>IF(ISNUMBER(F4899),E4899*F4899,"")</f>
        <v>2.3538406499999995</v>
      </c>
      <c r="H4899" s="73"/>
      <c r="I4899" s="74"/>
      <c r="J4899" s="155">
        <v>0</v>
      </c>
    </row>
    <row r="4900" spans="1:10" ht="15.75" hidden="1" thickBot="1" x14ac:dyDescent="0.3">
      <c r="A4900" s="182"/>
      <c r="B4900" s="188"/>
      <c r="C4900" s="36"/>
      <c r="D4900" s="36"/>
      <c r="E4900" s="37"/>
      <c r="F4900" s="54" t="s">
        <v>558</v>
      </c>
      <c r="G4900" s="54" t="str">
        <f>IF(ISNUMBER(F4900),E4900*F4900,"")</f>
        <v/>
      </c>
      <c r="H4900" s="73"/>
      <c r="I4900" s="74"/>
      <c r="J4900" s="155">
        <v>0</v>
      </c>
    </row>
    <row r="4901" spans="1:10" ht="15.75" hidden="1" thickBot="1" x14ac:dyDescent="0.3">
      <c r="A4901" s="180" t="s">
        <v>3532</v>
      </c>
      <c r="B4901" s="186" t="str">
        <f>INDEX(Orçamentária!A:B,MATCH(Composições!A4901,Orçamentária!A:A,0),2)</f>
        <v>Instalação de boiler reaproveitado</v>
      </c>
      <c r="C4901" s="41"/>
      <c r="D4901" s="26" t="str">
        <f>TRIM(INDEX(Orçamentária!C:C,MATCH(Composições!A4901,Orçamentária!A:A,0),1))</f>
        <v>un</v>
      </c>
      <c r="E4901" s="27"/>
      <c r="F4901" s="49" t="s">
        <v>558</v>
      </c>
      <c r="G4901" s="28" t="str">
        <f>IF(ISNUMBER(F4901),E4901*F4901,"")</f>
        <v/>
      </c>
      <c r="H4901" s="29"/>
      <c r="I4901" s="30"/>
      <c r="J4901" s="155">
        <v>0</v>
      </c>
    </row>
    <row r="4902" spans="1:10" hidden="1" x14ac:dyDescent="0.25">
      <c r="A4902" s="181"/>
      <c r="B4902" s="202"/>
      <c r="C4902" s="32"/>
      <c r="D4902" s="32"/>
      <c r="E4902" s="33"/>
      <c r="F4902" s="54" t="s">
        <v>558</v>
      </c>
      <c r="G4902" s="54" t="str">
        <f>IF(ISNUMBER(F4902),E4902*F4902,"")</f>
        <v/>
      </c>
      <c r="H4902" s="73"/>
      <c r="I4902" s="74"/>
      <c r="J4902" s="155">
        <v>0</v>
      </c>
    </row>
    <row r="4903" spans="1:10" ht="25.5" hidden="1" x14ac:dyDescent="0.25">
      <c r="A4903" s="181"/>
      <c r="B4903" s="202"/>
      <c r="C4903" s="36" t="s">
        <v>993</v>
      </c>
      <c r="D4903" s="47" t="s">
        <v>742</v>
      </c>
      <c r="E4903" s="37">
        <v>4</v>
      </c>
      <c r="F4903" s="31">
        <v>17.3185</v>
      </c>
      <c r="G4903" s="54">
        <f>IF(ISNUMBER(F4903),E4903*F4903,"")</f>
        <v>69.274000000000001</v>
      </c>
      <c r="H4903" s="39">
        <f>SUM(G4903:G4907)</f>
        <v>240.04523999999998</v>
      </c>
      <c r="I4903" s="40"/>
      <c r="J4903" s="155">
        <v>0</v>
      </c>
    </row>
    <row r="4904" spans="1:10" ht="25.5" hidden="1" x14ac:dyDescent="0.25">
      <c r="A4904" s="181"/>
      <c r="B4904" s="202"/>
      <c r="C4904" s="36" t="s">
        <v>994</v>
      </c>
      <c r="D4904" s="36" t="s">
        <v>742</v>
      </c>
      <c r="E4904" s="37">
        <v>4</v>
      </c>
      <c r="F4904" s="31">
        <v>22.2395</v>
      </c>
      <c r="G4904" s="54">
        <f>IF(ISNUMBER(F4904),E4904*F4904,"")</f>
        <v>88.957999999999998</v>
      </c>
      <c r="H4904" s="73"/>
      <c r="I4904" s="74"/>
      <c r="J4904" s="155">
        <v>0</v>
      </c>
    </row>
    <row r="4905" spans="1:10" hidden="1" x14ac:dyDescent="0.25">
      <c r="A4905" s="181"/>
      <c r="B4905" s="202"/>
      <c r="C4905" s="36" t="s">
        <v>74</v>
      </c>
      <c r="D4905" s="47" t="s">
        <v>742</v>
      </c>
      <c r="E4905" s="37">
        <v>2</v>
      </c>
      <c r="F4905" s="31">
        <v>17.802999999999997</v>
      </c>
      <c r="G4905" s="54">
        <f>IF(ISNUMBER(F4905),E4905*F4905,"")</f>
        <v>35.605999999999995</v>
      </c>
      <c r="H4905" s="73"/>
      <c r="I4905" s="74"/>
      <c r="J4905" s="155">
        <v>0</v>
      </c>
    </row>
    <row r="4906" spans="1:10" hidden="1" x14ac:dyDescent="0.25">
      <c r="A4906" s="181"/>
      <c r="B4906" s="202"/>
      <c r="C4906" s="36" t="s">
        <v>30</v>
      </c>
      <c r="D4906" s="36" t="s">
        <v>742</v>
      </c>
      <c r="E4906" s="37">
        <v>2</v>
      </c>
      <c r="F4906" s="31">
        <v>22.895</v>
      </c>
      <c r="G4906" s="54">
        <f>IF(ISNUMBER(F4906),E4906*F4906,"")</f>
        <v>45.79</v>
      </c>
      <c r="H4906" s="73"/>
      <c r="I4906" s="74"/>
      <c r="J4906" s="155">
        <v>0</v>
      </c>
    </row>
    <row r="4907" spans="1:10" hidden="1" x14ac:dyDescent="0.25">
      <c r="A4907" s="181"/>
      <c r="B4907" s="202"/>
      <c r="C4907" s="36" t="s">
        <v>1110</v>
      </c>
      <c r="D4907" s="36" t="s">
        <v>292</v>
      </c>
      <c r="E4907" s="37">
        <f>1.2/10</f>
        <v>0.12</v>
      </c>
      <c r="F4907" s="54">
        <v>3.4769999999999999</v>
      </c>
      <c r="G4907" s="54">
        <f>IF(ISNUMBER(F4907),E4907*F4907,"")</f>
        <v>0.41723999999999994</v>
      </c>
      <c r="H4907" s="73"/>
      <c r="I4907" s="74"/>
      <c r="J4907" s="155">
        <v>0</v>
      </c>
    </row>
    <row r="4908" spans="1:10" hidden="1" x14ac:dyDescent="0.25">
      <c r="A4908" s="181"/>
      <c r="B4908" s="202"/>
      <c r="C4908" s="36"/>
      <c r="D4908" s="47"/>
      <c r="E4908" s="37"/>
      <c r="F4908" s="54" t="s">
        <v>558</v>
      </c>
      <c r="G4908" s="54" t="str">
        <f>IF(ISNUMBER(F4908),E4908*F4908,"")</f>
        <v/>
      </c>
      <c r="H4908" s="73"/>
      <c r="I4908" s="74"/>
      <c r="J4908" s="155">
        <v>0</v>
      </c>
    </row>
    <row r="4909" spans="1:10" ht="15.75" hidden="1" thickBot="1" x14ac:dyDescent="0.3">
      <c r="A4909" s="180" t="s">
        <v>3533</v>
      </c>
      <c r="B4909" s="186" t="str">
        <f>INDEX(Orçamentária!A:B,MATCH(Composições!A4909,Orçamentária!A:A,0),2)</f>
        <v>Prateleira – Linha Residencial</v>
      </c>
      <c r="C4909" s="41"/>
      <c r="D4909" s="26" t="str">
        <f>TRIM(INDEX(Orçamentária!C:C,MATCH(Composições!A4909,Orçamentária!A:A,0),1))</f>
        <v>un</v>
      </c>
      <c r="E4909" s="27"/>
      <c r="F4909" s="42" t="s">
        <v>558</v>
      </c>
      <c r="G4909" s="28" t="str">
        <f>IF(ISNUMBER(F4909),E4909*F4909,"")</f>
        <v/>
      </c>
      <c r="H4909" s="29"/>
      <c r="I4909" s="30"/>
      <c r="J4909" s="155">
        <v>0</v>
      </c>
    </row>
    <row r="4910" spans="1:10" hidden="1" x14ac:dyDescent="0.25">
      <c r="A4910" s="200"/>
      <c r="B4910" s="202"/>
      <c r="C4910" s="32"/>
      <c r="D4910" s="32"/>
      <c r="E4910" s="33"/>
      <c r="F4910" s="43" t="s">
        <v>558</v>
      </c>
      <c r="G4910" s="31" t="str">
        <f>IF(ISNUMBER(F4910),E4910*F4910,"")</f>
        <v/>
      </c>
      <c r="H4910" s="35"/>
      <c r="I4910" s="31"/>
      <c r="J4910" s="155">
        <v>0</v>
      </c>
    </row>
    <row r="4911" spans="1:10" ht="25.5" hidden="1" x14ac:dyDescent="0.25">
      <c r="A4911" s="200"/>
      <c r="B4911" s="202"/>
      <c r="C4911" s="36" t="s">
        <v>3667</v>
      </c>
      <c r="D4911" s="47" t="s">
        <v>147</v>
      </c>
      <c r="E4911" s="37">
        <v>1</v>
      </c>
      <c r="F4911" s="34" t="s">
        <v>558</v>
      </c>
      <c r="G4911" s="34" t="str">
        <f>IF(ISNUMBER(F4911),E4911*F4911,"")</f>
        <v/>
      </c>
      <c r="H4911" s="39">
        <f>SUM(G4911:G4913)</f>
        <v>17.394552249999997</v>
      </c>
      <c r="I4911" s="40"/>
      <c r="J4911" s="155">
        <v>0</v>
      </c>
    </row>
    <row r="4912" spans="1:10" hidden="1" x14ac:dyDescent="0.25">
      <c r="A4912" s="200"/>
      <c r="B4912" s="202"/>
      <c r="C4912" s="36" t="s">
        <v>39</v>
      </c>
      <c r="D4912" s="47" t="s">
        <v>12</v>
      </c>
      <c r="E4912" s="37">
        <v>0.63229999999999997</v>
      </c>
      <c r="F4912" s="31">
        <v>22.2395</v>
      </c>
      <c r="G4912" s="34">
        <f>IF(ISNUMBER(F4912),E4912*F4912,"")</f>
        <v>14.062035849999999</v>
      </c>
      <c r="H4912" s="35"/>
      <c r="I4912" s="31"/>
      <c r="J4912" s="155">
        <v>0</v>
      </c>
    </row>
    <row r="4913" spans="1:10" hidden="1" x14ac:dyDescent="0.25">
      <c r="A4913" s="200"/>
      <c r="B4913" s="202"/>
      <c r="C4913" s="36" t="s">
        <v>23</v>
      </c>
      <c r="D4913" s="47" t="s">
        <v>12</v>
      </c>
      <c r="E4913" s="37">
        <v>0.19919999999999999</v>
      </c>
      <c r="F4913" s="31">
        <v>16.729499999999998</v>
      </c>
      <c r="G4913" s="34">
        <f>IF(ISNUMBER(F4913),E4913*F4913,"")</f>
        <v>3.3325163999999994</v>
      </c>
      <c r="H4913" s="35"/>
      <c r="I4913" s="31"/>
      <c r="J4913" s="155">
        <v>0</v>
      </c>
    </row>
    <row r="4914" spans="1:10" ht="15.75" hidden="1" thickBot="1" x14ac:dyDescent="0.3">
      <c r="A4914" s="201"/>
      <c r="B4914" s="188"/>
      <c r="C4914" s="36"/>
      <c r="D4914" s="36"/>
      <c r="E4914" s="37"/>
      <c r="F4914" s="31" t="s">
        <v>558</v>
      </c>
      <c r="G4914" s="31" t="str">
        <f>IF(ISNUMBER(F4914),E4914*F4914,"")</f>
        <v/>
      </c>
      <c r="H4914" s="35"/>
      <c r="I4914" s="31"/>
      <c r="J4914" s="155">
        <v>0</v>
      </c>
    </row>
    <row r="4915" spans="1:10" ht="15.75" hidden="1" thickBot="1" x14ac:dyDescent="0.3">
      <c r="A4915" s="180" t="s">
        <v>3534</v>
      </c>
      <c r="B4915" s="186" t="str">
        <f>INDEX(Orçamentária!A:B,MATCH(Composições!A4915,Orçamentária!A:A,0),2)</f>
        <v>Saboneteira – Linha Residencial</v>
      </c>
      <c r="C4915" s="41"/>
      <c r="D4915" s="26" t="str">
        <f>TRIM(INDEX(Orçamentária!C:C,MATCH(Composições!A4915,Orçamentária!A:A,0),1))</f>
        <v>un</v>
      </c>
      <c r="E4915" s="27"/>
      <c r="F4915" s="42" t="s">
        <v>558</v>
      </c>
      <c r="G4915" s="28" t="str">
        <f>IF(ISNUMBER(F4915),E4915*F4915,"")</f>
        <v/>
      </c>
      <c r="H4915" s="29"/>
      <c r="I4915" s="30"/>
      <c r="J4915" s="155">
        <v>0</v>
      </c>
    </row>
    <row r="4916" spans="1:10" hidden="1" x14ac:dyDescent="0.25">
      <c r="A4916" s="200"/>
      <c r="B4916" s="202"/>
      <c r="C4916" s="32"/>
      <c r="D4916" s="32"/>
      <c r="E4916" s="33"/>
      <c r="F4916" s="43" t="s">
        <v>558</v>
      </c>
      <c r="G4916" s="31" t="str">
        <f>IF(ISNUMBER(F4916),E4916*F4916,"")</f>
        <v/>
      </c>
      <c r="H4916" s="35"/>
      <c r="I4916" s="31"/>
      <c r="J4916" s="155">
        <v>0</v>
      </c>
    </row>
    <row r="4917" spans="1:10" ht="25.5" hidden="1" x14ac:dyDescent="0.25">
      <c r="A4917" s="200"/>
      <c r="B4917" s="202"/>
      <c r="C4917" s="36" t="s">
        <v>3668</v>
      </c>
      <c r="D4917" s="47" t="s">
        <v>147</v>
      </c>
      <c r="E4917" s="37">
        <v>1</v>
      </c>
      <c r="F4917" s="34" t="s">
        <v>558</v>
      </c>
      <c r="G4917" s="34" t="str">
        <f>IF(ISNUMBER(F4917),E4917*F4917,"")</f>
        <v/>
      </c>
      <c r="H4917" s="39">
        <f>SUM(G4917:G4919)</f>
        <v>8.698388099999999</v>
      </c>
      <c r="I4917" s="40"/>
      <c r="J4917" s="155">
        <v>0</v>
      </c>
    </row>
    <row r="4918" spans="1:10" hidden="1" x14ac:dyDescent="0.25">
      <c r="A4918" s="200"/>
      <c r="B4918" s="202"/>
      <c r="C4918" s="36" t="s">
        <v>39</v>
      </c>
      <c r="D4918" s="47" t="s">
        <v>12</v>
      </c>
      <c r="E4918" s="37">
        <v>0.31619999999999998</v>
      </c>
      <c r="F4918" s="31">
        <v>22.2395</v>
      </c>
      <c r="G4918" s="34">
        <f>IF(ISNUMBER(F4918),E4918*F4918,"")</f>
        <v>7.0321298999999993</v>
      </c>
      <c r="H4918" s="35"/>
      <c r="I4918" s="31"/>
      <c r="J4918" s="155">
        <v>0</v>
      </c>
    </row>
    <row r="4919" spans="1:10" hidden="1" x14ac:dyDescent="0.25">
      <c r="A4919" s="200"/>
      <c r="B4919" s="202"/>
      <c r="C4919" s="36" t="s">
        <v>23</v>
      </c>
      <c r="D4919" s="47" t="s">
        <v>12</v>
      </c>
      <c r="E4919" s="37">
        <v>9.9599999999999994E-2</v>
      </c>
      <c r="F4919" s="31">
        <v>16.729499999999998</v>
      </c>
      <c r="G4919" s="34">
        <f>IF(ISNUMBER(F4919),E4919*F4919,"")</f>
        <v>1.6662581999999997</v>
      </c>
      <c r="H4919" s="35"/>
      <c r="I4919" s="31"/>
      <c r="J4919" s="155">
        <v>0</v>
      </c>
    </row>
    <row r="4920" spans="1:10" ht="15.75" hidden="1" thickBot="1" x14ac:dyDescent="0.3">
      <c r="A4920" s="201"/>
      <c r="B4920" s="188"/>
      <c r="C4920" s="36"/>
      <c r="D4920" s="36"/>
      <c r="E4920" s="37"/>
      <c r="F4920" s="31" t="s">
        <v>558</v>
      </c>
      <c r="G4920" s="31" t="str">
        <f>IF(ISNUMBER(F4920),E4920*F4920,"")</f>
        <v/>
      </c>
      <c r="H4920" s="35"/>
      <c r="I4920" s="31"/>
      <c r="J4920" s="155">
        <v>0</v>
      </c>
    </row>
    <row r="4921" spans="1:10" ht="15.75" hidden="1" thickBot="1" x14ac:dyDescent="0.3">
      <c r="A4921" s="180" t="s">
        <v>3535</v>
      </c>
      <c r="B4921" s="186" t="str">
        <f>INDEX(Orçamentária!A:B,MATCH(Composições!A4921,Orçamentária!A:A,0),2)</f>
        <v>Módulo campainha eletrônica – Linha Residencial</v>
      </c>
      <c r="C4921" s="41"/>
      <c r="D4921" s="26" t="str">
        <f>TRIM(INDEX(Orçamentária!C:C,MATCH(Composições!A4921,Orçamentária!A:A,0),1))</f>
        <v>un</v>
      </c>
      <c r="E4921" s="27"/>
      <c r="F4921" s="42" t="s">
        <v>558</v>
      </c>
      <c r="G4921" s="28" t="str">
        <f>IF(ISNUMBER(F4921),E4921*F4921,"")</f>
        <v/>
      </c>
      <c r="H4921" s="29"/>
      <c r="I4921" s="30"/>
      <c r="J4921" s="155">
        <v>0</v>
      </c>
    </row>
    <row r="4922" spans="1:10" hidden="1" x14ac:dyDescent="0.25">
      <c r="A4922" s="200"/>
      <c r="B4922" s="202"/>
      <c r="C4922" s="32"/>
      <c r="D4922" s="32"/>
      <c r="E4922" s="33"/>
      <c r="F4922" s="43" t="s">
        <v>558</v>
      </c>
      <c r="G4922" s="31" t="str">
        <f>IF(ISNUMBER(F4922),E4922*F4922,"")</f>
        <v/>
      </c>
      <c r="H4922" s="35"/>
      <c r="I4922" s="31"/>
      <c r="J4922" s="155">
        <v>0</v>
      </c>
    </row>
    <row r="4923" spans="1:10" hidden="1" x14ac:dyDescent="0.25">
      <c r="A4923" s="200"/>
      <c r="B4923" s="202"/>
      <c r="C4923" s="36" t="s">
        <v>3669</v>
      </c>
      <c r="D4923" s="36" t="s">
        <v>20</v>
      </c>
      <c r="E4923" s="37">
        <v>1</v>
      </c>
      <c r="F4923" s="34" t="s">
        <v>558</v>
      </c>
      <c r="G4923" s="31" t="str">
        <f>IF(ISNUMBER(F4923),E4923*F4923,"")</f>
        <v/>
      </c>
      <c r="H4923" s="39">
        <f>SUM(G4923:G4925)</f>
        <v>14.284997999999998</v>
      </c>
      <c r="I4923" s="40"/>
      <c r="J4923" s="155">
        <v>0</v>
      </c>
    </row>
    <row r="4924" spans="1:10" hidden="1" x14ac:dyDescent="0.25">
      <c r="A4924" s="200"/>
      <c r="B4924" s="202"/>
      <c r="C4924" s="36" t="s">
        <v>74</v>
      </c>
      <c r="D4924" s="36" t="s">
        <v>12</v>
      </c>
      <c r="E4924" s="37">
        <v>0.35099999999999998</v>
      </c>
      <c r="F4924" s="31">
        <v>17.802999999999997</v>
      </c>
      <c r="G4924" s="34">
        <f>IF(ISNUMBER(F4924),E4924*F4924,"")</f>
        <v>6.2488529999999987</v>
      </c>
      <c r="H4924" s="35"/>
      <c r="I4924" s="31"/>
      <c r="J4924" s="155">
        <v>0</v>
      </c>
    </row>
    <row r="4925" spans="1:10" hidden="1" x14ac:dyDescent="0.25">
      <c r="A4925" s="200"/>
      <c r="B4925" s="202"/>
      <c r="C4925" s="36" t="s">
        <v>30</v>
      </c>
      <c r="D4925" s="36" t="s">
        <v>12</v>
      </c>
      <c r="E4925" s="37">
        <v>0.35099999999999998</v>
      </c>
      <c r="F4925" s="31">
        <v>22.895</v>
      </c>
      <c r="G4925" s="34">
        <f>IF(ISNUMBER(F4925),E4925*F4925,"")</f>
        <v>8.0361449999999994</v>
      </c>
      <c r="H4925" s="35"/>
      <c r="I4925" s="31"/>
      <c r="J4925" s="155">
        <v>0</v>
      </c>
    </row>
    <row r="4926" spans="1:10" ht="15.75" hidden="1" thickBot="1" x14ac:dyDescent="0.3">
      <c r="A4926" s="201"/>
      <c r="B4926" s="188"/>
      <c r="C4926" s="36"/>
      <c r="D4926" s="36"/>
      <c r="E4926" s="37"/>
      <c r="F4926" s="31" t="s">
        <v>558</v>
      </c>
      <c r="G4926" s="31" t="str">
        <f>IF(ISNUMBER(F4926),E4926*F4926,"")</f>
        <v/>
      </c>
      <c r="H4926" s="35"/>
      <c r="I4926" s="31"/>
      <c r="J4926" s="155">
        <v>0</v>
      </c>
    </row>
    <row r="4927" spans="1:10" ht="15.75" hidden="1" thickBot="1" x14ac:dyDescent="0.3">
      <c r="A4927" s="180" t="s">
        <v>3536</v>
      </c>
      <c r="B4927" s="186" t="str">
        <f>INDEX(Orçamentária!A:B,MATCH(Composições!A4927,Orçamentária!A:A,0),2)</f>
        <v>Módulo pulsador – Linha Residencial</v>
      </c>
      <c r="C4927" s="41"/>
      <c r="D4927" s="26" t="str">
        <f>TRIM(INDEX(Orçamentária!C:C,MATCH(Composições!A4927,Orçamentária!A:A,0),1))</f>
        <v>un</v>
      </c>
      <c r="E4927" s="27"/>
      <c r="F4927" s="42" t="s">
        <v>558</v>
      </c>
      <c r="G4927" s="28" t="str">
        <f>IF(ISNUMBER(F4927),E4927*F4927,"")</f>
        <v/>
      </c>
      <c r="H4927" s="29"/>
      <c r="I4927" s="30"/>
      <c r="J4927" s="155">
        <v>0</v>
      </c>
    </row>
    <row r="4928" spans="1:10" hidden="1" x14ac:dyDescent="0.25">
      <c r="A4928" s="200"/>
      <c r="B4928" s="202"/>
      <c r="C4928" s="32"/>
      <c r="D4928" s="32"/>
      <c r="E4928" s="33"/>
      <c r="F4928" s="43" t="s">
        <v>558</v>
      </c>
      <c r="G4928" s="31" t="str">
        <f>IF(ISNUMBER(F4928),E4928*F4928,"")</f>
        <v/>
      </c>
      <c r="H4928" s="35"/>
      <c r="I4928" s="31"/>
      <c r="J4928" s="155">
        <v>0</v>
      </c>
    </row>
    <row r="4929" spans="1:10" hidden="1" x14ac:dyDescent="0.25">
      <c r="A4929" s="200"/>
      <c r="B4929" s="202"/>
      <c r="C4929" s="36" t="s">
        <v>3441</v>
      </c>
      <c r="D4929" s="36" t="s">
        <v>292</v>
      </c>
      <c r="E4929" s="37">
        <v>1</v>
      </c>
      <c r="F4929" s="34">
        <v>4.8449999999999998</v>
      </c>
      <c r="G4929" s="31">
        <f>IF(ISNUMBER(F4929),E4929*F4929,"")</f>
        <v>4.8449999999999998</v>
      </c>
      <c r="H4929" s="39">
        <f>SUM(G4929:G4931)</f>
        <v>14.002049999999999</v>
      </c>
      <c r="I4929" s="40"/>
      <c r="J4929" s="155">
        <v>0</v>
      </c>
    </row>
    <row r="4930" spans="1:10" hidden="1" x14ac:dyDescent="0.25">
      <c r="A4930" s="200"/>
      <c r="B4930" s="202"/>
      <c r="C4930" s="36" t="s">
        <v>74</v>
      </c>
      <c r="D4930" s="36" t="s">
        <v>12</v>
      </c>
      <c r="E4930" s="37">
        <v>0.22500000000000001</v>
      </c>
      <c r="F4930" s="31">
        <v>17.802999999999997</v>
      </c>
      <c r="G4930" s="34">
        <f>IF(ISNUMBER(F4930),E4930*F4930,"")</f>
        <v>4.0056749999999992</v>
      </c>
      <c r="H4930" s="35"/>
      <c r="I4930" s="31"/>
      <c r="J4930" s="155">
        <v>0</v>
      </c>
    </row>
    <row r="4931" spans="1:10" hidden="1" x14ac:dyDescent="0.25">
      <c r="A4931" s="200"/>
      <c r="B4931" s="202"/>
      <c r="C4931" s="36" t="s">
        <v>30</v>
      </c>
      <c r="D4931" s="36" t="s">
        <v>12</v>
      </c>
      <c r="E4931" s="37">
        <v>0.22500000000000001</v>
      </c>
      <c r="F4931" s="31">
        <v>22.895</v>
      </c>
      <c r="G4931" s="34">
        <f>IF(ISNUMBER(F4931),E4931*F4931,"")</f>
        <v>5.1513749999999998</v>
      </c>
      <c r="H4931" s="35"/>
      <c r="I4931" s="31"/>
      <c r="J4931" s="155">
        <v>0</v>
      </c>
    </row>
    <row r="4932" spans="1:10" ht="15.75" hidden="1" thickBot="1" x14ac:dyDescent="0.3">
      <c r="A4932" s="201"/>
      <c r="B4932" s="188"/>
      <c r="C4932" s="36"/>
      <c r="D4932" s="36"/>
      <c r="E4932" s="37"/>
      <c r="F4932" s="31" t="s">
        <v>558</v>
      </c>
      <c r="G4932" s="31" t="str">
        <f>IF(ISNUMBER(F4932),E4932*F4932,"")</f>
        <v/>
      </c>
      <c r="H4932" s="35"/>
      <c r="I4932" s="31"/>
      <c r="J4932" s="155">
        <v>0</v>
      </c>
    </row>
    <row r="4933" spans="1:10" ht="15.75" hidden="1" thickBot="1" x14ac:dyDescent="0.3">
      <c r="A4933" s="180" t="s">
        <v>3537</v>
      </c>
      <c r="B4933" s="186" t="str">
        <f>INDEX(Orçamentária!A:B,MATCH(Composições!A4933,Orçamentária!A:A,0),2)</f>
        <v>Luminária redonda de sobrepor (plafond) – Linha Residencial</v>
      </c>
      <c r="C4933" s="41"/>
      <c r="D4933" s="26" t="str">
        <f>TRIM(INDEX(Orçamentária!C:C,MATCH(Composições!A4933,Orçamentária!A:A,0),1))</f>
        <v>un</v>
      </c>
      <c r="E4933" s="27"/>
      <c r="F4933" s="42" t="s">
        <v>558</v>
      </c>
      <c r="G4933" s="28" t="str">
        <f>IF(ISNUMBER(F4933),E4933*F4933,"")</f>
        <v/>
      </c>
      <c r="H4933" s="29"/>
      <c r="I4933" s="30"/>
      <c r="J4933" s="155">
        <v>0</v>
      </c>
    </row>
    <row r="4934" spans="1:10" hidden="1" x14ac:dyDescent="0.25">
      <c r="A4934" s="200"/>
      <c r="B4934" s="202"/>
      <c r="C4934" s="32"/>
      <c r="D4934" s="32"/>
      <c r="E4934" s="33"/>
      <c r="F4934" s="43" t="s">
        <v>558</v>
      </c>
      <c r="G4934" s="31" t="str">
        <f>IF(ISNUMBER(F4934),E4934*F4934,"")</f>
        <v/>
      </c>
      <c r="H4934" s="35"/>
      <c r="I4934" s="31"/>
      <c r="J4934" s="155">
        <v>0</v>
      </c>
    </row>
    <row r="4935" spans="1:10" ht="38.25" hidden="1" x14ac:dyDescent="0.25">
      <c r="A4935" s="200"/>
      <c r="B4935" s="202"/>
      <c r="C4935" s="36" t="s">
        <v>3412</v>
      </c>
      <c r="D4935" s="36" t="s">
        <v>292</v>
      </c>
      <c r="E4935" s="37">
        <v>1</v>
      </c>
      <c r="F4935" s="34">
        <v>50.938999999999993</v>
      </c>
      <c r="G4935" s="34">
        <f>IF(ISNUMBER(F4935),E4935*F4935,"")</f>
        <v>50.938999999999993</v>
      </c>
      <c r="H4935" s="39">
        <f>SUM(G4935:G4938)</f>
        <v>102.4479449</v>
      </c>
      <c r="I4935" s="40"/>
      <c r="J4935" s="155">
        <v>0</v>
      </c>
    </row>
    <row r="4936" spans="1:10" ht="25.5" hidden="1" x14ac:dyDescent="0.25">
      <c r="A4936" s="200"/>
      <c r="B4936" s="202"/>
      <c r="C4936" s="36" t="s">
        <v>3409</v>
      </c>
      <c r="D4936" s="36" t="s">
        <v>292</v>
      </c>
      <c r="E4936" s="37">
        <v>2</v>
      </c>
      <c r="F4936" s="34">
        <v>15.266499999999999</v>
      </c>
      <c r="G4936" s="34">
        <f>IF(ISNUMBER(F4936),E4936*F4936,"")</f>
        <v>30.532999999999998</v>
      </c>
      <c r="H4936" s="45"/>
      <c r="I4936" s="46"/>
      <c r="J4936" s="155">
        <v>0</v>
      </c>
    </row>
    <row r="4937" spans="1:10" hidden="1" x14ac:dyDescent="0.25">
      <c r="A4937" s="200"/>
      <c r="B4937" s="202"/>
      <c r="C4937" s="36" t="s">
        <v>74</v>
      </c>
      <c r="D4937" s="47" t="s">
        <v>12</v>
      </c>
      <c r="E4937" s="37">
        <v>0.2883</v>
      </c>
      <c r="F4937" s="31">
        <v>17.802999999999997</v>
      </c>
      <c r="G4937" s="31">
        <f>IF(ISNUMBER(F4937),E4937*F4937,"")</f>
        <v>5.1326048999999996</v>
      </c>
      <c r="H4937" s="35"/>
      <c r="I4937" s="31"/>
      <c r="J4937" s="155">
        <v>0</v>
      </c>
    </row>
    <row r="4938" spans="1:10" hidden="1" x14ac:dyDescent="0.25">
      <c r="A4938" s="200"/>
      <c r="B4938" s="202"/>
      <c r="C4938" s="36" t="s">
        <v>30</v>
      </c>
      <c r="D4938" s="36" t="s">
        <v>12</v>
      </c>
      <c r="E4938" s="37">
        <v>0.69199999999999995</v>
      </c>
      <c r="F4938" s="31">
        <v>22.895</v>
      </c>
      <c r="G4938" s="31">
        <f>IF(ISNUMBER(F4938),E4938*F4938,"")</f>
        <v>15.843339999999998</v>
      </c>
      <c r="H4938" s="35"/>
      <c r="I4938" s="31"/>
      <c r="J4938" s="155">
        <v>0</v>
      </c>
    </row>
    <row r="4939" spans="1:10" ht="15.75" hidden="1" thickBot="1" x14ac:dyDescent="0.3">
      <c r="A4939" s="201"/>
      <c r="B4939" s="188"/>
      <c r="C4939" s="36"/>
      <c r="D4939" s="36"/>
      <c r="E4939" s="37"/>
      <c r="F4939" s="31" t="s">
        <v>558</v>
      </c>
      <c r="G4939" s="31" t="str">
        <f>IF(ISNUMBER(F4939),E4939*F4939,"")</f>
        <v/>
      </c>
      <c r="H4939" s="35"/>
      <c r="I4939" s="31"/>
      <c r="J4939" s="155">
        <v>0</v>
      </c>
    </row>
    <row r="4940" spans="1:10" ht="15.75" hidden="1" thickBot="1" x14ac:dyDescent="0.3">
      <c r="A4940" s="189" t="s">
        <v>3670</v>
      </c>
      <c r="B4940" s="192" t="str">
        <f>INDEX(Orçamentária!A:B,MATCH(Composições!A4940,Orçamentária!A:A,0),2)</f>
        <v>Bandeira de porta, em madeira e MDF</v>
      </c>
      <c r="C4940" s="41"/>
      <c r="D4940" s="26" t="str">
        <f>TRIM(INDEX(Orçamentária!C:C,MATCH(Composições!A4940,Orçamentária!A:A,0),1))</f>
        <v>m2</v>
      </c>
      <c r="E4940" s="27"/>
      <c r="F4940" s="42" t="s">
        <v>558</v>
      </c>
      <c r="G4940" s="28" t="str">
        <f>IF(ISNUMBER(F4940),E4940*F4940,"")</f>
        <v/>
      </c>
      <c r="H4940" s="29"/>
      <c r="I4940" s="30"/>
      <c r="J4940" s="155">
        <v>0</v>
      </c>
    </row>
    <row r="4941" spans="1:10" hidden="1" x14ac:dyDescent="0.25">
      <c r="A4941" s="190"/>
      <c r="B4941" s="203"/>
      <c r="C4941" s="32"/>
      <c r="D4941" s="32"/>
      <c r="E4941" s="33"/>
      <c r="F4941" s="43" t="s">
        <v>558</v>
      </c>
      <c r="G4941" s="31" t="str">
        <f>IF(ISNUMBER(F4941),E4941*F4941,"")</f>
        <v/>
      </c>
      <c r="H4941" s="35"/>
      <c r="I4941" s="31"/>
      <c r="J4941" s="155">
        <v>0</v>
      </c>
    </row>
    <row r="4942" spans="1:10" ht="51" hidden="1" x14ac:dyDescent="0.25">
      <c r="A4942" s="190"/>
      <c r="B4942" s="203"/>
      <c r="C4942" s="36" t="s">
        <v>3822</v>
      </c>
      <c r="D4942" s="47" t="s">
        <v>292</v>
      </c>
      <c r="E4942" s="37">
        <f>1/(0.8*2.1)</f>
        <v>0.59523809523809523</v>
      </c>
      <c r="F4942" s="34">
        <v>241.03399999999999</v>
      </c>
      <c r="G4942" s="34">
        <f>IF(ISNUMBER(F4942),E4942*F4942,"")</f>
        <v>143.47261904761905</v>
      </c>
      <c r="H4942" s="39">
        <f>SUM(G4942:G4945)</f>
        <v>190.37402879761905</v>
      </c>
      <c r="I4942" s="40"/>
      <c r="J4942" s="155">
        <v>0</v>
      </c>
    </row>
    <row r="4943" spans="1:10" hidden="1" x14ac:dyDescent="0.25">
      <c r="A4943" s="190"/>
      <c r="B4943" s="203"/>
      <c r="C4943" s="36" t="s">
        <v>3336</v>
      </c>
      <c r="D4943" s="47" t="s">
        <v>513</v>
      </c>
      <c r="E4943" s="37">
        <f>1/0.8</f>
        <v>1.25</v>
      </c>
      <c r="F4943" s="31">
        <v>19.323</v>
      </c>
      <c r="G4943" s="34">
        <f>IF(ISNUMBER(F4943),E4943*F4943,"")</f>
        <v>24.153750000000002</v>
      </c>
      <c r="H4943" s="35"/>
      <c r="I4943" s="31"/>
      <c r="J4943" s="155">
        <v>0</v>
      </c>
    </row>
    <row r="4944" spans="1:10" hidden="1" x14ac:dyDescent="0.25">
      <c r="A4944" s="190"/>
      <c r="B4944" s="203"/>
      <c r="C4944" s="36" t="s">
        <v>741</v>
      </c>
      <c r="D4944" s="47" t="s">
        <v>742</v>
      </c>
      <c r="E4944" s="37">
        <f>ROUND(1.546*0.8/(2.1*0.8),4)</f>
        <v>0.73619999999999997</v>
      </c>
      <c r="F4944" s="31">
        <v>22.533999999999999</v>
      </c>
      <c r="G4944" s="34">
        <f>IF(ISNUMBER(F4944),E4944*F4944,"")</f>
        <v>16.589530799999999</v>
      </c>
      <c r="H4944" s="35"/>
      <c r="I4944" s="31"/>
      <c r="J4944" s="155">
        <v>0</v>
      </c>
    </row>
    <row r="4945" spans="1:10" hidden="1" x14ac:dyDescent="0.25">
      <c r="A4945" s="190"/>
      <c r="B4945" s="203"/>
      <c r="C4945" s="36" t="s">
        <v>743</v>
      </c>
      <c r="D4945" s="47" t="s">
        <v>742</v>
      </c>
      <c r="E4945" s="37">
        <f>ROUND(0.773*0.8/(2.1*0.8),4)</f>
        <v>0.36809999999999998</v>
      </c>
      <c r="F4945" s="31">
        <v>16.729499999999998</v>
      </c>
      <c r="G4945" s="34">
        <f>IF(ISNUMBER(F4945),E4945*F4945,"")</f>
        <v>6.1581289499999992</v>
      </c>
      <c r="H4945" s="35"/>
      <c r="I4945" s="31"/>
      <c r="J4945" s="155">
        <v>0</v>
      </c>
    </row>
    <row r="4946" spans="1:10" hidden="1" x14ac:dyDescent="0.25">
      <c r="A4946" s="190"/>
      <c r="B4946" s="203"/>
      <c r="C4946" s="36"/>
      <c r="D4946" s="47"/>
      <c r="E4946" s="37"/>
      <c r="F4946" s="34" t="s">
        <v>558</v>
      </c>
      <c r="G4946" s="34" t="str">
        <f>IF(ISNUMBER(F4946),E4946*F4946,"")</f>
        <v/>
      </c>
      <c r="H4946" s="35"/>
      <c r="I4946" s="31"/>
      <c r="J4946" s="155">
        <v>0</v>
      </c>
    </row>
    <row r="4947" spans="1:10" ht="15.75" hidden="1" thickBot="1" x14ac:dyDescent="0.3">
      <c r="A4947" s="189" t="s">
        <v>3672</v>
      </c>
      <c r="B4947" s="192" t="str">
        <f>INDEX(Orçamentária!A:B,MATCH(Composições!A4947,Orçamentária!A:A,0),2)</f>
        <v>Bandeira de porta, em madeira pintada</v>
      </c>
      <c r="C4947" s="41"/>
      <c r="D4947" s="26" t="str">
        <f>TRIM(INDEX(Orçamentária!C:C,MATCH(Composições!A4947,Orçamentária!A:A,0),1))</f>
        <v>m2</v>
      </c>
      <c r="E4947" s="27"/>
      <c r="F4947" s="42" t="s">
        <v>558</v>
      </c>
      <c r="G4947" s="28" t="str">
        <f>IF(ISNUMBER(F4947),E4947*F4947,"")</f>
        <v/>
      </c>
      <c r="H4947" s="29"/>
      <c r="I4947" s="30"/>
      <c r="J4947" s="155">
        <v>0</v>
      </c>
    </row>
    <row r="4948" spans="1:10" hidden="1" x14ac:dyDescent="0.25">
      <c r="A4948" s="190"/>
      <c r="B4948" s="203"/>
      <c r="C4948" s="32"/>
      <c r="D4948" s="32"/>
      <c r="E4948" s="33"/>
      <c r="F4948" s="43" t="s">
        <v>558</v>
      </c>
      <c r="G4948" s="31" t="str">
        <f>IF(ISNUMBER(F4948),E4948*F4948,"")</f>
        <v/>
      </c>
      <c r="H4948" s="35"/>
      <c r="I4948" s="31"/>
      <c r="J4948" s="155">
        <v>0</v>
      </c>
    </row>
    <row r="4949" spans="1:10" ht="51" hidden="1" x14ac:dyDescent="0.25">
      <c r="A4949" s="190"/>
      <c r="B4949" s="203"/>
      <c r="C4949" s="36" t="s">
        <v>3823</v>
      </c>
      <c r="D4949" s="47" t="s">
        <v>292</v>
      </c>
      <c r="E4949" s="37">
        <f>1/(0.8*2.1)</f>
        <v>0.59523809523809523</v>
      </c>
      <c r="F4949" s="34">
        <v>235.44799999999998</v>
      </c>
      <c r="G4949" s="34">
        <f>IF(ISNUMBER(F4949),E4949*F4949,"")</f>
        <v>140.14761904761903</v>
      </c>
      <c r="H4949" s="39">
        <f>SUM(G4949:G4954)</f>
        <v>203.78058459761903</v>
      </c>
      <c r="I4949" s="40"/>
      <c r="J4949" s="155">
        <v>0</v>
      </c>
    </row>
    <row r="4950" spans="1:10" hidden="1" x14ac:dyDescent="0.25">
      <c r="A4950" s="190"/>
      <c r="B4950" s="203"/>
      <c r="C4950" s="36" t="s">
        <v>3336</v>
      </c>
      <c r="D4950" s="47" t="s">
        <v>513</v>
      </c>
      <c r="E4950" s="37">
        <f>1/0.8</f>
        <v>1.25</v>
      </c>
      <c r="F4950" s="31">
        <v>19.323</v>
      </c>
      <c r="G4950" s="34">
        <f>IF(ISNUMBER(F4950),E4950*F4950,"")</f>
        <v>24.153750000000002</v>
      </c>
      <c r="H4950" s="35"/>
      <c r="I4950" s="31"/>
      <c r="J4950" s="155">
        <v>0</v>
      </c>
    </row>
    <row r="4951" spans="1:10" hidden="1" x14ac:dyDescent="0.25">
      <c r="A4951" s="190"/>
      <c r="B4951" s="203"/>
      <c r="C4951" s="36" t="s">
        <v>741</v>
      </c>
      <c r="D4951" s="47" t="s">
        <v>742</v>
      </c>
      <c r="E4951" s="37">
        <f>ROUND(1.546*0.8/(0.8*2.1),4)</f>
        <v>0.73619999999999997</v>
      </c>
      <c r="F4951" s="31">
        <v>22.533999999999999</v>
      </c>
      <c r="G4951" s="34">
        <f>IF(ISNUMBER(F4951),E4951*F4951,"")</f>
        <v>16.589530799999999</v>
      </c>
      <c r="H4951" s="35"/>
      <c r="I4951" s="31"/>
      <c r="J4951" s="155">
        <v>0</v>
      </c>
    </row>
    <row r="4952" spans="1:10" hidden="1" x14ac:dyDescent="0.25">
      <c r="A4952" s="190"/>
      <c r="B4952" s="203"/>
      <c r="C4952" s="36" t="s">
        <v>743</v>
      </c>
      <c r="D4952" s="47" t="s">
        <v>742</v>
      </c>
      <c r="E4952" s="37">
        <f>ROUND(0.773*0.8/(0.8*2.1),4)</f>
        <v>0.36809999999999998</v>
      </c>
      <c r="F4952" s="31">
        <v>16.729499999999998</v>
      </c>
      <c r="G4952" s="34">
        <f>IF(ISNUMBER(F4952),E4952*F4952,"")</f>
        <v>6.1581289499999992</v>
      </c>
      <c r="H4952" s="35"/>
      <c r="I4952" s="31"/>
      <c r="J4952" s="155">
        <v>0</v>
      </c>
    </row>
    <row r="4953" spans="1:10" hidden="1" x14ac:dyDescent="0.25">
      <c r="A4953" s="190"/>
      <c r="B4953" s="203"/>
      <c r="C4953" s="36" t="s">
        <v>214</v>
      </c>
      <c r="D4953" s="50" t="s">
        <v>103</v>
      </c>
      <c r="E4953" s="37">
        <v>0.108</v>
      </c>
      <c r="F4953" s="34" t="s">
        <v>558</v>
      </c>
      <c r="G4953" s="31" t="str">
        <f>IF(ISNUMBER(F4953),E4953*F4953,"")</f>
        <v/>
      </c>
      <c r="H4953" s="35"/>
      <c r="I4953" s="31"/>
      <c r="J4953" s="155">
        <v>0</v>
      </c>
    </row>
    <row r="4954" spans="1:10" hidden="1" x14ac:dyDescent="0.25">
      <c r="A4954" s="190"/>
      <c r="B4954" s="203"/>
      <c r="C4954" s="36" t="s">
        <v>101</v>
      </c>
      <c r="D4954" s="36" t="s">
        <v>12</v>
      </c>
      <c r="E4954" s="37">
        <v>0.70760000000000001</v>
      </c>
      <c r="F4954" s="31">
        <v>23.645499999999998</v>
      </c>
      <c r="G4954" s="31">
        <f>IF(ISNUMBER(F4954),E4954*F4954,"")</f>
        <v>16.731555799999999</v>
      </c>
      <c r="H4954" s="35"/>
      <c r="I4954" s="31"/>
      <c r="J4954" s="155">
        <v>0</v>
      </c>
    </row>
    <row r="4955" spans="1:10" hidden="1" x14ac:dyDescent="0.25">
      <c r="A4955" s="190"/>
      <c r="B4955" s="203"/>
      <c r="C4955" s="36"/>
      <c r="D4955" s="36"/>
      <c r="E4955" s="37"/>
      <c r="F4955" s="31"/>
      <c r="G4955" s="31"/>
      <c r="H4955" s="35"/>
      <c r="I4955" s="31"/>
      <c r="J4955" s="155">
        <v>0</v>
      </c>
    </row>
    <row r="4956" spans="1:10" ht="38.25" hidden="1" x14ac:dyDescent="0.25">
      <c r="A4956" s="190"/>
      <c r="B4956" s="203"/>
      <c r="C4956" s="52" t="s">
        <v>3481</v>
      </c>
      <c r="D4956" s="36"/>
      <c r="E4956" s="37"/>
      <c r="F4956" s="31"/>
      <c r="G4956" s="31"/>
      <c r="H4956" s="35"/>
      <c r="I4956" s="31"/>
      <c r="J4956" s="155">
        <v>0</v>
      </c>
    </row>
    <row r="4957" spans="1:10" hidden="1" x14ac:dyDescent="0.25">
      <c r="A4957" s="190"/>
      <c r="B4957" s="203"/>
      <c r="C4957" s="36"/>
      <c r="D4957" s="47"/>
      <c r="E4957" s="37"/>
      <c r="F4957" s="34" t="s">
        <v>558</v>
      </c>
      <c r="G4957" s="34" t="str">
        <f>IF(ISNUMBER(F4957),E4957*F4957,"")</f>
        <v/>
      </c>
      <c r="H4957" s="35"/>
      <c r="I4957" s="31"/>
      <c r="J4957" s="155">
        <v>0</v>
      </c>
    </row>
    <row r="4958" spans="1:10" ht="15.75" hidden="1" thickBot="1" x14ac:dyDescent="0.3">
      <c r="A4958" s="180" t="s">
        <v>3700</v>
      </c>
      <c r="B4958" s="186" t="str">
        <f>INDEX(Orçamentária!A:B,MATCH(Composições!A4958,Orçamentária!A:A,0),2)</f>
        <v>Cambota elastomérica de 8”</v>
      </c>
      <c r="C4958" s="41"/>
      <c r="D4958" s="26" t="str">
        <f>TRIM(INDEX(Orçamentária!C:C,MATCH(Composições!A4958,Orçamentária!A:A,0),1))</f>
        <v>un</v>
      </c>
      <c r="E4958" s="27"/>
      <c r="F4958" s="49" t="s">
        <v>558</v>
      </c>
      <c r="G4958" s="28" t="str">
        <f>IF(ISNUMBER(F4958),E4958*F4958,"")</f>
        <v/>
      </c>
      <c r="H4958" s="29"/>
      <c r="I4958" s="30"/>
      <c r="J4958" s="155">
        <v>0</v>
      </c>
    </row>
    <row r="4959" spans="1:10" hidden="1" x14ac:dyDescent="0.25">
      <c r="A4959" s="181"/>
      <c r="B4959" s="202"/>
      <c r="C4959" s="32"/>
      <c r="D4959" s="32"/>
      <c r="E4959" s="33"/>
      <c r="F4959" s="54" t="s">
        <v>558</v>
      </c>
      <c r="G4959" s="54" t="str">
        <f>IF(ISNUMBER(F4959),E4959*F4959,"")</f>
        <v/>
      </c>
      <c r="H4959" s="73"/>
      <c r="I4959" s="74"/>
      <c r="J4959" s="155">
        <v>0</v>
      </c>
    </row>
    <row r="4960" spans="1:10" ht="25.5" hidden="1" x14ac:dyDescent="0.25">
      <c r="A4960" s="181"/>
      <c r="B4960" s="202"/>
      <c r="C4960" s="36" t="s">
        <v>993</v>
      </c>
      <c r="D4960" s="47" t="s">
        <v>742</v>
      </c>
      <c r="E4960" s="37">
        <v>0.93</v>
      </c>
      <c r="F4960" s="31">
        <v>17.3185</v>
      </c>
      <c r="G4960" s="54">
        <f>IF(ISNUMBER(F4960),E4960*F4960,"")</f>
        <v>16.106205000000003</v>
      </c>
      <c r="H4960" s="39">
        <f>SUM(G4960:G4962)</f>
        <v>36.788940000000004</v>
      </c>
      <c r="I4960" s="40"/>
      <c r="J4960" s="155">
        <v>0</v>
      </c>
    </row>
    <row r="4961" spans="1:10" ht="25.5" hidden="1" x14ac:dyDescent="0.25">
      <c r="A4961" s="181"/>
      <c r="B4961" s="202"/>
      <c r="C4961" s="36" t="s">
        <v>994</v>
      </c>
      <c r="D4961" s="36" t="s">
        <v>742</v>
      </c>
      <c r="E4961" s="37">
        <v>0.93</v>
      </c>
      <c r="F4961" s="31">
        <v>22.2395</v>
      </c>
      <c r="G4961" s="54">
        <f>IF(ISNUMBER(F4961),E4961*F4961,"")</f>
        <v>20.682735000000001</v>
      </c>
      <c r="H4961" s="73"/>
      <c r="I4961" s="74"/>
      <c r="J4961" s="155">
        <v>0</v>
      </c>
    </row>
    <row r="4962" spans="1:10" hidden="1" x14ac:dyDescent="0.25">
      <c r="A4962" s="181"/>
      <c r="B4962" s="202"/>
      <c r="C4962" s="36" t="s">
        <v>3760</v>
      </c>
      <c r="D4962" s="36" t="s">
        <v>292</v>
      </c>
      <c r="E4962" s="37">
        <v>1</v>
      </c>
      <c r="F4962" s="31" t="s">
        <v>558</v>
      </c>
      <c r="G4962" s="54" t="str">
        <f>IF(ISNUMBER(F4962),E4962*F4962,"")</f>
        <v/>
      </c>
      <c r="H4962" s="73"/>
      <c r="I4962" s="74"/>
      <c r="J4962" s="155">
        <v>0</v>
      </c>
    </row>
    <row r="4963" spans="1:10" hidden="1" x14ac:dyDescent="0.25">
      <c r="A4963" s="181"/>
      <c r="B4963" s="202"/>
      <c r="C4963" s="36"/>
      <c r="D4963" s="47"/>
      <c r="E4963" s="37"/>
      <c r="F4963" s="54" t="s">
        <v>558</v>
      </c>
      <c r="G4963" s="54" t="str">
        <f>IF(ISNUMBER(F4963),E4963*F4963,"")</f>
        <v/>
      </c>
      <c r="H4963" s="73"/>
      <c r="I4963" s="74"/>
      <c r="J4963" s="155">
        <v>0</v>
      </c>
    </row>
    <row r="4964" spans="1:10" ht="15.75" hidden="1" thickBot="1" x14ac:dyDescent="0.3">
      <c r="A4964" s="180" t="s">
        <v>3702</v>
      </c>
      <c r="B4964" s="186" t="str">
        <f>INDEX(Orçamentária!A:B,MATCH(Composições!A4964,Orçamentária!A:A,0),2)</f>
        <v>Curva raio curto 45° em aço carbono para solda de topo DN 125 (5" NPS)</v>
      </c>
      <c r="C4964" s="41"/>
      <c r="D4964" s="26" t="str">
        <f>TRIM(INDEX(Orçamentária!C:C,MATCH(Composições!A4964,Orçamentária!A:A,0),1))</f>
        <v>un</v>
      </c>
      <c r="E4964" s="27"/>
      <c r="F4964" s="49" t="s">
        <v>558</v>
      </c>
      <c r="G4964" s="28" t="str">
        <f>IF(ISNUMBER(F4964),E4964*F4964,"")</f>
        <v/>
      </c>
      <c r="H4964" s="29"/>
      <c r="I4964" s="30"/>
      <c r="J4964" s="155">
        <v>0</v>
      </c>
    </row>
    <row r="4965" spans="1:10" hidden="1" x14ac:dyDescent="0.25">
      <c r="A4965" s="181"/>
      <c r="B4965" s="202"/>
      <c r="C4965" s="32"/>
      <c r="D4965" s="32"/>
      <c r="E4965" s="33"/>
      <c r="F4965" s="54" t="s">
        <v>558</v>
      </c>
      <c r="G4965" s="54" t="str">
        <f>IF(ISNUMBER(F4965),E4965*F4965,"")</f>
        <v/>
      </c>
      <c r="H4965" s="73"/>
      <c r="I4965" s="74"/>
      <c r="J4965" s="155">
        <v>0</v>
      </c>
    </row>
    <row r="4966" spans="1:10" hidden="1" x14ac:dyDescent="0.25">
      <c r="A4966" s="181"/>
      <c r="B4966" s="202"/>
      <c r="C4966" s="36" t="s">
        <v>1234</v>
      </c>
      <c r="D4966" s="47" t="s">
        <v>938</v>
      </c>
      <c r="E4966" s="37">
        <f>ROUND(0.089*1.3,4)</f>
        <v>0.1157</v>
      </c>
      <c r="F4966" s="31">
        <v>18.1355</v>
      </c>
      <c r="G4966" s="54">
        <f>IF(ISNUMBER(F4966),E4966*F4966,"")</f>
        <v>2.09827735</v>
      </c>
      <c r="H4966" s="39">
        <f>SUM(G4966:G4970)</f>
        <v>77.994461349999995</v>
      </c>
      <c r="I4966" s="40"/>
      <c r="J4966" s="155">
        <v>0</v>
      </c>
    </row>
    <row r="4967" spans="1:10" ht="25.5" hidden="1" x14ac:dyDescent="0.25">
      <c r="A4967" s="181"/>
      <c r="B4967" s="202"/>
      <c r="C4967" s="36" t="s">
        <v>3761</v>
      </c>
      <c r="D4967" s="36" t="s">
        <v>292</v>
      </c>
      <c r="E4967" s="37">
        <v>1</v>
      </c>
      <c r="F4967" s="31" t="s">
        <v>558</v>
      </c>
      <c r="G4967" s="54" t="str">
        <f>IF(ISNUMBER(F4967),E4967*F4967,"")</f>
        <v/>
      </c>
      <c r="H4967" s="73"/>
      <c r="I4967" s="74"/>
      <c r="J4967" s="155">
        <v>0</v>
      </c>
    </row>
    <row r="4968" spans="1:10" ht="25.5" hidden="1" x14ac:dyDescent="0.25">
      <c r="A4968" s="181"/>
      <c r="B4968" s="202"/>
      <c r="C4968" s="36" t="s">
        <v>993</v>
      </c>
      <c r="D4968" s="47" t="s">
        <v>742</v>
      </c>
      <c r="E4968" s="37">
        <f>ROUND(0.93*1.3,4)</f>
        <v>1.2090000000000001</v>
      </c>
      <c r="F4968" s="31">
        <v>17.3185</v>
      </c>
      <c r="G4968" s="54">
        <f>IF(ISNUMBER(F4968),E4968*F4968,"")</f>
        <v>20.938066500000001</v>
      </c>
      <c r="H4968" s="73"/>
      <c r="I4968" s="74"/>
      <c r="J4968" s="155">
        <v>0</v>
      </c>
    </row>
    <row r="4969" spans="1:10" ht="25.5" hidden="1" x14ac:dyDescent="0.25">
      <c r="A4969" s="181"/>
      <c r="B4969" s="202"/>
      <c r="C4969" s="36" t="s">
        <v>994</v>
      </c>
      <c r="D4969" s="36" t="s">
        <v>742</v>
      </c>
      <c r="E4969" s="37">
        <f>ROUND(0.93*1.3,4)</f>
        <v>1.2090000000000001</v>
      </c>
      <c r="F4969" s="31">
        <v>22.2395</v>
      </c>
      <c r="G4969" s="54">
        <f>IF(ISNUMBER(F4969),E4969*F4969,"")</f>
        <v>26.887555500000001</v>
      </c>
      <c r="H4969" s="73"/>
      <c r="I4969" s="74"/>
      <c r="J4969" s="155">
        <v>0</v>
      </c>
    </row>
    <row r="4970" spans="1:10" hidden="1" x14ac:dyDescent="0.25">
      <c r="A4970" s="181"/>
      <c r="B4970" s="202"/>
      <c r="C4970" s="36" t="s">
        <v>3312</v>
      </c>
      <c r="D4970" s="36" t="s">
        <v>742</v>
      </c>
      <c r="E4970" s="37">
        <f>ROUND(0.93*1.3,4)</f>
        <v>1.2090000000000001</v>
      </c>
      <c r="F4970" s="54">
        <v>23.218</v>
      </c>
      <c r="G4970" s="54">
        <f>IF(ISNUMBER(F4970),E4970*F4970,"")</f>
        <v>28.070562000000002</v>
      </c>
      <c r="H4970" s="73"/>
      <c r="I4970" s="74"/>
      <c r="J4970" s="155">
        <v>0</v>
      </c>
    </row>
    <row r="4971" spans="1:10" hidden="1" x14ac:dyDescent="0.25">
      <c r="A4971" s="181"/>
      <c r="B4971" s="202"/>
      <c r="C4971" s="36"/>
      <c r="D4971" s="47"/>
      <c r="E4971" s="37"/>
      <c r="F4971" s="54" t="s">
        <v>558</v>
      </c>
      <c r="G4971" s="54" t="str">
        <f>IF(ISNUMBER(F4971),E4971*F4971,"")</f>
        <v/>
      </c>
      <c r="H4971" s="73"/>
      <c r="I4971" s="74"/>
      <c r="J4971" s="155">
        <v>0</v>
      </c>
    </row>
    <row r="4972" spans="1:10" ht="15.75" hidden="1" thickBot="1" x14ac:dyDescent="0.3">
      <c r="A4972" s="180" t="s">
        <v>3704</v>
      </c>
      <c r="B4972" s="186" t="str">
        <f>INDEX(Orçamentária!A:B,MATCH(Composições!A4972,Orçamentária!A:A,0),2)</f>
        <v>Curva raio curto 90° em aço carbono para solda de topo DN 125 (5" NPS)</v>
      </c>
      <c r="C4972" s="41"/>
      <c r="D4972" s="26" t="str">
        <f>TRIM(INDEX(Orçamentária!C:C,MATCH(Composições!A4972,Orçamentária!A:A,0),1))</f>
        <v>un</v>
      </c>
      <c r="E4972" s="27"/>
      <c r="F4972" s="49" t="s">
        <v>558</v>
      </c>
      <c r="G4972" s="28" t="str">
        <f>IF(ISNUMBER(F4972),E4972*F4972,"")</f>
        <v/>
      </c>
      <c r="H4972" s="29"/>
      <c r="I4972" s="30"/>
      <c r="J4972" s="155">
        <v>0</v>
      </c>
    </row>
    <row r="4973" spans="1:10" hidden="1" x14ac:dyDescent="0.25">
      <c r="A4973" s="181"/>
      <c r="B4973" s="202"/>
      <c r="C4973" s="32"/>
      <c r="D4973" s="32"/>
      <c r="E4973" s="33"/>
      <c r="F4973" s="54" t="s">
        <v>558</v>
      </c>
      <c r="G4973" s="54" t="str">
        <f>IF(ISNUMBER(F4973),E4973*F4973,"")</f>
        <v/>
      </c>
      <c r="H4973" s="73"/>
      <c r="I4973" s="74"/>
      <c r="J4973" s="155">
        <v>0</v>
      </c>
    </row>
    <row r="4974" spans="1:10" hidden="1" x14ac:dyDescent="0.25">
      <c r="A4974" s="181"/>
      <c r="B4974" s="202"/>
      <c r="C4974" s="36" t="s">
        <v>1234</v>
      </c>
      <c r="D4974" s="47" t="s">
        <v>938</v>
      </c>
      <c r="E4974" s="37">
        <f>ROUND(0.089*1.3,4)</f>
        <v>0.1157</v>
      </c>
      <c r="F4974" s="31">
        <v>18.1355</v>
      </c>
      <c r="G4974" s="54">
        <f>IF(ISNUMBER(F4974),E4974*F4974,"")</f>
        <v>2.09827735</v>
      </c>
      <c r="H4974" s="39">
        <f>SUM(G4974:G4978)</f>
        <v>77.994461349999995</v>
      </c>
      <c r="I4974" s="40"/>
      <c r="J4974" s="155">
        <v>0</v>
      </c>
    </row>
    <row r="4975" spans="1:10" ht="25.5" hidden="1" x14ac:dyDescent="0.25">
      <c r="A4975" s="181"/>
      <c r="B4975" s="202"/>
      <c r="C4975" s="36" t="s">
        <v>3762</v>
      </c>
      <c r="D4975" s="36" t="s">
        <v>292</v>
      </c>
      <c r="E4975" s="37">
        <v>1</v>
      </c>
      <c r="F4975" s="31" t="s">
        <v>558</v>
      </c>
      <c r="G4975" s="54" t="str">
        <f>IF(ISNUMBER(F4975),E4975*F4975,"")</f>
        <v/>
      </c>
      <c r="H4975" s="73"/>
      <c r="I4975" s="74"/>
      <c r="J4975" s="155">
        <v>0</v>
      </c>
    </row>
    <row r="4976" spans="1:10" ht="25.5" hidden="1" x14ac:dyDescent="0.25">
      <c r="A4976" s="181"/>
      <c r="B4976" s="202"/>
      <c r="C4976" s="36" t="s">
        <v>993</v>
      </c>
      <c r="D4976" s="47" t="s">
        <v>742</v>
      </c>
      <c r="E4976" s="37">
        <f>ROUND(0.93*1.3,4)</f>
        <v>1.2090000000000001</v>
      </c>
      <c r="F4976" s="31">
        <v>17.3185</v>
      </c>
      <c r="G4976" s="54">
        <f>IF(ISNUMBER(F4976),E4976*F4976,"")</f>
        <v>20.938066500000001</v>
      </c>
      <c r="H4976" s="73"/>
      <c r="I4976" s="74"/>
      <c r="J4976" s="155">
        <v>0</v>
      </c>
    </row>
    <row r="4977" spans="1:10" ht="25.5" hidden="1" x14ac:dyDescent="0.25">
      <c r="A4977" s="181"/>
      <c r="B4977" s="202"/>
      <c r="C4977" s="36" t="s">
        <v>994</v>
      </c>
      <c r="D4977" s="36" t="s">
        <v>742</v>
      </c>
      <c r="E4977" s="37">
        <f>ROUND(0.93*1.3,4)</f>
        <v>1.2090000000000001</v>
      </c>
      <c r="F4977" s="31">
        <v>22.2395</v>
      </c>
      <c r="G4977" s="54">
        <f>IF(ISNUMBER(F4977),E4977*F4977,"")</f>
        <v>26.887555500000001</v>
      </c>
      <c r="H4977" s="73"/>
      <c r="I4977" s="74"/>
      <c r="J4977" s="155">
        <v>0</v>
      </c>
    </row>
    <row r="4978" spans="1:10" hidden="1" x14ac:dyDescent="0.25">
      <c r="A4978" s="181"/>
      <c r="B4978" s="202"/>
      <c r="C4978" s="36" t="s">
        <v>3312</v>
      </c>
      <c r="D4978" s="36" t="s">
        <v>742</v>
      </c>
      <c r="E4978" s="37">
        <f>ROUND(0.93*1.3,4)</f>
        <v>1.2090000000000001</v>
      </c>
      <c r="F4978" s="54">
        <v>23.218</v>
      </c>
      <c r="G4978" s="54">
        <f>IF(ISNUMBER(F4978),E4978*F4978,"")</f>
        <v>28.070562000000002</v>
      </c>
      <c r="H4978" s="73"/>
      <c r="I4978" s="74"/>
      <c r="J4978" s="155">
        <v>0</v>
      </c>
    </row>
    <row r="4979" spans="1:10" hidden="1" x14ac:dyDescent="0.25">
      <c r="A4979" s="181"/>
      <c r="B4979" s="202"/>
      <c r="C4979" s="36"/>
      <c r="D4979" s="47"/>
      <c r="E4979" s="37"/>
      <c r="F4979" s="54" t="s">
        <v>558</v>
      </c>
      <c r="G4979" s="54" t="str">
        <f>IF(ISNUMBER(F4979),E4979*F4979,"")</f>
        <v/>
      </c>
      <c r="H4979" s="73"/>
      <c r="I4979" s="74"/>
      <c r="J4979" s="155">
        <v>0</v>
      </c>
    </row>
    <row r="4980" spans="1:10" ht="15.75" hidden="1" thickBot="1" x14ac:dyDescent="0.3">
      <c r="A4980" s="180" t="s">
        <v>3706</v>
      </c>
      <c r="B4980" s="186" t="str">
        <f>INDEX(Orçamentária!A:B,MATCH(Composições!A4980,Orçamentária!A:A,0),2)</f>
        <v>Curva raio longo 90° em aço carbono para solda de topo DN 125 (5" NPS)</v>
      </c>
      <c r="C4980" s="41"/>
      <c r="D4980" s="26" t="str">
        <f>TRIM(INDEX(Orçamentária!C:C,MATCH(Composições!A4980,Orçamentária!A:A,0),1))</f>
        <v>un</v>
      </c>
      <c r="E4980" s="27"/>
      <c r="F4980" s="49" t="s">
        <v>558</v>
      </c>
      <c r="G4980" s="28" t="str">
        <f>IF(ISNUMBER(F4980),E4980*F4980,"")</f>
        <v/>
      </c>
      <c r="H4980" s="29"/>
      <c r="I4980" s="30"/>
      <c r="J4980" s="155">
        <v>0</v>
      </c>
    </row>
    <row r="4981" spans="1:10" hidden="1" x14ac:dyDescent="0.25">
      <c r="A4981" s="181"/>
      <c r="B4981" s="202"/>
      <c r="C4981" s="32"/>
      <c r="D4981" s="32"/>
      <c r="E4981" s="33"/>
      <c r="F4981" s="54" t="s">
        <v>558</v>
      </c>
      <c r="G4981" s="54" t="str">
        <f>IF(ISNUMBER(F4981),E4981*F4981,"")</f>
        <v/>
      </c>
      <c r="H4981" s="73"/>
      <c r="I4981" s="74"/>
      <c r="J4981" s="155">
        <v>0</v>
      </c>
    </row>
    <row r="4982" spans="1:10" hidden="1" x14ac:dyDescent="0.25">
      <c r="A4982" s="181"/>
      <c r="B4982" s="202"/>
      <c r="C4982" s="36" t="s">
        <v>1234</v>
      </c>
      <c r="D4982" s="47" t="s">
        <v>938</v>
      </c>
      <c r="E4982" s="37">
        <f>ROUND(0.089*1.3,4)</f>
        <v>0.1157</v>
      </c>
      <c r="F4982" s="31">
        <v>18.1355</v>
      </c>
      <c r="G4982" s="54">
        <f>IF(ISNUMBER(F4982),E4982*F4982,"")</f>
        <v>2.09827735</v>
      </c>
      <c r="H4982" s="39">
        <f>SUM(G4982:G4986)</f>
        <v>77.994461349999995</v>
      </c>
      <c r="I4982" s="40"/>
      <c r="J4982" s="155">
        <v>0</v>
      </c>
    </row>
    <row r="4983" spans="1:10" ht="25.5" hidden="1" x14ac:dyDescent="0.25">
      <c r="A4983" s="181"/>
      <c r="B4983" s="202"/>
      <c r="C4983" s="36" t="s">
        <v>3763</v>
      </c>
      <c r="D4983" s="36" t="s">
        <v>292</v>
      </c>
      <c r="E4983" s="37">
        <v>1</v>
      </c>
      <c r="F4983" s="31" t="s">
        <v>558</v>
      </c>
      <c r="G4983" s="54" t="str">
        <f>IF(ISNUMBER(F4983),E4983*F4983,"")</f>
        <v/>
      </c>
      <c r="H4983" s="73"/>
      <c r="I4983" s="74"/>
      <c r="J4983" s="155">
        <v>0</v>
      </c>
    </row>
    <row r="4984" spans="1:10" ht="25.5" hidden="1" x14ac:dyDescent="0.25">
      <c r="A4984" s="181"/>
      <c r="B4984" s="202"/>
      <c r="C4984" s="36" t="s">
        <v>993</v>
      </c>
      <c r="D4984" s="47" t="s">
        <v>742</v>
      </c>
      <c r="E4984" s="37">
        <f>ROUND(0.93*1.3,4)</f>
        <v>1.2090000000000001</v>
      </c>
      <c r="F4984" s="31">
        <v>17.3185</v>
      </c>
      <c r="G4984" s="54">
        <f>IF(ISNUMBER(F4984),E4984*F4984,"")</f>
        <v>20.938066500000001</v>
      </c>
      <c r="H4984" s="73"/>
      <c r="I4984" s="74"/>
      <c r="J4984" s="155">
        <v>0</v>
      </c>
    </row>
    <row r="4985" spans="1:10" ht="25.5" hidden="1" x14ac:dyDescent="0.25">
      <c r="A4985" s="181"/>
      <c r="B4985" s="202"/>
      <c r="C4985" s="36" t="s">
        <v>994</v>
      </c>
      <c r="D4985" s="36" t="s">
        <v>742</v>
      </c>
      <c r="E4985" s="37">
        <f>ROUND(0.93*1.3,4)</f>
        <v>1.2090000000000001</v>
      </c>
      <c r="F4985" s="31">
        <v>22.2395</v>
      </c>
      <c r="G4985" s="54">
        <f>IF(ISNUMBER(F4985),E4985*F4985,"")</f>
        <v>26.887555500000001</v>
      </c>
      <c r="H4985" s="73"/>
      <c r="I4985" s="74"/>
      <c r="J4985" s="155">
        <v>0</v>
      </c>
    </row>
    <row r="4986" spans="1:10" hidden="1" x14ac:dyDescent="0.25">
      <c r="A4986" s="181"/>
      <c r="B4986" s="202"/>
      <c r="C4986" s="36" t="s">
        <v>3312</v>
      </c>
      <c r="D4986" s="36" t="s">
        <v>742</v>
      </c>
      <c r="E4986" s="37">
        <f>ROUND(0.93*1.3,4)</f>
        <v>1.2090000000000001</v>
      </c>
      <c r="F4986" s="54">
        <v>23.218</v>
      </c>
      <c r="G4986" s="54">
        <f>IF(ISNUMBER(F4986),E4986*F4986,"")</f>
        <v>28.070562000000002</v>
      </c>
      <c r="H4986" s="73"/>
      <c r="I4986" s="74"/>
      <c r="J4986" s="155">
        <v>0</v>
      </c>
    </row>
    <row r="4987" spans="1:10" hidden="1" x14ac:dyDescent="0.25">
      <c r="A4987" s="181"/>
      <c r="B4987" s="202"/>
      <c r="C4987" s="36"/>
      <c r="D4987" s="47"/>
      <c r="E4987" s="37"/>
      <c r="F4987" s="54" t="s">
        <v>558</v>
      </c>
      <c r="G4987" s="54" t="str">
        <f>IF(ISNUMBER(F4987),E4987*F4987,"")</f>
        <v/>
      </c>
      <c r="H4987" s="73"/>
      <c r="I4987" s="74"/>
      <c r="J4987" s="155">
        <v>0</v>
      </c>
    </row>
    <row r="4988" spans="1:10" ht="15.75" hidden="1" thickBot="1" x14ac:dyDescent="0.3">
      <c r="A4988" s="180" t="s">
        <v>3708</v>
      </c>
      <c r="B4988" s="186" t="str">
        <f>INDEX(Orçamentária!A:B,MATCH(Composições!A4988,Orçamentária!A:A,0),2)</f>
        <v>Curva raio longo 90° em aço carbono para solda de topo DN 200 (8" NPS)</v>
      </c>
      <c r="C4988" s="41"/>
      <c r="D4988" s="26" t="str">
        <f>TRIM(INDEX(Orçamentária!C:C,MATCH(Composições!A4988,Orçamentária!A:A,0),1))</f>
        <v>un</v>
      </c>
      <c r="E4988" s="27"/>
      <c r="F4988" s="49" t="s">
        <v>558</v>
      </c>
      <c r="G4988" s="28" t="str">
        <f>IF(ISNUMBER(F4988),E4988*F4988,"")</f>
        <v/>
      </c>
      <c r="H4988" s="29"/>
      <c r="I4988" s="30"/>
      <c r="J4988" s="155">
        <v>0</v>
      </c>
    </row>
    <row r="4989" spans="1:10" hidden="1" x14ac:dyDescent="0.25">
      <c r="A4989" s="181"/>
      <c r="B4989" s="202"/>
      <c r="C4989" s="32"/>
      <c r="D4989" s="32"/>
      <c r="E4989" s="33"/>
      <c r="F4989" s="54" t="s">
        <v>558</v>
      </c>
      <c r="G4989" s="54" t="str">
        <f>IF(ISNUMBER(F4989),E4989*F4989,"")</f>
        <v/>
      </c>
      <c r="H4989" s="73"/>
      <c r="I4989" s="74"/>
      <c r="J4989" s="155">
        <v>0</v>
      </c>
    </row>
    <row r="4990" spans="1:10" hidden="1" x14ac:dyDescent="0.25">
      <c r="A4990" s="181"/>
      <c r="B4990" s="202"/>
      <c r="C4990" s="36" t="s">
        <v>1234</v>
      </c>
      <c r="D4990" s="47" t="s">
        <v>938</v>
      </c>
      <c r="E4990" s="37">
        <f>ROUND(0.089*1.5,4)</f>
        <v>0.13350000000000001</v>
      </c>
      <c r="F4990" s="31">
        <v>18.1355</v>
      </c>
      <c r="G4990" s="54">
        <f>IF(ISNUMBER(F4990),E4990*F4990,"")</f>
        <v>2.4210892500000001</v>
      </c>
      <c r="H4990" s="39">
        <f>SUM(G4990:G4994)</f>
        <v>89.993609250000006</v>
      </c>
      <c r="I4990" s="40"/>
      <c r="J4990" s="155">
        <v>0</v>
      </c>
    </row>
    <row r="4991" spans="1:10" ht="25.5" hidden="1" x14ac:dyDescent="0.25">
      <c r="A4991" s="181"/>
      <c r="B4991" s="202"/>
      <c r="C4991" s="36" t="s">
        <v>3764</v>
      </c>
      <c r="D4991" s="36" t="s">
        <v>292</v>
      </c>
      <c r="E4991" s="37">
        <v>1</v>
      </c>
      <c r="F4991" s="31" t="s">
        <v>558</v>
      </c>
      <c r="G4991" s="54" t="str">
        <f>IF(ISNUMBER(F4991),E4991*F4991,"")</f>
        <v/>
      </c>
      <c r="H4991" s="73"/>
      <c r="I4991" s="74"/>
      <c r="J4991" s="155">
        <v>0</v>
      </c>
    </row>
    <row r="4992" spans="1:10" ht="25.5" hidden="1" x14ac:dyDescent="0.25">
      <c r="A4992" s="181"/>
      <c r="B4992" s="202"/>
      <c r="C4992" s="36" t="s">
        <v>993</v>
      </c>
      <c r="D4992" s="47" t="s">
        <v>742</v>
      </c>
      <c r="E4992" s="37">
        <f>ROUND(0.93*1.5,4)</f>
        <v>1.395</v>
      </c>
      <c r="F4992" s="31">
        <v>17.3185</v>
      </c>
      <c r="G4992" s="54">
        <f>IF(ISNUMBER(F4992),E4992*F4992,"")</f>
        <v>24.159307500000001</v>
      </c>
      <c r="H4992" s="73"/>
      <c r="I4992" s="74"/>
      <c r="J4992" s="155">
        <v>0</v>
      </c>
    </row>
    <row r="4993" spans="1:10" ht="25.5" hidden="1" x14ac:dyDescent="0.25">
      <c r="A4993" s="181"/>
      <c r="B4993" s="202"/>
      <c r="C4993" s="36" t="s">
        <v>994</v>
      </c>
      <c r="D4993" s="36" t="s">
        <v>742</v>
      </c>
      <c r="E4993" s="37">
        <f>ROUND(0.93*1.5,4)</f>
        <v>1.395</v>
      </c>
      <c r="F4993" s="31">
        <v>22.2395</v>
      </c>
      <c r="G4993" s="54">
        <f>IF(ISNUMBER(F4993),E4993*F4993,"")</f>
        <v>31.024102500000001</v>
      </c>
      <c r="H4993" s="73"/>
      <c r="I4993" s="74"/>
      <c r="J4993" s="155">
        <v>0</v>
      </c>
    </row>
    <row r="4994" spans="1:10" hidden="1" x14ac:dyDescent="0.25">
      <c r="A4994" s="181"/>
      <c r="B4994" s="202"/>
      <c r="C4994" s="36" t="s">
        <v>3312</v>
      </c>
      <c r="D4994" s="36" t="s">
        <v>742</v>
      </c>
      <c r="E4994" s="37">
        <f>ROUND(0.93*1.5,4)</f>
        <v>1.395</v>
      </c>
      <c r="F4994" s="54">
        <v>23.218</v>
      </c>
      <c r="G4994" s="54">
        <f>IF(ISNUMBER(F4994),E4994*F4994,"")</f>
        <v>32.389110000000002</v>
      </c>
      <c r="H4994" s="73"/>
      <c r="I4994" s="74"/>
      <c r="J4994" s="155">
        <v>0</v>
      </c>
    </row>
    <row r="4995" spans="1:10" hidden="1" x14ac:dyDescent="0.25">
      <c r="A4995" s="181"/>
      <c r="B4995" s="202"/>
      <c r="C4995" s="36"/>
      <c r="D4995" s="47"/>
      <c r="E4995" s="37"/>
      <c r="F4995" s="54" t="s">
        <v>558</v>
      </c>
      <c r="G4995" s="54" t="str">
        <f>IF(ISNUMBER(F4995),E4995*F4995,"")</f>
        <v/>
      </c>
      <c r="H4995" s="73"/>
      <c r="I4995" s="74"/>
      <c r="J4995" s="155">
        <v>0</v>
      </c>
    </row>
    <row r="4996" spans="1:10" ht="15.75" hidden="1" thickBot="1" x14ac:dyDescent="0.3">
      <c r="A4996" s="180" t="s">
        <v>3710</v>
      </c>
      <c r="B4996" s="186" t="str">
        <f>INDEX(Orçamentária!A:B,MATCH(Composições!A4996,Orçamentária!A:A,0),2)</f>
        <v>Eliminador de ar para líquidos DN 20 (3/4" NPS)</v>
      </c>
      <c r="C4996" s="41"/>
      <c r="D4996" s="26" t="str">
        <f>TRIM(INDEX(Orçamentária!C:C,MATCH(Composições!A4996,Orçamentária!A:A,0),1))</f>
        <v>un</v>
      </c>
      <c r="E4996" s="27"/>
      <c r="F4996" s="49" t="s">
        <v>558</v>
      </c>
      <c r="G4996" s="28" t="str">
        <f>IF(ISNUMBER(F4996),E4996*F4996,"")</f>
        <v/>
      </c>
      <c r="H4996" s="29"/>
      <c r="I4996" s="30"/>
      <c r="J4996" s="155">
        <v>0</v>
      </c>
    </row>
    <row r="4997" spans="1:10" hidden="1" x14ac:dyDescent="0.25">
      <c r="A4997" s="181"/>
      <c r="B4997" s="202"/>
      <c r="C4997" s="32"/>
      <c r="D4997" s="32"/>
      <c r="E4997" s="33"/>
      <c r="F4997" s="54" t="s">
        <v>558</v>
      </c>
      <c r="G4997" s="54" t="str">
        <f>IF(ISNUMBER(F4997),E4997*F4997,"")</f>
        <v/>
      </c>
      <c r="H4997" s="73"/>
      <c r="I4997" s="74"/>
      <c r="J4997" s="155">
        <v>0</v>
      </c>
    </row>
    <row r="4998" spans="1:10" ht="25.5" hidden="1" x14ac:dyDescent="0.25">
      <c r="A4998" s="181"/>
      <c r="B4998" s="202"/>
      <c r="C4998" s="36" t="s">
        <v>3765</v>
      </c>
      <c r="D4998" s="36" t="s">
        <v>292</v>
      </c>
      <c r="E4998" s="37">
        <v>1</v>
      </c>
      <c r="F4998" s="31" t="s">
        <v>558</v>
      </c>
      <c r="G4998" s="54" t="str">
        <f>IF(ISNUMBER(F4998),E4998*F4998,"")</f>
        <v/>
      </c>
      <c r="H4998" s="39">
        <f>SUM(G4998:G5000)</f>
        <v>15.506736</v>
      </c>
      <c r="I4998" s="40"/>
      <c r="J4998" s="155">
        <v>0</v>
      </c>
    </row>
    <row r="4999" spans="1:10" ht="25.5" hidden="1" x14ac:dyDescent="0.25">
      <c r="A4999" s="181"/>
      <c r="B4999" s="202"/>
      <c r="C4999" s="36" t="s">
        <v>993</v>
      </c>
      <c r="D4999" s="47" t="s">
        <v>742</v>
      </c>
      <c r="E4999" s="37">
        <v>0.39200000000000002</v>
      </c>
      <c r="F4999" s="31">
        <v>17.3185</v>
      </c>
      <c r="G4999" s="54">
        <f>IF(ISNUMBER(F4999),E4999*F4999,"")</f>
        <v>6.7888520000000003</v>
      </c>
      <c r="H4999" s="73"/>
      <c r="I4999" s="74"/>
      <c r="J4999" s="155">
        <v>0</v>
      </c>
    </row>
    <row r="5000" spans="1:10" ht="25.5" hidden="1" x14ac:dyDescent="0.25">
      <c r="A5000" s="181"/>
      <c r="B5000" s="202"/>
      <c r="C5000" s="36" t="s">
        <v>994</v>
      </c>
      <c r="D5000" s="36" t="s">
        <v>742</v>
      </c>
      <c r="E5000" s="37">
        <v>0.39200000000000002</v>
      </c>
      <c r="F5000" s="31">
        <v>22.2395</v>
      </c>
      <c r="G5000" s="54">
        <f>IF(ISNUMBER(F5000),E5000*F5000,"")</f>
        <v>8.7178839999999997</v>
      </c>
      <c r="H5000" s="73"/>
      <c r="I5000" s="74"/>
      <c r="J5000" s="155">
        <v>0</v>
      </c>
    </row>
    <row r="5001" spans="1:10" hidden="1" x14ac:dyDescent="0.25">
      <c r="A5001" s="181"/>
      <c r="B5001" s="202"/>
      <c r="C5001" s="36"/>
      <c r="D5001" s="47"/>
      <c r="E5001" s="37"/>
      <c r="F5001" s="54" t="s">
        <v>558</v>
      </c>
      <c r="G5001" s="54" t="str">
        <f>IF(ISNUMBER(F5001),E5001*F5001,"")</f>
        <v/>
      </c>
      <c r="H5001" s="73"/>
      <c r="I5001" s="74"/>
      <c r="J5001" s="155">
        <v>0</v>
      </c>
    </row>
    <row r="5002" spans="1:10" ht="15.75" hidden="1" thickBot="1" x14ac:dyDescent="0.3">
      <c r="A5002" s="180" t="s">
        <v>3712</v>
      </c>
      <c r="B5002" s="186" t="str">
        <f>INDEX(Orçamentária!A:B,MATCH(Composições!A5002,Orçamentária!A:A,0),2)</f>
        <v>Flange de pescoço, aço carbono, classe 150, DN 125 (5" NPS)</v>
      </c>
      <c r="C5002" s="41"/>
      <c r="D5002" s="26" t="str">
        <f>TRIM(INDEX(Orçamentária!C:C,MATCH(Composições!A5002,Orçamentária!A:A,0),1))</f>
        <v>un</v>
      </c>
      <c r="E5002" s="27"/>
      <c r="F5002" s="49" t="s">
        <v>558</v>
      </c>
      <c r="G5002" s="28" t="str">
        <f>IF(ISNUMBER(F5002),E5002*F5002,"")</f>
        <v/>
      </c>
      <c r="H5002" s="29"/>
      <c r="I5002" s="30"/>
      <c r="J5002" s="155">
        <v>0</v>
      </c>
    </row>
    <row r="5003" spans="1:10" hidden="1" x14ac:dyDescent="0.25">
      <c r="A5003" s="181"/>
      <c r="B5003" s="202"/>
      <c r="C5003" s="32"/>
      <c r="D5003" s="32"/>
      <c r="E5003" s="33"/>
      <c r="F5003" s="54" t="s">
        <v>558</v>
      </c>
      <c r="G5003" s="54" t="str">
        <f>IF(ISNUMBER(F5003),E5003*F5003,"")</f>
        <v/>
      </c>
      <c r="H5003" s="73"/>
      <c r="I5003" s="74"/>
      <c r="J5003" s="155">
        <v>0</v>
      </c>
    </row>
    <row r="5004" spans="1:10" hidden="1" x14ac:dyDescent="0.25">
      <c r="A5004" s="181"/>
      <c r="B5004" s="202"/>
      <c r="C5004" s="36" t="s">
        <v>1234</v>
      </c>
      <c r="D5004" s="47" t="s">
        <v>938</v>
      </c>
      <c r="E5004" s="37">
        <f>ROUND(0.089*1.3,4)</f>
        <v>0.1157</v>
      </c>
      <c r="F5004" s="31">
        <v>18.1355</v>
      </c>
      <c r="G5004" s="54">
        <f>IF(ISNUMBER(F5004),E5004*F5004,"")</f>
        <v>2.09827735</v>
      </c>
      <c r="H5004" s="39">
        <f>SUM(G5004:G5008)</f>
        <v>77.994461349999995</v>
      </c>
      <c r="I5004" s="40"/>
      <c r="J5004" s="155">
        <v>0</v>
      </c>
    </row>
    <row r="5005" spans="1:10" hidden="1" x14ac:dyDescent="0.25">
      <c r="A5005" s="181"/>
      <c r="B5005" s="202"/>
      <c r="C5005" s="36" t="s">
        <v>3766</v>
      </c>
      <c r="D5005" s="36" t="s">
        <v>292</v>
      </c>
      <c r="E5005" s="37">
        <v>1</v>
      </c>
      <c r="F5005" s="31" t="s">
        <v>558</v>
      </c>
      <c r="G5005" s="54" t="str">
        <f>IF(ISNUMBER(F5005),E5005*F5005,"")</f>
        <v/>
      </c>
      <c r="H5005" s="73"/>
      <c r="I5005" s="74"/>
      <c r="J5005" s="155">
        <v>0</v>
      </c>
    </row>
    <row r="5006" spans="1:10" ht="25.5" hidden="1" x14ac:dyDescent="0.25">
      <c r="A5006" s="181"/>
      <c r="B5006" s="202"/>
      <c r="C5006" s="36" t="s">
        <v>993</v>
      </c>
      <c r="D5006" s="47" t="s">
        <v>742</v>
      </c>
      <c r="E5006" s="37">
        <f>ROUND(0.93*1.3,4)</f>
        <v>1.2090000000000001</v>
      </c>
      <c r="F5006" s="31">
        <v>17.3185</v>
      </c>
      <c r="G5006" s="54">
        <f>IF(ISNUMBER(F5006),E5006*F5006,"")</f>
        <v>20.938066500000001</v>
      </c>
      <c r="H5006" s="73"/>
      <c r="I5006" s="74"/>
      <c r="J5006" s="155">
        <v>0</v>
      </c>
    </row>
    <row r="5007" spans="1:10" ht="25.5" hidden="1" x14ac:dyDescent="0.25">
      <c r="A5007" s="181"/>
      <c r="B5007" s="202"/>
      <c r="C5007" s="36" t="s">
        <v>994</v>
      </c>
      <c r="D5007" s="36" t="s">
        <v>742</v>
      </c>
      <c r="E5007" s="37">
        <f>ROUND(0.93*1.3,4)</f>
        <v>1.2090000000000001</v>
      </c>
      <c r="F5007" s="31">
        <v>22.2395</v>
      </c>
      <c r="G5007" s="54">
        <f>IF(ISNUMBER(F5007),E5007*F5007,"")</f>
        <v>26.887555500000001</v>
      </c>
      <c r="H5007" s="73"/>
      <c r="I5007" s="74"/>
      <c r="J5007" s="155">
        <v>0</v>
      </c>
    </row>
    <row r="5008" spans="1:10" hidden="1" x14ac:dyDescent="0.25">
      <c r="A5008" s="181"/>
      <c r="B5008" s="202"/>
      <c r="C5008" s="36" t="s">
        <v>3312</v>
      </c>
      <c r="D5008" s="36" t="s">
        <v>742</v>
      </c>
      <c r="E5008" s="37">
        <f>ROUND(0.93*1.3,4)</f>
        <v>1.2090000000000001</v>
      </c>
      <c r="F5008" s="54">
        <v>23.218</v>
      </c>
      <c r="G5008" s="54">
        <f>IF(ISNUMBER(F5008),E5008*F5008,"")</f>
        <v>28.070562000000002</v>
      </c>
      <c r="H5008" s="73"/>
      <c r="I5008" s="74"/>
      <c r="J5008" s="155">
        <v>0</v>
      </c>
    </row>
    <row r="5009" spans="1:10" hidden="1" x14ac:dyDescent="0.25">
      <c r="A5009" s="181"/>
      <c r="B5009" s="202"/>
      <c r="C5009" s="36"/>
      <c r="D5009" s="47"/>
      <c r="E5009" s="37"/>
      <c r="F5009" s="54" t="s">
        <v>558</v>
      </c>
      <c r="G5009" s="54" t="str">
        <f>IF(ISNUMBER(F5009),E5009*F5009,"")</f>
        <v/>
      </c>
      <c r="H5009" s="73"/>
      <c r="I5009" s="74"/>
      <c r="J5009" s="155">
        <v>0</v>
      </c>
    </row>
    <row r="5010" spans="1:10" ht="15.75" hidden="1" thickBot="1" x14ac:dyDescent="0.3">
      <c r="A5010" s="180" t="s">
        <v>3714</v>
      </c>
      <c r="B5010" s="186" t="str">
        <f>INDEX(Orçamentária!A:B,MATCH(Composições!A5010,Orçamentária!A:A,0),2)</f>
        <v>Isolamento elastomérico para tubulações de ferro de 5”</v>
      </c>
      <c r="C5010" s="41"/>
      <c r="D5010" s="26" t="str">
        <f>TRIM(INDEX(Orçamentária!C:C,MATCH(Composições!A5010,Orçamentária!A:A,0),1))</f>
        <v>m</v>
      </c>
      <c r="E5010" s="27"/>
      <c r="F5010" s="49" t="s">
        <v>558</v>
      </c>
      <c r="G5010" s="28" t="str">
        <f>IF(ISNUMBER(F5010),E5010*F5010,"")</f>
        <v/>
      </c>
      <c r="H5010" s="29"/>
      <c r="I5010" s="30"/>
      <c r="J5010" s="155">
        <v>0</v>
      </c>
    </row>
    <row r="5011" spans="1:10" hidden="1" x14ac:dyDescent="0.25">
      <c r="A5011" s="181"/>
      <c r="B5011" s="202"/>
      <c r="C5011" s="32"/>
      <c r="D5011" s="32"/>
      <c r="E5011" s="33"/>
      <c r="F5011" s="54" t="s">
        <v>558</v>
      </c>
      <c r="G5011" s="54" t="str">
        <f>IF(ISNUMBER(F5011),E5011*F5011,"")</f>
        <v/>
      </c>
      <c r="H5011" s="73"/>
      <c r="I5011" s="74"/>
      <c r="J5011" s="155">
        <v>0</v>
      </c>
    </row>
    <row r="5012" spans="1:10" ht="38.25" hidden="1" x14ac:dyDescent="0.25">
      <c r="A5012" s="181"/>
      <c r="B5012" s="202"/>
      <c r="C5012" s="36" t="s">
        <v>3767</v>
      </c>
      <c r="D5012" s="36" t="s">
        <v>93</v>
      </c>
      <c r="E5012" s="37">
        <v>1.0210999999999999</v>
      </c>
      <c r="F5012" s="31" t="s">
        <v>558</v>
      </c>
      <c r="G5012" s="54" t="str">
        <f>IF(ISNUMBER(F5012),E5012*F5012,"")</f>
        <v/>
      </c>
      <c r="H5012" s="39">
        <f>SUM(G5012:G5014)</f>
        <v>3.7975680000000001</v>
      </c>
      <c r="I5012" s="40"/>
      <c r="J5012" s="155">
        <v>0</v>
      </c>
    </row>
    <row r="5013" spans="1:10" ht="25.5" hidden="1" x14ac:dyDescent="0.25">
      <c r="A5013" s="181"/>
      <c r="B5013" s="202"/>
      <c r="C5013" s="36" t="s">
        <v>993</v>
      </c>
      <c r="D5013" s="47" t="s">
        <v>742</v>
      </c>
      <c r="E5013" s="37">
        <f>5*0.064*0.3</f>
        <v>9.6000000000000002E-2</v>
      </c>
      <c r="F5013" s="31">
        <v>17.3185</v>
      </c>
      <c r="G5013" s="54">
        <f>IF(ISNUMBER(F5013),E5013*F5013,"")</f>
        <v>1.6625760000000001</v>
      </c>
      <c r="H5013" s="73"/>
      <c r="I5013" s="74"/>
      <c r="J5013" s="155">
        <v>0</v>
      </c>
    </row>
    <row r="5014" spans="1:10" ht="25.5" hidden="1" x14ac:dyDescent="0.25">
      <c r="A5014" s="181"/>
      <c r="B5014" s="202"/>
      <c r="C5014" s="36" t="s">
        <v>994</v>
      </c>
      <c r="D5014" s="36" t="s">
        <v>742</v>
      </c>
      <c r="E5014" s="37">
        <f>5*0.064*0.3</f>
        <v>9.6000000000000002E-2</v>
      </c>
      <c r="F5014" s="31">
        <v>22.2395</v>
      </c>
      <c r="G5014" s="54">
        <f>IF(ISNUMBER(F5014),E5014*F5014,"")</f>
        <v>2.134992</v>
      </c>
      <c r="H5014" s="73"/>
      <c r="I5014" s="74"/>
      <c r="J5014" s="155">
        <v>0</v>
      </c>
    </row>
    <row r="5015" spans="1:10" hidden="1" x14ac:dyDescent="0.25">
      <c r="A5015" s="181"/>
      <c r="B5015" s="202"/>
      <c r="C5015" s="36"/>
      <c r="D5015" s="47"/>
      <c r="E5015" s="37"/>
      <c r="F5015" s="54" t="s">
        <v>558</v>
      </c>
      <c r="G5015" s="54" t="str">
        <f>IF(ISNUMBER(F5015),E5015*F5015,"")</f>
        <v/>
      </c>
      <c r="H5015" s="73"/>
      <c r="I5015" s="74"/>
      <c r="J5015" s="155">
        <v>0</v>
      </c>
    </row>
    <row r="5016" spans="1:10" ht="15.75" hidden="1" thickBot="1" x14ac:dyDescent="0.3">
      <c r="A5016" s="180" t="s">
        <v>3716</v>
      </c>
      <c r="B5016" s="186" t="str">
        <f>INDEX(Orçamentária!A:B,MATCH(Composições!A5016,Orçamentária!A:A,0),2)</f>
        <v>Meia luva em aço carbono DN 15 (1/2" NPS)</v>
      </c>
      <c r="C5016" s="41"/>
      <c r="D5016" s="26" t="str">
        <f>TRIM(INDEX(Orçamentária!C:C,MATCH(Composições!A5016,Orçamentária!A:A,0),1))</f>
        <v>un</v>
      </c>
      <c r="E5016" s="27"/>
      <c r="F5016" s="49" t="s">
        <v>558</v>
      </c>
      <c r="G5016" s="28" t="str">
        <f>IF(ISNUMBER(F5016),E5016*F5016,"")</f>
        <v/>
      </c>
      <c r="H5016" s="29"/>
      <c r="I5016" s="30"/>
      <c r="J5016" s="155">
        <v>0</v>
      </c>
    </row>
    <row r="5017" spans="1:10" hidden="1" x14ac:dyDescent="0.25">
      <c r="A5017" s="181"/>
      <c r="B5017" s="202"/>
      <c r="C5017" s="32"/>
      <c r="D5017" s="32"/>
      <c r="E5017" s="33"/>
      <c r="F5017" s="54" t="s">
        <v>558</v>
      </c>
      <c r="G5017" s="54" t="str">
        <f>IF(ISNUMBER(F5017),E5017*F5017,"")</f>
        <v/>
      </c>
      <c r="H5017" s="73"/>
      <c r="I5017" s="74"/>
      <c r="J5017" s="155">
        <v>0</v>
      </c>
    </row>
    <row r="5018" spans="1:10" hidden="1" x14ac:dyDescent="0.25">
      <c r="A5018" s="181"/>
      <c r="B5018" s="202"/>
      <c r="C5018" s="36" t="s">
        <v>1234</v>
      </c>
      <c r="D5018" s="47" t="s">
        <v>938</v>
      </c>
      <c r="E5018" s="37">
        <v>8.9999999999999993E-3</v>
      </c>
      <c r="F5018" s="31">
        <v>18.1355</v>
      </c>
      <c r="G5018" s="54">
        <f>IF(ISNUMBER(F5018),E5018*F5018,"")</f>
        <v>0.16321949999999999</v>
      </c>
      <c r="H5018" s="39">
        <f>SUM(G5018:G5022)</f>
        <v>7.3196835</v>
      </c>
      <c r="I5018" s="40"/>
      <c r="J5018" s="155">
        <v>0</v>
      </c>
    </row>
    <row r="5019" spans="1:10" ht="25.5" hidden="1" x14ac:dyDescent="0.25">
      <c r="A5019" s="181"/>
      <c r="B5019" s="202"/>
      <c r="C5019" s="36" t="s">
        <v>3768</v>
      </c>
      <c r="D5019" s="36" t="s">
        <v>292</v>
      </c>
      <c r="E5019" s="37">
        <v>1</v>
      </c>
      <c r="F5019" s="31" t="s">
        <v>558</v>
      </c>
      <c r="G5019" s="54" t="str">
        <f>IF(ISNUMBER(F5019),E5019*F5019,"")</f>
        <v/>
      </c>
      <c r="H5019" s="73"/>
      <c r="I5019" s="74"/>
      <c r="J5019" s="155">
        <v>0</v>
      </c>
    </row>
    <row r="5020" spans="1:10" ht="25.5" hidden="1" x14ac:dyDescent="0.25">
      <c r="A5020" s="181"/>
      <c r="B5020" s="202"/>
      <c r="C5020" s="36" t="s">
        <v>993</v>
      </c>
      <c r="D5020" s="47" t="s">
        <v>742</v>
      </c>
      <c r="E5020" s="37">
        <v>0.114</v>
      </c>
      <c r="F5020" s="31">
        <v>17.3185</v>
      </c>
      <c r="G5020" s="54">
        <f>IF(ISNUMBER(F5020),E5020*F5020,"")</f>
        <v>1.9743090000000001</v>
      </c>
      <c r="H5020" s="73"/>
      <c r="I5020" s="74"/>
      <c r="J5020" s="155">
        <v>0</v>
      </c>
    </row>
    <row r="5021" spans="1:10" ht="25.5" hidden="1" x14ac:dyDescent="0.25">
      <c r="A5021" s="181"/>
      <c r="B5021" s="202"/>
      <c r="C5021" s="36" t="s">
        <v>994</v>
      </c>
      <c r="D5021" s="36" t="s">
        <v>742</v>
      </c>
      <c r="E5021" s="37">
        <v>0.114</v>
      </c>
      <c r="F5021" s="31">
        <v>22.2395</v>
      </c>
      <c r="G5021" s="54">
        <f>IF(ISNUMBER(F5021),E5021*F5021,"")</f>
        <v>2.5353029999999999</v>
      </c>
      <c r="H5021" s="73"/>
      <c r="I5021" s="74"/>
      <c r="J5021" s="155">
        <v>0</v>
      </c>
    </row>
    <row r="5022" spans="1:10" hidden="1" x14ac:dyDescent="0.25">
      <c r="A5022" s="181"/>
      <c r="B5022" s="202"/>
      <c r="C5022" s="36" t="s">
        <v>3312</v>
      </c>
      <c r="D5022" s="36" t="s">
        <v>742</v>
      </c>
      <c r="E5022" s="37">
        <v>0.114</v>
      </c>
      <c r="F5022" s="54">
        <v>23.218</v>
      </c>
      <c r="G5022" s="54">
        <f>IF(ISNUMBER(F5022),E5022*F5022,"")</f>
        <v>2.646852</v>
      </c>
      <c r="H5022" s="73"/>
      <c r="I5022" s="74"/>
      <c r="J5022" s="155">
        <v>0</v>
      </c>
    </row>
    <row r="5023" spans="1:10" hidden="1" x14ac:dyDescent="0.25">
      <c r="A5023" s="181"/>
      <c r="B5023" s="202"/>
      <c r="C5023" s="36"/>
      <c r="D5023" s="47"/>
      <c r="E5023" s="37"/>
      <c r="F5023" s="54" t="s">
        <v>558</v>
      </c>
      <c r="G5023" s="54" t="str">
        <f>IF(ISNUMBER(F5023),E5023*F5023,"")</f>
        <v/>
      </c>
      <c r="H5023" s="73"/>
      <c r="I5023" s="74"/>
      <c r="J5023" s="155">
        <v>0</v>
      </c>
    </row>
    <row r="5024" spans="1:10" ht="15.75" hidden="1" thickBot="1" x14ac:dyDescent="0.3">
      <c r="A5024" s="180" t="s">
        <v>3718</v>
      </c>
      <c r="B5024" s="186" t="str">
        <f>INDEX(Orçamentária!A:B,MATCH(Composições!A5024,Orçamentária!A:A,0),2)</f>
        <v>Redução concêntrica em aço carbono para solda de topo DN 200 (8" NPS) × DN 125 (5" NPS)</v>
      </c>
      <c r="C5024" s="41"/>
      <c r="D5024" s="26" t="str">
        <f>TRIM(INDEX(Orçamentária!C:C,MATCH(Composições!A5024,Orçamentária!A:A,0),1))</f>
        <v>un</v>
      </c>
      <c r="E5024" s="27"/>
      <c r="F5024" s="49" t="s">
        <v>558</v>
      </c>
      <c r="G5024" s="28" t="str">
        <f>IF(ISNUMBER(F5024),E5024*F5024,"")</f>
        <v/>
      </c>
      <c r="H5024" s="29"/>
      <c r="I5024" s="30"/>
      <c r="J5024" s="155">
        <v>0</v>
      </c>
    </row>
    <row r="5025" spans="1:10" hidden="1" x14ac:dyDescent="0.25">
      <c r="A5025" s="181"/>
      <c r="B5025" s="202"/>
      <c r="C5025" s="32"/>
      <c r="D5025" s="32"/>
      <c r="E5025" s="33"/>
      <c r="F5025" s="54" t="s">
        <v>558</v>
      </c>
      <c r="G5025" s="54" t="str">
        <f>IF(ISNUMBER(F5025),E5025*F5025,"")</f>
        <v/>
      </c>
      <c r="H5025" s="73"/>
      <c r="I5025" s="74"/>
      <c r="J5025" s="155">
        <v>0</v>
      </c>
    </row>
    <row r="5026" spans="1:10" hidden="1" x14ac:dyDescent="0.25">
      <c r="A5026" s="181"/>
      <c r="B5026" s="202"/>
      <c r="C5026" s="36" t="s">
        <v>1234</v>
      </c>
      <c r="D5026" s="47" t="s">
        <v>938</v>
      </c>
      <c r="E5026" s="37">
        <f>ROUND(0.089*1.3,4)</f>
        <v>0.1157</v>
      </c>
      <c r="F5026" s="31">
        <v>18.1355</v>
      </c>
      <c r="G5026" s="54">
        <f>IF(ISNUMBER(F5026),E5026*F5026,"")</f>
        <v>2.09827735</v>
      </c>
      <c r="H5026" s="39">
        <f>SUM(G5026:G5030)</f>
        <v>52.695733349999998</v>
      </c>
      <c r="I5026" s="40"/>
      <c r="J5026" s="155">
        <v>0</v>
      </c>
    </row>
    <row r="5027" spans="1:10" ht="25.5" hidden="1" x14ac:dyDescent="0.25">
      <c r="A5027" s="181"/>
      <c r="B5027" s="202"/>
      <c r="C5027" s="36" t="s">
        <v>3769</v>
      </c>
      <c r="D5027" s="36" t="s">
        <v>292</v>
      </c>
      <c r="E5027" s="37">
        <v>1</v>
      </c>
      <c r="F5027" s="31" t="s">
        <v>558</v>
      </c>
      <c r="G5027" s="54" t="str">
        <f>IF(ISNUMBER(F5027),E5027*F5027,"")</f>
        <v/>
      </c>
      <c r="H5027" s="73"/>
      <c r="I5027" s="74"/>
      <c r="J5027" s="155">
        <v>0</v>
      </c>
    </row>
    <row r="5028" spans="1:10" ht="25.5" hidden="1" x14ac:dyDescent="0.25">
      <c r="A5028" s="181"/>
      <c r="B5028" s="202"/>
      <c r="C5028" s="36" t="s">
        <v>993</v>
      </c>
      <c r="D5028" s="47" t="s">
        <v>742</v>
      </c>
      <c r="E5028" s="37">
        <f>ROUND(0.62*1.3,4)</f>
        <v>0.80600000000000005</v>
      </c>
      <c r="F5028" s="31">
        <v>17.3185</v>
      </c>
      <c r="G5028" s="54">
        <f>IF(ISNUMBER(F5028),E5028*F5028,"")</f>
        <v>13.958711000000001</v>
      </c>
      <c r="H5028" s="73"/>
      <c r="I5028" s="74"/>
      <c r="J5028" s="155">
        <v>0</v>
      </c>
    </row>
    <row r="5029" spans="1:10" ht="25.5" hidden="1" x14ac:dyDescent="0.25">
      <c r="A5029" s="181"/>
      <c r="B5029" s="202"/>
      <c r="C5029" s="36" t="s">
        <v>994</v>
      </c>
      <c r="D5029" s="36" t="s">
        <v>742</v>
      </c>
      <c r="E5029" s="37">
        <f t="shared" ref="E5029:E5030" si="1">ROUND(0.62*1.3,4)</f>
        <v>0.80600000000000005</v>
      </c>
      <c r="F5029" s="31">
        <v>22.2395</v>
      </c>
      <c r="G5029" s="54">
        <f>IF(ISNUMBER(F5029),E5029*F5029,"")</f>
        <v>17.925037</v>
      </c>
      <c r="H5029" s="73"/>
      <c r="I5029" s="74"/>
      <c r="J5029" s="155">
        <v>0</v>
      </c>
    </row>
    <row r="5030" spans="1:10" hidden="1" x14ac:dyDescent="0.25">
      <c r="A5030" s="181"/>
      <c r="B5030" s="202"/>
      <c r="C5030" s="36" t="s">
        <v>3312</v>
      </c>
      <c r="D5030" s="36" t="s">
        <v>742</v>
      </c>
      <c r="E5030" s="37">
        <f t="shared" si="1"/>
        <v>0.80600000000000005</v>
      </c>
      <c r="F5030" s="54">
        <v>23.218</v>
      </c>
      <c r="G5030" s="54">
        <f>IF(ISNUMBER(F5030),E5030*F5030,"")</f>
        <v>18.713708</v>
      </c>
      <c r="H5030" s="73"/>
      <c r="I5030" s="74"/>
      <c r="J5030" s="155">
        <v>0</v>
      </c>
    </row>
    <row r="5031" spans="1:10" hidden="1" x14ac:dyDescent="0.25">
      <c r="A5031" s="181"/>
      <c r="B5031" s="202"/>
      <c r="C5031" s="36"/>
      <c r="D5031" s="47"/>
      <c r="E5031" s="37"/>
      <c r="F5031" s="54" t="s">
        <v>558</v>
      </c>
      <c r="G5031" s="54" t="str">
        <f>IF(ISNUMBER(F5031),E5031*F5031,"")</f>
        <v/>
      </c>
      <c r="H5031" s="73"/>
      <c r="I5031" s="74"/>
      <c r="J5031" s="155">
        <v>0</v>
      </c>
    </row>
    <row r="5032" spans="1:10" ht="15.75" hidden="1" thickBot="1" x14ac:dyDescent="0.3">
      <c r="A5032" s="180" t="s">
        <v>3730</v>
      </c>
      <c r="B5032" s="186" t="str">
        <f>INDEX(Orçamentária!A:B,MATCH(Composições!A5032,Orçamentária!A:A,0),2)</f>
        <v>Tê em aço carbono para solda de topo DN 200 (8" NPS)</v>
      </c>
      <c r="C5032" s="41"/>
      <c r="D5032" s="26" t="str">
        <f>TRIM(INDEX(Orçamentária!C:C,MATCH(Composições!A5032,Orçamentária!A:A,0),1))</f>
        <v>un</v>
      </c>
      <c r="E5032" s="27"/>
      <c r="F5032" s="49" t="s">
        <v>558</v>
      </c>
      <c r="G5032" s="28" t="str">
        <f>IF(ISNUMBER(F5032),E5032*F5032,"")</f>
        <v/>
      </c>
      <c r="H5032" s="29"/>
      <c r="I5032" s="30"/>
      <c r="J5032" s="155">
        <v>0</v>
      </c>
    </row>
    <row r="5033" spans="1:10" hidden="1" x14ac:dyDescent="0.25">
      <c r="A5033" s="181"/>
      <c r="B5033" s="202"/>
      <c r="C5033" s="32"/>
      <c r="D5033" s="32"/>
      <c r="E5033" s="33"/>
      <c r="F5033" s="54" t="s">
        <v>558</v>
      </c>
      <c r="G5033" s="54" t="str">
        <f>IF(ISNUMBER(F5033),E5033*F5033,"")</f>
        <v/>
      </c>
      <c r="H5033" s="73"/>
      <c r="I5033" s="74"/>
      <c r="J5033" s="155">
        <v>0</v>
      </c>
    </row>
    <row r="5034" spans="1:10" hidden="1" x14ac:dyDescent="0.25">
      <c r="A5034" s="181"/>
      <c r="B5034" s="202"/>
      <c r="C5034" s="36" t="s">
        <v>1234</v>
      </c>
      <c r="D5034" s="47" t="s">
        <v>938</v>
      </c>
      <c r="E5034" s="37">
        <f>ROUND(0.133*1.3,4)</f>
        <v>0.1729</v>
      </c>
      <c r="F5034" s="31">
        <v>18.1355</v>
      </c>
      <c r="G5034" s="54">
        <f>IF(ISNUMBER(F5034),E5034*F5034,"")</f>
        <v>3.1356279499999999</v>
      </c>
      <c r="H5034" s="39">
        <f>SUM(G5034:G5038)</f>
        <v>81.643293549999996</v>
      </c>
      <c r="I5034" s="40"/>
      <c r="J5034" s="155">
        <v>0</v>
      </c>
    </row>
    <row r="5035" spans="1:10" hidden="1" x14ac:dyDescent="0.25">
      <c r="A5035" s="181"/>
      <c r="B5035" s="202"/>
      <c r="C5035" s="36" t="s">
        <v>3770</v>
      </c>
      <c r="D5035" s="36" t="s">
        <v>292</v>
      </c>
      <c r="E5035" s="37">
        <v>1</v>
      </c>
      <c r="F5035" s="31" t="s">
        <v>558</v>
      </c>
      <c r="G5035" s="54" t="str">
        <f>IF(ISNUMBER(F5035),E5035*F5035,"")</f>
        <v/>
      </c>
      <c r="H5035" s="73"/>
      <c r="I5035" s="74"/>
      <c r="J5035" s="155">
        <v>0</v>
      </c>
    </row>
    <row r="5036" spans="1:10" ht="25.5" hidden="1" x14ac:dyDescent="0.25">
      <c r="A5036" s="181"/>
      <c r="B5036" s="202"/>
      <c r="C5036" s="36" t="s">
        <v>993</v>
      </c>
      <c r="D5036" s="47" t="s">
        <v>742</v>
      </c>
      <c r="E5036" s="37">
        <f>ROUND(0.962*1.3,4)</f>
        <v>1.2505999999999999</v>
      </c>
      <c r="F5036" s="31">
        <v>17.3185</v>
      </c>
      <c r="G5036" s="54">
        <f>IF(ISNUMBER(F5036),E5036*F5036,"")</f>
        <v>21.6585161</v>
      </c>
      <c r="H5036" s="73"/>
      <c r="I5036" s="74"/>
      <c r="J5036" s="155">
        <v>0</v>
      </c>
    </row>
    <row r="5037" spans="1:10" ht="25.5" hidden="1" x14ac:dyDescent="0.25">
      <c r="A5037" s="181"/>
      <c r="B5037" s="202"/>
      <c r="C5037" s="36" t="s">
        <v>994</v>
      </c>
      <c r="D5037" s="36" t="s">
        <v>742</v>
      </c>
      <c r="E5037" s="37">
        <f t="shared" ref="E5037:E5038" si="2">ROUND(0.962*1.3,4)</f>
        <v>1.2505999999999999</v>
      </c>
      <c r="F5037" s="31">
        <v>22.2395</v>
      </c>
      <c r="G5037" s="54">
        <f>IF(ISNUMBER(F5037),E5037*F5037,"")</f>
        <v>27.812718699999998</v>
      </c>
      <c r="H5037" s="73"/>
      <c r="I5037" s="74"/>
      <c r="J5037" s="155">
        <v>0</v>
      </c>
    </row>
    <row r="5038" spans="1:10" hidden="1" x14ac:dyDescent="0.25">
      <c r="A5038" s="181"/>
      <c r="B5038" s="202"/>
      <c r="C5038" s="36" t="s">
        <v>3312</v>
      </c>
      <c r="D5038" s="36" t="s">
        <v>742</v>
      </c>
      <c r="E5038" s="37">
        <f t="shared" si="2"/>
        <v>1.2505999999999999</v>
      </c>
      <c r="F5038" s="54">
        <v>23.218</v>
      </c>
      <c r="G5038" s="54">
        <f>IF(ISNUMBER(F5038),E5038*F5038,"")</f>
        <v>29.036430799999998</v>
      </c>
      <c r="H5038" s="73"/>
      <c r="I5038" s="74"/>
      <c r="J5038" s="155">
        <v>0</v>
      </c>
    </row>
    <row r="5039" spans="1:10" hidden="1" x14ac:dyDescent="0.25">
      <c r="A5039" s="181"/>
      <c r="B5039" s="202"/>
      <c r="C5039" s="36"/>
      <c r="D5039" s="47"/>
      <c r="E5039" s="37"/>
      <c r="F5039" s="54" t="s">
        <v>558</v>
      </c>
      <c r="G5039" s="54" t="str">
        <f>IF(ISNUMBER(F5039),E5039*F5039,"")</f>
        <v/>
      </c>
      <c r="H5039" s="73"/>
      <c r="I5039" s="74"/>
      <c r="J5039" s="155">
        <v>0</v>
      </c>
    </row>
    <row r="5040" spans="1:10" ht="15.75" hidden="1" thickBot="1" x14ac:dyDescent="0.3">
      <c r="A5040" s="180" t="s">
        <v>3732</v>
      </c>
      <c r="B5040" s="186" t="str">
        <f>INDEX(Orçamentária!A:B,MATCH(Composições!A5040,Orçamentária!A:A,0),2)</f>
        <v>Tubo de aço-carbono preto DN 125 (5" NPS)</v>
      </c>
      <c r="C5040" s="41"/>
      <c r="D5040" s="26" t="str">
        <f>TRIM(INDEX(Orçamentária!C:C,MATCH(Composições!A5040,Orçamentária!A:A,0),1))</f>
        <v>m</v>
      </c>
      <c r="E5040" s="27"/>
      <c r="F5040" s="49" t="s">
        <v>558</v>
      </c>
      <c r="G5040" s="28" t="str">
        <f>IF(ISNUMBER(F5040),E5040*F5040,"")</f>
        <v/>
      </c>
      <c r="H5040" s="29"/>
      <c r="I5040" s="30"/>
      <c r="J5040" s="155">
        <v>0</v>
      </c>
    </row>
    <row r="5041" spans="1:10" hidden="1" x14ac:dyDescent="0.25">
      <c r="A5041" s="181"/>
      <c r="B5041" s="202"/>
      <c r="C5041" s="32"/>
      <c r="D5041" s="32"/>
      <c r="E5041" s="33"/>
      <c r="F5041" s="54" t="s">
        <v>558</v>
      </c>
      <c r="G5041" s="54" t="str">
        <f>IF(ISNUMBER(F5041),E5041*F5041,"")</f>
        <v/>
      </c>
      <c r="H5041" s="73"/>
      <c r="I5041" s="74"/>
      <c r="J5041" s="155">
        <v>0</v>
      </c>
    </row>
    <row r="5042" spans="1:10" ht="38.25" hidden="1" x14ac:dyDescent="0.25">
      <c r="A5042" s="181"/>
      <c r="B5042" s="202"/>
      <c r="C5042" s="36" t="s">
        <v>3267</v>
      </c>
      <c r="D5042" s="47" t="s">
        <v>982</v>
      </c>
      <c r="E5042" s="37">
        <v>2.1100000000000001E-2</v>
      </c>
      <c r="F5042" s="31">
        <v>143.11750000000001</v>
      </c>
      <c r="G5042" s="54">
        <f>IF(ISNUMBER(F5042),E5042*F5042,"")</f>
        <v>3.01977925</v>
      </c>
      <c r="H5042" s="39">
        <f>SUM(G5042:G5048)</f>
        <v>474.12277855000002</v>
      </c>
      <c r="I5042" s="40"/>
      <c r="J5042" s="155">
        <v>0</v>
      </c>
    </row>
    <row r="5043" spans="1:10" ht="38.25" hidden="1" x14ac:dyDescent="0.25">
      <c r="A5043" s="181"/>
      <c r="B5043" s="202"/>
      <c r="C5043" s="36" t="s">
        <v>3275</v>
      </c>
      <c r="D5043" s="36" t="s">
        <v>984</v>
      </c>
      <c r="E5043" s="37">
        <v>4.0300000000000002E-2</v>
      </c>
      <c r="F5043" s="31">
        <v>56.486999999999995</v>
      </c>
      <c r="G5043" s="54">
        <f>IF(ISNUMBER(F5043),E5043*F5043,"")</f>
        <v>2.2764261000000001</v>
      </c>
      <c r="H5043" s="73"/>
      <c r="I5043" s="74"/>
      <c r="J5043" s="155">
        <v>0</v>
      </c>
    </row>
    <row r="5044" spans="1:10" hidden="1" x14ac:dyDescent="0.25">
      <c r="A5044" s="181"/>
      <c r="B5044" s="202"/>
      <c r="C5044" s="36" t="s">
        <v>135</v>
      </c>
      <c r="D5044" s="47" t="s">
        <v>938</v>
      </c>
      <c r="E5044" s="37">
        <f>ROUND(0.1875*0.6,4)</f>
        <v>0.1125</v>
      </c>
      <c r="F5044" s="31">
        <v>18.885999999999999</v>
      </c>
      <c r="G5044" s="54">
        <f>IF(ISNUMBER(F5044),E5044*F5044,"")</f>
        <v>2.1246749999999999</v>
      </c>
      <c r="H5044" s="73"/>
      <c r="I5044" s="74"/>
      <c r="J5044" s="155">
        <v>0</v>
      </c>
    </row>
    <row r="5045" spans="1:10" hidden="1" x14ac:dyDescent="0.25">
      <c r="A5045" s="181"/>
      <c r="B5045" s="202"/>
      <c r="C5045" s="36" t="s">
        <v>3308</v>
      </c>
      <c r="D5045" s="36" t="s">
        <v>742</v>
      </c>
      <c r="E5045" s="37">
        <v>6.5600000000000006E-2</v>
      </c>
      <c r="F5045" s="31">
        <v>17.717499999999998</v>
      </c>
      <c r="G5045" s="54">
        <f>IF(ISNUMBER(F5045),E5045*F5045,"")</f>
        <v>1.1622679999999999</v>
      </c>
      <c r="H5045" s="73"/>
      <c r="I5045" s="74"/>
      <c r="J5045" s="155">
        <v>0</v>
      </c>
    </row>
    <row r="5046" spans="1:10" hidden="1" x14ac:dyDescent="0.25">
      <c r="A5046" s="181"/>
      <c r="B5046" s="202"/>
      <c r="C5046" s="36" t="s">
        <v>743</v>
      </c>
      <c r="D5046" s="36" t="s">
        <v>742</v>
      </c>
      <c r="E5046" s="37">
        <v>6.5600000000000006E-2</v>
      </c>
      <c r="F5046" s="54">
        <v>16.729499999999998</v>
      </c>
      <c r="G5046" s="54">
        <f>IF(ISNUMBER(F5046),E5046*F5046,"")</f>
        <v>1.0974552</v>
      </c>
      <c r="H5046" s="73"/>
      <c r="I5046" s="74"/>
      <c r="J5046" s="155">
        <v>0</v>
      </c>
    </row>
    <row r="5047" spans="1:10" hidden="1" x14ac:dyDescent="0.25">
      <c r="A5047" s="181"/>
      <c r="B5047" s="202"/>
      <c r="C5047" s="36" t="s">
        <v>3312</v>
      </c>
      <c r="D5047" s="36" t="s">
        <v>742</v>
      </c>
      <c r="E5047" s="37">
        <f>ROUND(0.4792*0.6,4)</f>
        <v>0.28749999999999998</v>
      </c>
      <c r="F5047" s="54">
        <v>23.218</v>
      </c>
      <c r="G5047" s="54">
        <f>IF(ISNUMBER(F5047),E5047*F5047,"")</f>
        <v>6.6751749999999994</v>
      </c>
      <c r="H5047" s="73"/>
      <c r="I5047" s="74"/>
      <c r="J5047" s="155">
        <v>0</v>
      </c>
    </row>
    <row r="5048" spans="1:10" ht="25.5" hidden="1" x14ac:dyDescent="0.25">
      <c r="A5048" s="181"/>
      <c r="B5048" s="202"/>
      <c r="C5048" s="36" t="s">
        <v>3613</v>
      </c>
      <c r="D5048" s="36" t="s">
        <v>513</v>
      </c>
      <c r="E5048" s="37">
        <v>1</v>
      </c>
      <c r="F5048" s="54">
        <v>457.767</v>
      </c>
      <c r="G5048" s="54">
        <f>IF(ISNUMBER(F5048),E5048*F5048,"")</f>
        <v>457.767</v>
      </c>
      <c r="H5048" s="73"/>
      <c r="I5048" s="74"/>
      <c r="J5048" s="155">
        <v>0</v>
      </c>
    </row>
    <row r="5049" spans="1:10" hidden="1" x14ac:dyDescent="0.25">
      <c r="A5049" s="181"/>
      <c r="B5049" s="202"/>
      <c r="C5049" s="36"/>
      <c r="D5049" s="47"/>
      <c r="E5049" s="37"/>
      <c r="F5049" s="54" t="s">
        <v>558</v>
      </c>
      <c r="G5049" s="54" t="str">
        <f>IF(ISNUMBER(F5049),E5049*F5049,"")</f>
        <v/>
      </c>
      <c r="H5049" s="73"/>
      <c r="I5049" s="74"/>
      <c r="J5049" s="155">
        <v>0</v>
      </c>
    </row>
    <row r="5050" spans="1:10" ht="15.75" hidden="1" thickBot="1" x14ac:dyDescent="0.3">
      <c r="A5050" s="180" t="s">
        <v>3734</v>
      </c>
      <c r="B5050" s="186" t="str">
        <f>INDEX(Orçamentária!A:B,MATCH(Composições!A5050,Orçamentária!A:A,0),2)</f>
        <v>Tubo de aço-carbono preto DN 200 (8" NPS)</v>
      </c>
      <c r="C5050" s="41"/>
      <c r="D5050" s="26" t="str">
        <f>TRIM(INDEX(Orçamentária!C:C,MATCH(Composições!A5050,Orçamentária!A:A,0),1))</f>
        <v>m</v>
      </c>
      <c r="E5050" s="27"/>
      <c r="F5050" s="49" t="s">
        <v>558</v>
      </c>
      <c r="G5050" s="28" t="str">
        <f>IF(ISNUMBER(F5050),E5050*F5050,"")</f>
        <v/>
      </c>
      <c r="H5050" s="29"/>
      <c r="I5050" s="30"/>
      <c r="J5050" s="155">
        <v>0</v>
      </c>
    </row>
    <row r="5051" spans="1:10" hidden="1" x14ac:dyDescent="0.25">
      <c r="A5051" s="181"/>
      <c r="B5051" s="202"/>
      <c r="C5051" s="32"/>
      <c r="D5051" s="32"/>
      <c r="E5051" s="33"/>
      <c r="F5051" s="54" t="s">
        <v>558</v>
      </c>
      <c r="G5051" s="54" t="str">
        <f>IF(ISNUMBER(F5051),E5051*F5051,"")</f>
        <v/>
      </c>
      <c r="H5051" s="73"/>
      <c r="I5051" s="74"/>
      <c r="J5051" s="155">
        <v>0</v>
      </c>
    </row>
    <row r="5052" spans="1:10" ht="38.25" hidden="1" x14ac:dyDescent="0.25">
      <c r="A5052" s="181"/>
      <c r="B5052" s="202"/>
      <c r="C5052" s="36" t="s">
        <v>3267</v>
      </c>
      <c r="D5052" s="47" t="s">
        <v>982</v>
      </c>
      <c r="E5052" s="37">
        <v>2.1100000000000001E-2</v>
      </c>
      <c r="F5052" s="31">
        <v>143.11750000000001</v>
      </c>
      <c r="G5052" s="54">
        <f>IF(ISNUMBER(F5052),E5052*F5052,"")</f>
        <v>3.01977925</v>
      </c>
      <c r="H5052" s="39">
        <f>SUM(G5052:G5058)</f>
        <v>795.16510975000006</v>
      </c>
      <c r="I5052" s="40"/>
      <c r="J5052" s="155">
        <v>0</v>
      </c>
    </row>
    <row r="5053" spans="1:10" ht="38.25" hidden="1" x14ac:dyDescent="0.25">
      <c r="A5053" s="181"/>
      <c r="B5053" s="202"/>
      <c r="C5053" s="36" t="s">
        <v>3275</v>
      </c>
      <c r="D5053" s="36" t="s">
        <v>984</v>
      </c>
      <c r="E5053" s="37">
        <v>4.0300000000000002E-2</v>
      </c>
      <c r="F5053" s="31">
        <v>56.486999999999995</v>
      </c>
      <c r="G5053" s="54">
        <f>IF(ISNUMBER(F5053),E5053*F5053,"")</f>
        <v>2.2764261000000001</v>
      </c>
      <c r="H5053" s="73"/>
      <c r="I5053" s="74"/>
      <c r="J5053" s="155">
        <v>0</v>
      </c>
    </row>
    <row r="5054" spans="1:10" hidden="1" x14ac:dyDescent="0.25">
      <c r="A5054" s="181"/>
      <c r="B5054" s="202"/>
      <c r="C5054" s="36" t="s">
        <v>135</v>
      </c>
      <c r="D5054" s="47" t="s">
        <v>938</v>
      </c>
      <c r="E5054" s="37">
        <f>ROUND(0.1875*0.8,4)</f>
        <v>0.15</v>
      </c>
      <c r="F5054" s="31">
        <v>18.885999999999999</v>
      </c>
      <c r="G5054" s="54">
        <f>IF(ISNUMBER(F5054),E5054*F5054,"")</f>
        <v>2.8329</v>
      </c>
      <c r="H5054" s="73"/>
      <c r="I5054" s="74"/>
      <c r="J5054" s="155">
        <v>0</v>
      </c>
    </row>
    <row r="5055" spans="1:10" hidden="1" x14ac:dyDescent="0.25">
      <c r="A5055" s="181"/>
      <c r="B5055" s="202"/>
      <c r="C5055" s="36" t="s">
        <v>3308</v>
      </c>
      <c r="D5055" s="36" t="s">
        <v>742</v>
      </c>
      <c r="E5055" s="37">
        <v>6.5600000000000006E-2</v>
      </c>
      <c r="F5055" s="31">
        <v>17.717499999999998</v>
      </c>
      <c r="G5055" s="54">
        <f>IF(ISNUMBER(F5055),E5055*F5055,"")</f>
        <v>1.1622679999999999</v>
      </c>
      <c r="H5055" s="73"/>
      <c r="I5055" s="74"/>
      <c r="J5055" s="155">
        <v>0</v>
      </c>
    </row>
    <row r="5056" spans="1:10" hidden="1" x14ac:dyDescent="0.25">
      <c r="A5056" s="181"/>
      <c r="B5056" s="202"/>
      <c r="C5056" s="36" t="s">
        <v>743</v>
      </c>
      <c r="D5056" s="36" t="s">
        <v>742</v>
      </c>
      <c r="E5056" s="37">
        <v>6.5600000000000006E-2</v>
      </c>
      <c r="F5056" s="54">
        <v>16.729499999999998</v>
      </c>
      <c r="G5056" s="54">
        <f>IF(ISNUMBER(F5056),E5056*F5056,"")</f>
        <v>1.0974552</v>
      </c>
      <c r="H5056" s="73"/>
      <c r="I5056" s="74"/>
      <c r="J5056" s="155">
        <v>0</v>
      </c>
    </row>
    <row r="5057" spans="1:10" hidden="1" x14ac:dyDescent="0.25">
      <c r="A5057" s="181"/>
      <c r="B5057" s="202"/>
      <c r="C5057" s="36" t="s">
        <v>3312</v>
      </c>
      <c r="D5057" s="36" t="s">
        <v>742</v>
      </c>
      <c r="E5057" s="37">
        <f>ROUND(0.4792*0.8,4)</f>
        <v>0.38340000000000002</v>
      </c>
      <c r="F5057" s="54">
        <v>23.218</v>
      </c>
      <c r="G5057" s="54">
        <f>IF(ISNUMBER(F5057),E5057*F5057,"")</f>
        <v>8.9017812000000003</v>
      </c>
      <c r="H5057" s="73"/>
      <c r="I5057" s="74"/>
      <c r="J5057" s="155">
        <v>0</v>
      </c>
    </row>
    <row r="5058" spans="1:10" ht="25.5" hidden="1" x14ac:dyDescent="0.25">
      <c r="A5058" s="181"/>
      <c r="B5058" s="202"/>
      <c r="C5058" s="36" t="s">
        <v>3474</v>
      </c>
      <c r="D5058" s="36" t="s">
        <v>513</v>
      </c>
      <c r="E5058" s="37">
        <v>1</v>
      </c>
      <c r="F5058" s="54">
        <v>775.87450000000001</v>
      </c>
      <c r="G5058" s="54">
        <f>IF(ISNUMBER(F5058),E5058*F5058,"")</f>
        <v>775.87450000000001</v>
      </c>
      <c r="H5058" s="73"/>
      <c r="I5058" s="74"/>
      <c r="J5058" s="155">
        <v>0</v>
      </c>
    </row>
    <row r="5059" spans="1:10" hidden="1" x14ac:dyDescent="0.25">
      <c r="A5059" s="181"/>
      <c r="B5059" s="202"/>
      <c r="C5059" s="36"/>
      <c r="D5059" s="47"/>
      <c r="E5059" s="37"/>
      <c r="F5059" s="54" t="s">
        <v>558</v>
      </c>
      <c r="G5059" s="54" t="str">
        <f>IF(ISNUMBER(F5059),E5059*F5059,"")</f>
        <v/>
      </c>
      <c r="H5059" s="73"/>
      <c r="I5059" s="74"/>
      <c r="J5059" s="155">
        <v>0</v>
      </c>
    </row>
    <row r="5060" spans="1:10" ht="15.75" hidden="1" thickBot="1" x14ac:dyDescent="0.3">
      <c r="A5060" s="180" t="s">
        <v>3736</v>
      </c>
      <c r="B5060" s="186" t="str">
        <f>INDEX(Orçamentária!A:B,MATCH(Composições!A5060,Orçamentária!A:A,0),2)</f>
        <v>Válvula de esfera em bronze 1/2”</v>
      </c>
      <c r="C5060" s="41"/>
      <c r="D5060" s="26" t="str">
        <f>TRIM(INDEX(Orçamentária!C:C,MATCH(Composições!A5060,Orçamentária!A:A,0),1))</f>
        <v>un</v>
      </c>
      <c r="E5060" s="27"/>
      <c r="F5060" s="49" t="s">
        <v>558</v>
      </c>
      <c r="G5060" s="28" t="str">
        <f>IF(ISNUMBER(F5060),E5060*F5060,"")</f>
        <v/>
      </c>
      <c r="H5060" s="29"/>
      <c r="I5060" s="30"/>
      <c r="J5060" s="155">
        <v>0</v>
      </c>
    </row>
    <row r="5061" spans="1:10" hidden="1" x14ac:dyDescent="0.25">
      <c r="A5061" s="181"/>
      <c r="B5061" s="202"/>
      <c r="C5061" s="32"/>
      <c r="D5061" s="32"/>
      <c r="E5061" s="33"/>
      <c r="F5061" s="54" t="s">
        <v>558</v>
      </c>
      <c r="G5061" s="54" t="str">
        <f>IF(ISNUMBER(F5061),E5061*F5061,"")</f>
        <v/>
      </c>
      <c r="H5061" s="73"/>
      <c r="I5061" s="74"/>
      <c r="J5061" s="155">
        <v>0</v>
      </c>
    </row>
    <row r="5062" spans="1:10" hidden="1" x14ac:dyDescent="0.25">
      <c r="A5062" s="181"/>
      <c r="B5062" s="202"/>
      <c r="C5062" s="36" t="s">
        <v>336</v>
      </c>
      <c r="D5062" s="36" t="s">
        <v>292</v>
      </c>
      <c r="E5062" s="37">
        <v>9.4999999999999998E-3</v>
      </c>
      <c r="F5062" s="31">
        <v>12.8155</v>
      </c>
      <c r="G5062" s="54">
        <f>IF(ISNUMBER(F5062),E5062*F5062,"")</f>
        <v>0.12174725</v>
      </c>
      <c r="H5062" s="39">
        <f>SUM(G5062:G5065)</f>
        <v>74.97241824999999</v>
      </c>
      <c r="I5062" s="40"/>
      <c r="J5062" s="155">
        <v>0</v>
      </c>
    </row>
    <row r="5063" spans="1:10" hidden="1" x14ac:dyDescent="0.25">
      <c r="A5063" s="181"/>
      <c r="B5063" s="202"/>
      <c r="C5063" s="36" t="s">
        <v>1196</v>
      </c>
      <c r="D5063" s="36" t="s">
        <v>292</v>
      </c>
      <c r="E5063" s="37">
        <v>1</v>
      </c>
      <c r="F5063" s="31">
        <v>44.212999999999994</v>
      </c>
      <c r="G5063" s="54">
        <f>IF(ISNUMBER(F5063),E5063*F5063,"")</f>
        <v>44.212999999999994</v>
      </c>
      <c r="H5063" s="73"/>
      <c r="I5063" s="74"/>
      <c r="J5063" s="155">
        <v>0</v>
      </c>
    </row>
    <row r="5064" spans="1:10" ht="25.5" hidden="1" x14ac:dyDescent="0.25">
      <c r="A5064" s="181"/>
      <c r="B5064" s="202"/>
      <c r="C5064" s="36" t="s">
        <v>993</v>
      </c>
      <c r="D5064" s="47" t="s">
        <v>742</v>
      </c>
      <c r="E5064" s="37">
        <v>0.77449999999999997</v>
      </c>
      <c r="F5064" s="31">
        <v>17.3185</v>
      </c>
      <c r="G5064" s="54">
        <f>IF(ISNUMBER(F5064),E5064*F5064,"")</f>
        <v>13.41317825</v>
      </c>
      <c r="H5064" s="73"/>
      <c r="I5064" s="74"/>
      <c r="J5064" s="155">
        <v>0</v>
      </c>
    </row>
    <row r="5065" spans="1:10" ht="25.5" hidden="1" x14ac:dyDescent="0.25">
      <c r="A5065" s="181"/>
      <c r="B5065" s="202"/>
      <c r="C5065" s="36" t="s">
        <v>994</v>
      </c>
      <c r="D5065" s="36" t="s">
        <v>742</v>
      </c>
      <c r="E5065" s="37">
        <v>0.77449999999999997</v>
      </c>
      <c r="F5065" s="31">
        <v>22.2395</v>
      </c>
      <c r="G5065" s="54">
        <f>IF(ISNUMBER(F5065),E5065*F5065,"")</f>
        <v>17.22449275</v>
      </c>
      <c r="H5065" s="73"/>
      <c r="I5065" s="74"/>
      <c r="J5065" s="155">
        <v>0</v>
      </c>
    </row>
    <row r="5066" spans="1:10" hidden="1" x14ac:dyDescent="0.25">
      <c r="A5066" s="181"/>
      <c r="B5066" s="202"/>
      <c r="C5066" s="36"/>
      <c r="D5066" s="47"/>
      <c r="E5066" s="37"/>
      <c r="F5066" s="54" t="s">
        <v>558</v>
      </c>
      <c r="G5066" s="54" t="str">
        <f>IF(ISNUMBER(F5066),E5066*F5066,"")</f>
        <v/>
      </c>
      <c r="H5066" s="73"/>
      <c r="I5066" s="74"/>
      <c r="J5066" s="155">
        <v>0</v>
      </c>
    </row>
    <row r="5067" spans="1:10" ht="15.75" hidden="1" thickBot="1" x14ac:dyDescent="0.3">
      <c r="A5067" s="180" t="s">
        <v>3738</v>
      </c>
      <c r="B5067" s="186" t="str">
        <f>INDEX(Orçamentária!A:B,MATCH(Composições!A5067,Orçamentária!A:A,0),2)</f>
        <v>Válvula gaveta com flange DN 125 (5" NPS)</v>
      </c>
      <c r="C5067" s="41"/>
      <c r="D5067" s="26" t="str">
        <f>TRIM(INDEX(Orçamentária!C:C,MATCH(Composições!A5067,Orçamentária!A:A,0),1))</f>
        <v>un</v>
      </c>
      <c r="E5067" s="27"/>
      <c r="F5067" s="49" t="s">
        <v>558</v>
      </c>
      <c r="G5067" s="28" t="str">
        <f>IF(ISNUMBER(F5067),E5067*F5067,"")</f>
        <v/>
      </c>
      <c r="H5067" s="29"/>
      <c r="I5067" s="30"/>
      <c r="J5067" s="155">
        <v>0</v>
      </c>
    </row>
    <row r="5068" spans="1:10" hidden="1" x14ac:dyDescent="0.25">
      <c r="A5068" s="181"/>
      <c r="B5068" s="202"/>
      <c r="C5068" s="32"/>
      <c r="D5068" s="32"/>
      <c r="E5068" s="33"/>
      <c r="F5068" s="54" t="s">
        <v>558</v>
      </c>
      <c r="G5068" s="54" t="str">
        <f>IF(ISNUMBER(F5068),E5068*F5068,"")</f>
        <v/>
      </c>
      <c r="H5068" s="73"/>
      <c r="I5068" s="74"/>
      <c r="J5068" s="155">
        <v>0</v>
      </c>
    </row>
    <row r="5069" spans="1:10" hidden="1" x14ac:dyDescent="0.25">
      <c r="A5069" s="181"/>
      <c r="B5069" s="202"/>
      <c r="C5069" s="36" t="s">
        <v>336</v>
      </c>
      <c r="D5069" s="36" t="s">
        <v>292</v>
      </c>
      <c r="E5069" s="37">
        <v>5.7000000000000002E-2</v>
      </c>
      <c r="F5069" s="31">
        <v>12.8155</v>
      </c>
      <c r="G5069" s="54">
        <f>IF(ISNUMBER(F5069),E5069*F5069,"")</f>
        <v>0.73048350000000006</v>
      </c>
      <c r="H5069" s="39">
        <f>SUM(G5069:G5072)</f>
        <v>34.236109499999998</v>
      </c>
      <c r="I5069" s="40"/>
      <c r="J5069" s="155">
        <v>0</v>
      </c>
    </row>
    <row r="5070" spans="1:10" hidden="1" x14ac:dyDescent="0.25">
      <c r="A5070" s="181"/>
      <c r="B5070" s="202"/>
      <c r="C5070" s="36" t="s">
        <v>3739</v>
      </c>
      <c r="D5070" s="36" t="s">
        <v>292</v>
      </c>
      <c r="E5070" s="37">
        <v>1</v>
      </c>
      <c r="F5070" s="31" t="s">
        <v>558</v>
      </c>
      <c r="G5070" s="54" t="str">
        <f>IF(ISNUMBER(F5070),E5070*F5070,"")</f>
        <v/>
      </c>
      <c r="H5070" s="73"/>
      <c r="I5070" s="74"/>
      <c r="J5070" s="155">
        <v>0</v>
      </c>
    </row>
    <row r="5071" spans="1:10" ht="25.5" hidden="1" x14ac:dyDescent="0.25">
      <c r="A5071" s="181"/>
      <c r="B5071" s="202"/>
      <c r="C5071" s="36" t="s">
        <v>993</v>
      </c>
      <c r="D5071" s="47" t="s">
        <v>742</v>
      </c>
      <c r="E5071" s="37">
        <v>0.84699999999999998</v>
      </c>
      <c r="F5071" s="31">
        <v>17.3185</v>
      </c>
      <c r="G5071" s="54">
        <f>IF(ISNUMBER(F5071),E5071*F5071,"")</f>
        <v>14.6687695</v>
      </c>
      <c r="H5071" s="73"/>
      <c r="I5071" s="74"/>
      <c r="J5071" s="155">
        <v>0</v>
      </c>
    </row>
    <row r="5072" spans="1:10" ht="25.5" hidden="1" x14ac:dyDescent="0.25">
      <c r="A5072" s="181"/>
      <c r="B5072" s="202"/>
      <c r="C5072" s="36" t="s">
        <v>994</v>
      </c>
      <c r="D5072" s="36" t="s">
        <v>742</v>
      </c>
      <c r="E5072" s="37">
        <v>0.84699999999999998</v>
      </c>
      <c r="F5072" s="31">
        <v>22.2395</v>
      </c>
      <c r="G5072" s="54">
        <f>IF(ISNUMBER(F5072),E5072*F5072,"")</f>
        <v>18.8368565</v>
      </c>
      <c r="H5072" s="73"/>
      <c r="I5072" s="74"/>
      <c r="J5072" s="155">
        <v>0</v>
      </c>
    </row>
    <row r="5073" spans="1:10" hidden="1" x14ac:dyDescent="0.25">
      <c r="A5073" s="181"/>
      <c r="B5073" s="202"/>
      <c r="C5073" s="36"/>
      <c r="D5073" s="47"/>
      <c r="E5073" s="37"/>
      <c r="F5073" s="54" t="s">
        <v>558</v>
      </c>
      <c r="G5073" s="54" t="str">
        <f>IF(ISNUMBER(F5073),E5073*F5073,"")</f>
        <v/>
      </c>
      <c r="H5073" s="73"/>
      <c r="I5073" s="74"/>
      <c r="J5073" s="155">
        <v>0</v>
      </c>
    </row>
    <row r="5074" spans="1:10" ht="15.75" hidden="1" thickBot="1" x14ac:dyDescent="0.3">
      <c r="A5074" s="180" t="s">
        <v>3742</v>
      </c>
      <c r="B5074" s="186" t="str">
        <f>INDEX(Orçamentária!A:B,MATCH(Composições!A5074,Orçamentária!A:A,0),2)</f>
        <v>Cabo de fibra óptica monomodo 12 fibras</v>
      </c>
      <c r="C5074" s="41"/>
      <c r="D5074" s="26" t="str">
        <f>TRIM(INDEX(Orçamentária!C:C,MATCH(Composições!A5074,Orçamentária!A:A,0),1))</f>
        <v>m</v>
      </c>
      <c r="E5074" s="27"/>
      <c r="F5074" s="49" t="s">
        <v>558</v>
      </c>
      <c r="G5074" s="28" t="str">
        <f>IF(ISNUMBER(F5074),E5074*F5074,"")</f>
        <v/>
      </c>
      <c r="H5074" s="29"/>
      <c r="I5074" s="30"/>
      <c r="J5074" s="155">
        <v>0</v>
      </c>
    </row>
    <row r="5075" spans="1:10" hidden="1" x14ac:dyDescent="0.25">
      <c r="A5075" s="181"/>
      <c r="B5075" s="202"/>
      <c r="C5075" s="32"/>
      <c r="D5075" s="32"/>
      <c r="E5075" s="33"/>
      <c r="F5075" s="54" t="s">
        <v>558</v>
      </c>
      <c r="G5075" s="54" t="str">
        <f>IF(ISNUMBER(F5075),E5075*F5075,"")</f>
        <v/>
      </c>
      <c r="H5075" s="73"/>
      <c r="I5075" s="74"/>
      <c r="J5075" s="155">
        <v>0</v>
      </c>
    </row>
    <row r="5076" spans="1:10" hidden="1" x14ac:dyDescent="0.25">
      <c r="A5076" s="181"/>
      <c r="B5076" s="202"/>
      <c r="C5076" s="36" t="s">
        <v>3771</v>
      </c>
      <c r="D5076" s="36" t="s">
        <v>93</v>
      </c>
      <c r="E5076" s="37">
        <v>1.05</v>
      </c>
      <c r="F5076" s="31" t="s">
        <v>558</v>
      </c>
      <c r="G5076" s="54" t="str">
        <f>IF(ISNUMBER(F5076),E5076*F5076,"")</f>
        <v/>
      </c>
      <c r="H5076" s="39">
        <f>SUM(G5076:G5078)</f>
        <v>2.8936277999999995</v>
      </c>
      <c r="I5076" s="40"/>
      <c r="J5076" s="155">
        <v>0</v>
      </c>
    </row>
    <row r="5077" spans="1:10" hidden="1" x14ac:dyDescent="0.25">
      <c r="A5077" s="181"/>
      <c r="B5077" s="202"/>
      <c r="C5077" s="36" t="s">
        <v>1213</v>
      </c>
      <c r="D5077" s="47" t="s">
        <v>742</v>
      </c>
      <c r="E5077" s="37">
        <v>7.1099999999999997E-2</v>
      </c>
      <c r="F5077" s="31">
        <v>17.802999999999997</v>
      </c>
      <c r="G5077" s="54">
        <f>IF(ISNUMBER(F5077),E5077*F5077,"")</f>
        <v>1.2657932999999997</v>
      </c>
      <c r="H5077" s="73"/>
      <c r="I5077" s="74"/>
      <c r="J5077" s="155">
        <v>0</v>
      </c>
    </row>
    <row r="5078" spans="1:10" hidden="1" x14ac:dyDescent="0.25">
      <c r="A5078" s="181"/>
      <c r="B5078" s="202"/>
      <c r="C5078" s="36" t="s">
        <v>1214</v>
      </c>
      <c r="D5078" s="36" t="s">
        <v>742</v>
      </c>
      <c r="E5078" s="37">
        <v>7.1099999999999997E-2</v>
      </c>
      <c r="F5078" s="31">
        <v>22.895</v>
      </c>
      <c r="G5078" s="54">
        <f>IF(ISNUMBER(F5078),E5078*F5078,"")</f>
        <v>1.6278344999999999</v>
      </c>
      <c r="H5078" s="73"/>
      <c r="I5078" s="74"/>
      <c r="J5078" s="155">
        <v>0</v>
      </c>
    </row>
    <row r="5079" spans="1:10" hidden="1" x14ac:dyDescent="0.25">
      <c r="A5079" s="181"/>
      <c r="B5079" s="202"/>
      <c r="C5079" s="36"/>
      <c r="D5079" s="47"/>
      <c r="E5079" s="37"/>
      <c r="F5079" s="54" t="s">
        <v>558</v>
      </c>
      <c r="G5079" s="54" t="str">
        <f>IF(ISNUMBER(F5079),E5079*F5079,"")</f>
        <v/>
      </c>
      <c r="H5079" s="73"/>
      <c r="I5079" s="74"/>
      <c r="J5079" s="155">
        <v>0</v>
      </c>
    </row>
    <row r="5080" spans="1:10" ht="15.75" hidden="1" thickBot="1" x14ac:dyDescent="0.3">
      <c r="A5080" s="180" t="s">
        <v>3744</v>
      </c>
      <c r="B5080" s="186" t="str">
        <f>INDEX(Orçamentária!A:B,MATCH(Composições!A5080,Orçamentária!A:A,0),2)</f>
        <v>Cabo de fibra óptica monomodo 144 fibras</v>
      </c>
      <c r="C5080" s="41"/>
      <c r="D5080" s="26" t="str">
        <f>TRIM(INDEX(Orçamentária!C:C,MATCH(Composições!A5080,Orçamentária!A:A,0),1))</f>
        <v>m</v>
      </c>
      <c r="E5080" s="27"/>
      <c r="F5080" s="49" t="s">
        <v>558</v>
      </c>
      <c r="G5080" s="28" t="str">
        <f>IF(ISNUMBER(F5080),E5080*F5080,"")</f>
        <v/>
      </c>
      <c r="H5080" s="29"/>
      <c r="I5080" s="30"/>
      <c r="J5080" s="155">
        <v>0</v>
      </c>
    </row>
    <row r="5081" spans="1:10" hidden="1" x14ac:dyDescent="0.25">
      <c r="A5081" s="181"/>
      <c r="B5081" s="202"/>
      <c r="C5081" s="32"/>
      <c r="D5081" s="32"/>
      <c r="E5081" s="33"/>
      <c r="F5081" s="54" t="s">
        <v>558</v>
      </c>
      <c r="G5081" s="54" t="str">
        <f>IF(ISNUMBER(F5081),E5081*F5081,"")</f>
        <v/>
      </c>
      <c r="H5081" s="73"/>
      <c r="I5081" s="74"/>
      <c r="J5081" s="155">
        <v>0</v>
      </c>
    </row>
    <row r="5082" spans="1:10" hidden="1" x14ac:dyDescent="0.25">
      <c r="A5082" s="181"/>
      <c r="B5082" s="202"/>
      <c r="C5082" s="36" t="s">
        <v>3772</v>
      </c>
      <c r="D5082" s="36" t="s">
        <v>93</v>
      </c>
      <c r="E5082" s="37">
        <v>1.05</v>
      </c>
      <c r="F5082" s="31" t="s">
        <v>558</v>
      </c>
      <c r="G5082" s="54" t="str">
        <f>IF(ISNUMBER(F5082),E5082*F5082,"")</f>
        <v/>
      </c>
      <c r="H5082" s="39">
        <f>SUM(G5082:G5084)</f>
        <v>5.6488823999999997</v>
      </c>
      <c r="I5082" s="40"/>
      <c r="J5082" s="155">
        <v>0</v>
      </c>
    </row>
    <row r="5083" spans="1:10" hidden="1" x14ac:dyDescent="0.25">
      <c r="A5083" s="181"/>
      <c r="B5083" s="202"/>
      <c r="C5083" s="36" t="s">
        <v>1213</v>
      </c>
      <c r="D5083" s="47" t="s">
        <v>742</v>
      </c>
      <c r="E5083" s="37">
        <v>0.13880000000000001</v>
      </c>
      <c r="F5083" s="31">
        <v>17.802999999999997</v>
      </c>
      <c r="G5083" s="54">
        <f>IF(ISNUMBER(F5083),E5083*F5083,"")</f>
        <v>2.4710563999999997</v>
      </c>
      <c r="H5083" s="73"/>
      <c r="I5083" s="74"/>
      <c r="J5083" s="155">
        <v>0</v>
      </c>
    </row>
    <row r="5084" spans="1:10" hidden="1" x14ac:dyDescent="0.25">
      <c r="A5084" s="181"/>
      <c r="B5084" s="202"/>
      <c r="C5084" s="36" t="s">
        <v>1214</v>
      </c>
      <c r="D5084" s="36" t="s">
        <v>742</v>
      </c>
      <c r="E5084" s="37">
        <v>0.13880000000000001</v>
      </c>
      <c r="F5084" s="31">
        <v>22.895</v>
      </c>
      <c r="G5084" s="54">
        <f>IF(ISNUMBER(F5084),E5084*F5084,"")</f>
        <v>3.177826</v>
      </c>
      <c r="H5084" s="73"/>
      <c r="I5084" s="74"/>
      <c r="J5084" s="155">
        <v>0</v>
      </c>
    </row>
    <row r="5085" spans="1:10" hidden="1" x14ac:dyDescent="0.25">
      <c r="A5085" s="181"/>
      <c r="B5085" s="202"/>
      <c r="C5085" s="36"/>
      <c r="D5085" s="47"/>
      <c r="E5085" s="37"/>
      <c r="F5085" s="54" t="s">
        <v>558</v>
      </c>
      <c r="G5085" s="54" t="str">
        <f>IF(ISNUMBER(F5085),E5085*F5085,"")</f>
        <v/>
      </c>
      <c r="H5085" s="73"/>
      <c r="I5085" s="74"/>
      <c r="J5085" s="155">
        <v>0</v>
      </c>
    </row>
    <row r="5086" spans="1:10" ht="15.75" hidden="1" thickBot="1" x14ac:dyDescent="0.3">
      <c r="A5086" s="180" t="s">
        <v>3746</v>
      </c>
      <c r="B5086" s="186" t="str">
        <f>INDEX(Orçamentária!A:B,MATCH(Composições!A5086,Orçamentária!A:A,0),2)</f>
        <v>Eletroduto PEAD 1 1/4" - fornecimento e instalação</v>
      </c>
      <c r="C5086" s="41"/>
      <c r="D5086" s="26" t="str">
        <f>TRIM(INDEX(Orçamentária!C:C,MATCH(Composições!A5086,Orçamentária!A:A,0),1))</f>
        <v>m</v>
      </c>
      <c r="E5086" s="27"/>
      <c r="F5086" s="42" t="s">
        <v>558</v>
      </c>
      <c r="G5086" s="28" t="str">
        <f>IF(ISNUMBER(F5086),E5086*F5086,"")</f>
        <v/>
      </c>
      <c r="H5086" s="29"/>
      <c r="I5086" s="30"/>
      <c r="J5086" s="155">
        <v>0</v>
      </c>
    </row>
    <row r="5087" spans="1:10" hidden="1" x14ac:dyDescent="0.25">
      <c r="A5087" s="200"/>
      <c r="B5087" s="202"/>
      <c r="C5087" s="32"/>
      <c r="D5087" s="32"/>
      <c r="E5087" s="33"/>
      <c r="F5087" s="43" t="s">
        <v>558</v>
      </c>
      <c r="G5087" s="31" t="str">
        <f>IF(ISNUMBER(F5087),E5087*F5087,"")</f>
        <v/>
      </c>
      <c r="H5087" s="35"/>
      <c r="I5087" s="31"/>
      <c r="J5087" s="155">
        <v>0</v>
      </c>
    </row>
    <row r="5088" spans="1:10" ht="38.25" hidden="1" x14ac:dyDescent="0.25">
      <c r="A5088" s="200"/>
      <c r="B5088" s="202"/>
      <c r="C5088" s="36" t="s">
        <v>3400</v>
      </c>
      <c r="D5088" s="36" t="s">
        <v>513</v>
      </c>
      <c r="E5088" s="37">
        <v>1.1000000000000001</v>
      </c>
      <c r="F5088" s="31">
        <v>3.9045000000000001</v>
      </c>
      <c r="G5088" s="34">
        <f>IF(ISNUMBER(F5088),E5088*F5088,"")</f>
        <v>4.29495</v>
      </c>
      <c r="H5088" s="39">
        <f>SUM(G5088:G5091)</f>
        <v>11.4536845</v>
      </c>
      <c r="I5088" s="40"/>
      <c r="J5088" s="155">
        <v>0</v>
      </c>
    </row>
    <row r="5089" spans="1:10" hidden="1" x14ac:dyDescent="0.25">
      <c r="A5089" s="200"/>
      <c r="B5089" s="202"/>
      <c r="C5089" s="36" t="s">
        <v>1213</v>
      </c>
      <c r="D5089" s="36" t="s">
        <v>742</v>
      </c>
      <c r="E5089" s="37">
        <v>0.113</v>
      </c>
      <c r="F5089" s="31">
        <v>17.802999999999997</v>
      </c>
      <c r="G5089" s="34">
        <f>IF(ISNUMBER(F5089),E5089*F5089,"")</f>
        <v>2.0117389999999999</v>
      </c>
      <c r="H5089" s="35"/>
      <c r="I5089" s="31"/>
      <c r="J5089" s="155">
        <v>0</v>
      </c>
    </row>
    <row r="5090" spans="1:10" hidden="1" x14ac:dyDescent="0.25">
      <c r="A5090" s="200"/>
      <c r="B5090" s="202"/>
      <c r="C5090" s="36" t="s">
        <v>1214</v>
      </c>
      <c r="D5090" s="36" t="s">
        <v>742</v>
      </c>
      <c r="E5090" s="37">
        <v>0.113</v>
      </c>
      <c r="F5090" s="31">
        <v>22.895</v>
      </c>
      <c r="G5090" s="34">
        <f>IF(ISNUMBER(F5090),E5090*F5090,"")</f>
        <v>2.587135</v>
      </c>
      <c r="H5090" s="35"/>
      <c r="I5090" s="31"/>
      <c r="J5090" s="155">
        <v>0</v>
      </c>
    </row>
    <row r="5091" spans="1:10" ht="51" hidden="1" x14ac:dyDescent="0.25">
      <c r="A5091" s="200"/>
      <c r="B5091" s="202"/>
      <c r="C5091" s="36" t="s">
        <v>3297</v>
      </c>
      <c r="D5091" s="36" t="s">
        <v>513</v>
      </c>
      <c r="E5091" s="37">
        <v>1</v>
      </c>
      <c r="F5091" s="34">
        <v>2.5598604999999997</v>
      </c>
      <c r="G5091" s="31">
        <f>IF(ISNUMBER(F5091),E5091*F5091,"")</f>
        <v>2.5598604999999997</v>
      </c>
      <c r="H5091" s="35"/>
      <c r="I5091" s="31"/>
      <c r="J5091" s="155">
        <v>0</v>
      </c>
    </row>
    <row r="5092" spans="1:10" ht="15.75" hidden="1" thickBot="1" x14ac:dyDescent="0.3">
      <c r="A5092" s="201"/>
      <c r="B5092" s="188"/>
      <c r="C5092" s="36"/>
      <c r="D5092" s="36"/>
      <c r="E5092" s="37"/>
      <c r="F5092" s="31" t="s">
        <v>558</v>
      </c>
      <c r="G5092" s="31" t="str">
        <f>IF(ISNUMBER(F5092),E5092*F5092,"")</f>
        <v/>
      </c>
      <c r="H5092" s="35"/>
      <c r="I5092" s="31"/>
      <c r="J5092" s="155">
        <v>0</v>
      </c>
    </row>
    <row r="5093" spans="1:10" ht="15.75" hidden="1" thickBot="1" x14ac:dyDescent="0.3">
      <c r="A5093" s="189" t="s">
        <v>3748</v>
      </c>
      <c r="B5093" s="192" t="str">
        <f>INDEX(Orçamentária!A:B,MATCH(Composições!A5093,Orçamentária!A:A,0),2)</f>
        <v>Caixa de Passagem Subterrânea 1600x2000mm</v>
      </c>
      <c r="C5093" s="41"/>
      <c r="D5093" s="26" t="str">
        <f>TRIM(INDEX(Orçamentária!C:C,MATCH(Composições!A5093,Orçamentária!A:A,0),1))</f>
        <v>un</v>
      </c>
      <c r="E5093" s="27"/>
      <c r="F5093" s="42" t="s">
        <v>558</v>
      </c>
      <c r="G5093" s="28" t="str">
        <f>IF(ISNUMBER(F5093),E5093*F5093,"")</f>
        <v/>
      </c>
      <c r="H5093" s="29"/>
      <c r="I5093" s="30"/>
      <c r="J5093" s="155">
        <v>0</v>
      </c>
    </row>
    <row r="5094" spans="1:10" hidden="1" x14ac:dyDescent="0.25">
      <c r="A5094" s="190"/>
      <c r="B5094" s="203"/>
      <c r="C5094" s="32"/>
      <c r="D5094" s="32"/>
      <c r="E5094" s="33"/>
      <c r="F5094" s="43" t="s">
        <v>558</v>
      </c>
      <c r="G5094" s="31" t="str">
        <f>IF(ISNUMBER(F5094),E5094*F5094,"")</f>
        <v/>
      </c>
      <c r="H5094" s="35"/>
      <c r="I5094" s="31"/>
      <c r="J5094" s="155">
        <v>0</v>
      </c>
    </row>
    <row r="5095" spans="1:10" ht="63.75" hidden="1" x14ac:dyDescent="0.25">
      <c r="A5095" s="190"/>
      <c r="B5095" s="203"/>
      <c r="C5095" s="36" t="s">
        <v>3268</v>
      </c>
      <c r="D5095" s="36" t="s">
        <v>982</v>
      </c>
      <c r="E5095" s="37">
        <f>ROUND(0.0087*3.33,4)</f>
        <v>2.9000000000000001E-2</v>
      </c>
      <c r="F5095" s="31">
        <v>101.0515</v>
      </c>
      <c r="G5095" s="34">
        <f>IF(ISNUMBER(F5095),E5095*F5095,"")</f>
        <v>2.9304935000000003</v>
      </c>
      <c r="H5095" s="39">
        <f>SUM(G5095:G5103)</f>
        <v>1663.9838983179959</v>
      </c>
      <c r="I5095" s="40"/>
      <c r="J5095" s="155">
        <v>0</v>
      </c>
    </row>
    <row r="5096" spans="1:10" ht="63.75" hidden="1" x14ac:dyDescent="0.25">
      <c r="A5096" s="190"/>
      <c r="B5096" s="203"/>
      <c r="C5096" s="36" t="s">
        <v>3276</v>
      </c>
      <c r="D5096" s="36" t="s">
        <v>984</v>
      </c>
      <c r="E5096" s="37">
        <f>ROUND(0.0294*3.33,4)</f>
        <v>9.7900000000000001E-2</v>
      </c>
      <c r="F5096" s="31">
        <v>40.412999999999997</v>
      </c>
      <c r="G5096" s="34">
        <f>IF(ISNUMBER(F5096),E5096*F5096,"")</f>
        <v>3.9564326999999997</v>
      </c>
      <c r="H5096" s="35"/>
      <c r="I5096" s="31"/>
      <c r="J5096" s="155">
        <v>0</v>
      </c>
    </row>
    <row r="5097" spans="1:10" hidden="1" x14ac:dyDescent="0.25">
      <c r="A5097" s="190"/>
      <c r="B5097" s="203"/>
      <c r="C5097" s="36" t="s">
        <v>3610</v>
      </c>
      <c r="D5097" s="36" t="s">
        <v>292</v>
      </c>
      <c r="E5097" s="37">
        <f>ROUND(169.8027*3.33,4)</f>
        <v>565.44299999999998</v>
      </c>
      <c r="F5097" s="34">
        <v>0.66499999999999992</v>
      </c>
      <c r="G5097" s="31">
        <f>IF(ISNUMBER(F5097),E5097*F5097,"")</f>
        <v>376.01959499999992</v>
      </c>
      <c r="H5097" s="35"/>
      <c r="I5097" s="31"/>
      <c r="J5097" s="155">
        <v>0</v>
      </c>
    </row>
    <row r="5098" spans="1:10" ht="38.25" hidden="1" x14ac:dyDescent="0.25">
      <c r="A5098" s="190"/>
      <c r="B5098" s="203"/>
      <c r="C5098" s="36" t="s">
        <v>1044</v>
      </c>
      <c r="D5098" s="36" t="s">
        <v>122</v>
      </c>
      <c r="E5098" s="37">
        <f>ROUND(0.0014*3.33,4)</f>
        <v>4.7000000000000002E-3</v>
      </c>
      <c r="F5098" s="31">
        <v>443.66862473099997</v>
      </c>
      <c r="G5098" s="34">
        <f>IF(ISNUMBER(F5098),E5098*F5098,"")</f>
        <v>2.0852425362356999</v>
      </c>
      <c r="H5098" s="35"/>
      <c r="I5098" s="40"/>
      <c r="J5098" s="155">
        <v>0</v>
      </c>
    </row>
    <row r="5099" spans="1:10" hidden="1" x14ac:dyDescent="0.25">
      <c r="A5099" s="190"/>
      <c r="B5099" s="203"/>
      <c r="C5099" s="36" t="s">
        <v>750</v>
      </c>
      <c r="D5099" s="36" t="s">
        <v>742</v>
      </c>
      <c r="E5099" s="37">
        <f>ROUND(5.4392*3.33,4)</f>
        <v>18.112500000000001</v>
      </c>
      <c r="F5099" s="31">
        <v>22.704999999999998</v>
      </c>
      <c r="G5099" s="34">
        <f>IF(ISNUMBER(F5099),E5099*F5099,"")</f>
        <v>411.24431249999998</v>
      </c>
      <c r="H5099" s="35"/>
      <c r="I5099" s="31"/>
      <c r="J5099" s="155">
        <v>0</v>
      </c>
    </row>
    <row r="5100" spans="1:10" hidden="1" x14ac:dyDescent="0.25">
      <c r="A5100" s="190"/>
      <c r="B5100" s="203"/>
      <c r="C5100" s="36" t="s">
        <v>743</v>
      </c>
      <c r="D5100" s="36" t="s">
        <v>742</v>
      </c>
      <c r="E5100" s="37">
        <f>ROUND(5.4392*3.33,4)</f>
        <v>18.112500000000001</v>
      </c>
      <c r="F5100" s="34">
        <v>16.729499999999998</v>
      </c>
      <c r="G5100" s="31">
        <f>IF(ISNUMBER(F5100),E5100*F5100,"")</f>
        <v>303.01306875</v>
      </c>
      <c r="H5100" s="35"/>
      <c r="I5100" s="31"/>
      <c r="J5100" s="155">
        <v>0</v>
      </c>
    </row>
    <row r="5101" spans="1:10" ht="25.5" hidden="1" x14ac:dyDescent="0.25">
      <c r="A5101" s="190"/>
      <c r="B5101" s="203"/>
      <c r="C5101" s="36" t="s">
        <v>3305</v>
      </c>
      <c r="D5101" s="36" t="s">
        <v>122</v>
      </c>
      <c r="E5101" s="37">
        <f>ROUND(0.1012*3.33,4)</f>
        <v>0.33700000000000002</v>
      </c>
      <c r="F5101" s="31">
        <v>453.32971143350005</v>
      </c>
      <c r="G5101" s="34">
        <f>IF(ISNUMBER(F5101),E5101*F5101,"")</f>
        <v>152.77211275308952</v>
      </c>
      <c r="H5101" s="35"/>
      <c r="I5101" s="40"/>
      <c r="J5101" s="155">
        <v>0</v>
      </c>
    </row>
    <row r="5102" spans="1:10" ht="25.5" hidden="1" x14ac:dyDescent="0.25">
      <c r="A5102" s="190"/>
      <c r="B5102" s="203"/>
      <c r="C5102" s="36" t="s">
        <v>3296</v>
      </c>
      <c r="D5102" s="36" t="s">
        <v>122</v>
      </c>
      <c r="E5102" s="37">
        <f>ROUND(0.0448*3.33,4)</f>
        <v>0.1492</v>
      </c>
      <c r="F5102" s="31">
        <v>2227.3419932169722</v>
      </c>
      <c r="G5102" s="34">
        <f>IF(ISNUMBER(F5102),E5102*F5102,"")</f>
        <v>332.31942538797227</v>
      </c>
      <c r="H5102" s="35"/>
      <c r="I5102" s="31"/>
      <c r="J5102" s="155">
        <v>0</v>
      </c>
    </row>
    <row r="5103" spans="1:10" ht="25.5" hidden="1" x14ac:dyDescent="0.25">
      <c r="A5103" s="190"/>
      <c r="B5103" s="203"/>
      <c r="C5103" s="36" t="s">
        <v>3779</v>
      </c>
      <c r="D5103" s="36" t="s">
        <v>122</v>
      </c>
      <c r="E5103" s="37">
        <f>ROUND(0.081*3.33,4)</f>
        <v>0.2697</v>
      </c>
      <c r="F5103" s="34">
        <v>295.30298550500004</v>
      </c>
      <c r="G5103" s="31">
        <f>IF(ISNUMBER(F5103),E5103*F5103,"")</f>
        <v>79.643215190698513</v>
      </c>
      <c r="H5103" s="35"/>
      <c r="I5103" s="31"/>
      <c r="J5103" s="155">
        <v>0</v>
      </c>
    </row>
    <row r="5104" spans="1:10" ht="15.75" hidden="1" thickBot="1" x14ac:dyDescent="0.3">
      <c r="A5104" s="191"/>
      <c r="B5104" s="194"/>
      <c r="C5104" s="36"/>
      <c r="D5104" s="36"/>
      <c r="E5104" s="37"/>
      <c r="F5104" s="31" t="s">
        <v>558</v>
      </c>
      <c r="G5104" s="31" t="str">
        <f>IF(ISNUMBER(F5104),E5104*F5104,"")</f>
        <v/>
      </c>
      <c r="H5104" s="35"/>
      <c r="I5104" s="31"/>
      <c r="J5104" s="155">
        <v>0</v>
      </c>
    </row>
    <row r="5105" spans="1:10" ht="15.75" hidden="1" thickBot="1" x14ac:dyDescent="0.3">
      <c r="A5105" s="180" t="s">
        <v>3750</v>
      </c>
      <c r="B5105" s="186" t="str">
        <f>INDEX(Orçamentária!A:B,MATCH(Composições!A5105,Orçamentária!A:A,0),2)</f>
        <v>Projeto Executivo de Rede de Telecomunicações Backbone</v>
      </c>
      <c r="C5105" s="41"/>
      <c r="D5105" s="26" t="str">
        <f>TRIM(INDEX(Orçamentária!C:C,MATCH(Composições!A5105,Orçamentária!A:A,0),1))</f>
        <v>un</v>
      </c>
      <c r="E5105" s="27"/>
      <c r="F5105" s="42" t="s">
        <v>558</v>
      </c>
      <c r="G5105" s="28" t="str">
        <f>IF(ISNUMBER(F5105),E5105*F5105,"")</f>
        <v/>
      </c>
      <c r="H5105" s="29"/>
      <c r="I5105" s="30"/>
      <c r="J5105" s="155">
        <v>0</v>
      </c>
    </row>
    <row r="5106" spans="1:10" hidden="1" x14ac:dyDescent="0.25">
      <c r="A5106" s="200"/>
      <c r="B5106" s="202"/>
      <c r="C5106" s="32"/>
      <c r="D5106" s="32"/>
      <c r="E5106" s="33"/>
      <c r="F5106" s="43" t="s">
        <v>558</v>
      </c>
      <c r="G5106" s="31" t="str">
        <f>IF(ISNUMBER(F5106),E5106*F5106,"")</f>
        <v/>
      </c>
      <c r="H5106" s="35"/>
      <c r="I5106" s="31"/>
      <c r="J5106" s="155">
        <v>0</v>
      </c>
    </row>
    <row r="5107" spans="1:10" hidden="1" x14ac:dyDescent="0.25">
      <c r="A5107" s="200"/>
      <c r="B5107" s="202"/>
      <c r="C5107" s="36" t="s">
        <v>18</v>
      </c>
      <c r="D5107" s="36" t="s">
        <v>12</v>
      </c>
      <c r="E5107" s="37">
        <v>40</v>
      </c>
      <c r="F5107" s="31">
        <v>100.6525</v>
      </c>
      <c r="G5107" s="34">
        <f>IF(ISNUMBER(F5107),E5107*F5107,"")</f>
        <v>4026.1000000000004</v>
      </c>
      <c r="H5107" s="39">
        <f>SUM(G5107:G5111)</f>
        <v>5273.6900000000005</v>
      </c>
      <c r="I5107" s="40"/>
      <c r="J5107" s="155">
        <v>0</v>
      </c>
    </row>
    <row r="5108" spans="1:10" hidden="1" x14ac:dyDescent="0.25">
      <c r="A5108" s="200"/>
      <c r="B5108" s="202"/>
      <c r="C5108" s="36" t="s">
        <v>3315</v>
      </c>
      <c r="D5108" s="36" t="s">
        <v>12</v>
      </c>
      <c r="E5108" s="37">
        <v>20</v>
      </c>
      <c r="F5108" s="31">
        <v>24.870999999999999</v>
      </c>
      <c r="G5108" s="34">
        <f>IF(ISNUMBER(F5108),E5108*F5108,"")</f>
        <v>497.41999999999996</v>
      </c>
      <c r="H5108" s="35"/>
      <c r="I5108" s="31"/>
      <c r="J5108" s="155">
        <v>0</v>
      </c>
    </row>
    <row r="5109" spans="1:10" hidden="1" x14ac:dyDescent="0.25">
      <c r="A5109" s="200"/>
      <c r="B5109" s="202"/>
      <c r="C5109" s="36" t="s">
        <v>3316</v>
      </c>
      <c r="D5109" s="36" t="s">
        <v>12</v>
      </c>
      <c r="E5109" s="37">
        <v>20</v>
      </c>
      <c r="F5109" s="31">
        <v>17.869499999999999</v>
      </c>
      <c r="G5109" s="34">
        <f>IF(ISNUMBER(F5109),E5109*F5109,"")</f>
        <v>357.39</v>
      </c>
      <c r="H5109" s="35"/>
      <c r="I5109" s="31"/>
      <c r="J5109" s="155">
        <v>0</v>
      </c>
    </row>
    <row r="5110" spans="1:10" hidden="1" x14ac:dyDescent="0.25">
      <c r="A5110" s="200"/>
      <c r="B5110" s="202"/>
      <c r="C5110" s="36" t="s">
        <v>3309</v>
      </c>
      <c r="D5110" s="36" t="s">
        <v>12</v>
      </c>
      <c r="E5110" s="37">
        <v>20</v>
      </c>
      <c r="F5110" s="31">
        <v>7.9419999999999993</v>
      </c>
      <c r="G5110" s="34">
        <f>IF(ISNUMBER(F5110),E5110*F5110,"")</f>
        <v>158.83999999999997</v>
      </c>
      <c r="H5110" s="35"/>
      <c r="I5110" s="31"/>
      <c r="J5110" s="155">
        <v>0</v>
      </c>
    </row>
    <row r="5111" spans="1:10" hidden="1" x14ac:dyDescent="0.25">
      <c r="A5111" s="200"/>
      <c r="B5111" s="202"/>
      <c r="C5111" s="36" t="s">
        <v>19</v>
      </c>
      <c r="D5111" s="36" t="s">
        <v>20</v>
      </c>
      <c r="E5111" s="37">
        <v>1</v>
      </c>
      <c r="F5111" s="34">
        <v>233.94</v>
      </c>
      <c r="G5111" s="31">
        <f>IF(ISNUMBER(F5111),E5111*F5111,"")</f>
        <v>233.94</v>
      </c>
      <c r="H5111" s="35"/>
      <c r="I5111" s="31"/>
      <c r="J5111" s="155">
        <v>0</v>
      </c>
    </row>
    <row r="5112" spans="1:10" ht="15.75" hidden="1" thickBot="1" x14ac:dyDescent="0.3">
      <c r="A5112" s="201"/>
      <c r="B5112" s="188"/>
      <c r="C5112" s="36"/>
      <c r="D5112" s="36"/>
      <c r="E5112" s="37"/>
      <c r="F5112" s="31" t="s">
        <v>558</v>
      </c>
      <c r="G5112" s="31" t="str">
        <f>IF(ISNUMBER(F5112),E5112*F5112,"")</f>
        <v/>
      </c>
      <c r="H5112" s="35"/>
      <c r="I5112" s="31"/>
      <c r="J5112" s="155">
        <v>0</v>
      </c>
    </row>
    <row r="5113" spans="1:10" ht="15.75" hidden="1" thickBot="1" x14ac:dyDescent="0.3">
      <c r="A5113" s="180" t="s">
        <v>3752</v>
      </c>
      <c r="B5113" s="186" t="str">
        <f>INDEX(Orçamentária!A:B,MATCH(Composições!A5113,Orçamentária!A:A,0),2)</f>
        <v>Eletroduto PEAD 2”</v>
      </c>
      <c r="C5113" s="41"/>
      <c r="D5113" s="26" t="str">
        <f>TRIM(INDEX(Orçamentária!C:C,MATCH(Composições!A5113,Orçamentária!A:A,0),1))</f>
        <v>m</v>
      </c>
      <c r="E5113" s="27"/>
      <c r="F5113" s="42" t="s">
        <v>558</v>
      </c>
      <c r="G5113" s="28" t="str">
        <f>IF(ISNUMBER(F5113),E5113*F5113,"")</f>
        <v/>
      </c>
      <c r="H5113" s="29"/>
      <c r="I5113" s="30"/>
      <c r="J5113" s="155">
        <v>0</v>
      </c>
    </row>
    <row r="5114" spans="1:10" hidden="1" x14ac:dyDescent="0.25">
      <c r="A5114" s="200"/>
      <c r="B5114" s="202"/>
      <c r="C5114" s="32"/>
      <c r="D5114" s="32"/>
      <c r="E5114" s="33"/>
      <c r="F5114" s="43" t="s">
        <v>558</v>
      </c>
      <c r="G5114" s="31" t="str">
        <f>IF(ISNUMBER(F5114),E5114*F5114,"")</f>
        <v/>
      </c>
      <c r="H5114" s="35"/>
      <c r="I5114" s="31"/>
      <c r="J5114" s="155">
        <v>0</v>
      </c>
    </row>
    <row r="5115" spans="1:10" ht="38.25" hidden="1" x14ac:dyDescent="0.25">
      <c r="A5115" s="200"/>
      <c r="B5115" s="202"/>
      <c r="C5115" s="36" t="s">
        <v>3399</v>
      </c>
      <c r="D5115" s="36" t="s">
        <v>513</v>
      </c>
      <c r="E5115" s="37">
        <v>1.1000000000000001</v>
      </c>
      <c r="F5115" s="31">
        <v>6.4409999999999998</v>
      </c>
      <c r="G5115" s="34">
        <f>IF(ISNUMBER(F5115),E5115*F5115,"")</f>
        <v>7.0851000000000006</v>
      </c>
      <c r="H5115" s="39">
        <f>SUM(G5115:G5117)</f>
        <v>11.35839</v>
      </c>
      <c r="I5115" s="40"/>
      <c r="J5115" s="155">
        <v>0</v>
      </c>
    </row>
    <row r="5116" spans="1:10" hidden="1" x14ac:dyDescent="0.25">
      <c r="A5116" s="200"/>
      <c r="B5116" s="202"/>
      <c r="C5116" s="36" t="s">
        <v>1213</v>
      </c>
      <c r="D5116" s="36" t="s">
        <v>742</v>
      </c>
      <c r="E5116" s="37">
        <v>0.105</v>
      </c>
      <c r="F5116" s="31">
        <v>17.802999999999997</v>
      </c>
      <c r="G5116" s="34">
        <f>IF(ISNUMBER(F5116),E5116*F5116,"")</f>
        <v>1.8693149999999996</v>
      </c>
      <c r="H5116" s="35"/>
      <c r="I5116" s="31"/>
      <c r="J5116" s="155">
        <v>0</v>
      </c>
    </row>
    <row r="5117" spans="1:10" hidden="1" x14ac:dyDescent="0.25">
      <c r="A5117" s="200"/>
      <c r="B5117" s="202"/>
      <c r="C5117" s="36" t="s">
        <v>1214</v>
      </c>
      <c r="D5117" s="36" t="s">
        <v>742</v>
      </c>
      <c r="E5117" s="37">
        <v>0.105</v>
      </c>
      <c r="F5117" s="34">
        <v>22.895</v>
      </c>
      <c r="G5117" s="31">
        <f>IF(ISNUMBER(F5117),E5117*F5117,"")</f>
        <v>2.403975</v>
      </c>
      <c r="H5117" s="35"/>
      <c r="I5117" s="31"/>
      <c r="J5117" s="155">
        <v>0</v>
      </c>
    </row>
    <row r="5118" spans="1:10" ht="15.75" hidden="1" thickBot="1" x14ac:dyDescent="0.3">
      <c r="A5118" s="201"/>
      <c r="B5118" s="188"/>
      <c r="C5118" s="36"/>
      <c r="D5118" s="36"/>
      <c r="E5118" s="37"/>
      <c r="F5118" s="31" t="s">
        <v>558</v>
      </c>
      <c r="G5118" s="31" t="str">
        <f>IF(ISNUMBER(F5118),E5118*F5118,"")</f>
        <v/>
      </c>
      <c r="H5118" s="35"/>
      <c r="I5118" s="31"/>
      <c r="J5118" s="155">
        <v>0</v>
      </c>
    </row>
    <row r="5119" spans="1:10" ht="15.75" hidden="1" thickBot="1" x14ac:dyDescent="0.3">
      <c r="A5119" s="180" t="s">
        <v>3758</v>
      </c>
      <c r="B5119" s="186" t="str">
        <f>INDEX(Orçamentária!A:B,MATCH(Composições!A5119,Orçamentária!A:A,0),2)</f>
        <v>Tampa em Ferro Fundido - Circular DN-600 mm Classe 400</v>
      </c>
      <c r="C5119" s="41"/>
      <c r="D5119" s="26" t="str">
        <f>TRIM(INDEX(Orçamentária!C:C,MATCH(Composições!A5119,Orçamentária!A:A,0),1))</f>
        <v>un</v>
      </c>
      <c r="E5119" s="27"/>
      <c r="F5119" s="49" t="s">
        <v>558</v>
      </c>
      <c r="G5119" s="28" t="str">
        <f>IF(ISNUMBER(F5119),E5119*F5119,"")</f>
        <v/>
      </c>
      <c r="H5119" s="29"/>
      <c r="I5119" s="30"/>
      <c r="J5119" s="155">
        <v>0</v>
      </c>
    </row>
    <row r="5120" spans="1:10" hidden="1" x14ac:dyDescent="0.25">
      <c r="A5120" s="181"/>
      <c r="B5120" s="187"/>
      <c r="C5120" s="160"/>
      <c r="D5120" s="160"/>
      <c r="E5120" s="161"/>
      <c r="F5120" s="54" t="s">
        <v>558</v>
      </c>
      <c r="G5120" s="54" t="str">
        <f>IF(ISNUMBER(F5120),E5120*F5120,"")</f>
        <v/>
      </c>
      <c r="H5120" s="73"/>
      <c r="I5120" s="74"/>
      <c r="J5120" s="155">
        <v>0</v>
      </c>
    </row>
    <row r="5121" spans="1:10" ht="25.5" hidden="1" x14ac:dyDescent="0.25">
      <c r="A5121" s="181"/>
      <c r="B5121" s="187"/>
      <c r="C5121" s="162" t="s">
        <v>3454</v>
      </c>
      <c r="D5121" s="162" t="s">
        <v>292</v>
      </c>
      <c r="E5121" s="163">
        <v>1</v>
      </c>
      <c r="F5121" s="31">
        <v>768.83499999999992</v>
      </c>
      <c r="G5121" s="54">
        <f>IF(ISNUMBER(F5121),E5121*F5121,"")</f>
        <v>768.83499999999992</v>
      </c>
      <c r="H5121" s="39">
        <f>SUM(G5121:G5124)</f>
        <v>806.99819988030731</v>
      </c>
      <c r="I5121" s="40"/>
      <c r="J5121" s="155">
        <v>0</v>
      </c>
    </row>
    <row r="5122" spans="1:10" hidden="1" x14ac:dyDescent="0.25">
      <c r="A5122" s="181"/>
      <c r="B5122" s="187"/>
      <c r="C5122" s="162" t="s">
        <v>750</v>
      </c>
      <c r="D5122" s="162" t="s">
        <v>742</v>
      </c>
      <c r="E5122" s="163">
        <v>1.0088999999999999</v>
      </c>
      <c r="F5122" s="31">
        <v>22.704999999999998</v>
      </c>
      <c r="G5122" s="54">
        <f>IF(ISNUMBER(F5122),E5122*F5122,"")</f>
        <v>22.907074499999997</v>
      </c>
      <c r="H5122" s="73"/>
      <c r="I5122" s="74"/>
      <c r="J5122" s="155">
        <v>0</v>
      </c>
    </row>
    <row r="5123" spans="1:10" hidden="1" x14ac:dyDescent="0.25">
      <c r="A5123" s="181"/>
      <c r="B5123" s="187"/>
      <c r="C5123" s="162" t="s">
        <v>743</v>
      </c>
      <c r="D5123" s="164" t="s">
        <v>742</v>
      </c>
      <c r="E5123" s="163">
        <v>0.79269999999999996</v>
      </c>
      <c r="F5123" s="31">
        <v>16.729499999999998</v>
      </c>
      <c r="G5123" s="54">
        <f>IF(ISNUMBER(F5123),E5123*F5123,"")</f>
        <v>13.261474649999998</v>
      </c>
      <c r="H5123" s="73"/>
      <c r="I5123" s="74"/>
      <c r="J5123" s="155">
        <v>0</v>
      </c>
    </row>
    <row r="5124" spans="1:10" ht="25.5" hidden="1" x14ac:dyDescent="0.25">
      <c r="A5124" s="181"/>
      <c r="B5124" s="187"/>
      <c r="C5124" s="162" t="s">
        <v>3305</v>
      </c>
      <c r="D5124" s="162" t="s">
        <v>122</v>
      </c>
      <c r="E5124" s="163">
        <v>4.4000000000000003E-3</v>
      </c>
      <c r="F5124" s="31">
        <v>453.32971143350005</v>
      </c>
      <c r="G5124" s="54">
        <f>IF(ISNUMBER(F5124),E5124*F5124,"")</f>
        <v>1.9946507303074004</v>
      </c>
      <c r="H5124" s="73"/>
      <c r="I5124" s="74"/>
      <c r="J5124" s="155">
        <v>0</v>
      </c>
    </row>
    <row r="5125" spans="1:10" ht="15.75" hidden="1" thickBot="1" x14ac:dyDescent="0.3">
      <c r="A5125" s="182"/>
      <c r="B5125" s="188"/>
      <c r="C5125" s="55"/>
      <c r="D5125" s="165"/>
      <c r="E5125" s="66"/>
      <c r="F5125" s="76" t="s">
        <v>558</v>
      </c>
      <c r="G5125" s="76" t="str">
        <f>IF(ISNUMBER(F5125),E5125*F5125,"")</f>
        <v/>
      </c>
      <c r="H5125" s="77"/>
      <c r="I5125" s="74"/>
      <c r="J5125" s="155">
        <v>0</v>
      </c>
    </row>
    <row r="5126" spans="1:10" ht="15.75" hidden="1" thickBot="1" x14ac:dyDescent="0.3">
      <c r="A5126" s="180" t="s">
        <v>3801</v>
      </c>
      <c r="B5126" s="186" t="str">
        <f>INDEX(Orçamentária!A:B,MATCH(Composições!A5126,Orçamentária!A:A,0),2)</f>
        <v>Tubo multicamadas flexível 20 mm para gás</v>
      </c>
      <c r="C5126" s="41"/>
      <c r="D5126" s="26" t="str">
        <f>TRIM(INDEX(Orçamentária!C:C,MATCH(Composições!A5126,Orçamentária!A:A,0),1))</f>
        <v>m</v>
      </c>
      <c r="E5126" s="27"/>
      <c r="F5126" s="49" t="s">
        <v>558</v>
      </c>
      <c r="G5126" s="28" t="str">
        <f>IF(ISNUMBER(F5126),E5126*F5126,"")</f>
        <v/>
      </c>
      <c r="H5126" s="29"/>
      <c r="I5126" s="30"/>
      <c r="J5126" s="155">
        <v>0</v>
      </c>
    </row>
    <row r="5127" spans="1:10" hidden="1" x14ac:dyDescent="0.25">
      <c r="A5127" s="181"/>
      <c r="B5127" s="202"/>
      <c r="C5127" s="167"/>
      <c r="D5127" s="167"/>
      <c r="E5127" s="168"/>
      <c r="F5127" s="54" t="s">
        <v>558</v>
      </c>
      <c r="G5127" s="54" t="str">
        <f>IF(ISNUMBER(F5127),E5127*F5127,"")</f>
        <v/>
      </c>
      <c r="H5127" s="73"/>
      <c r="I5127" s="74"/>
      <c r="J5127" s="155">
        <v>0</v>
      </c>
    </row>
    <row r="5128" spans="1:10" ht="25.5" hidden="1" x14ac:dyDescent="0.25">
      <c r="A5128" s="181"/>
      <c r="B5128" s="202"/>
      <c r="C5128" s="36" t="s">
        <v>3478</v>
      </c>
      <c r="D5128" s="36" t="s">
        <v>513</v>
      </c>
      <c r="E5128" s="37">
        <v>1.0216000000000001</v>
      </c>
      <c r="F5128" s="31">
        <v>18.943000000000001</v>
      </c>
      <c r="G5128" s="54">
        <f>IF(ISNUMBER(F5128),E5128*F5128,"")</f>
        <v>19.352168800000001</v>
      </c>
      <c r="H5128" s="39">
        <f>SUM(G5128:G5130)</f>
        <v>26.773487100000001</v>
      </c>
      <c r="I5128" s="40"/>
      <c r="J5128" s="155">
        <v>0</v>
      </c>
    </row>
    <row r="5129" spans="1:10" ht="25.5" hidden="1" x14ac:dyDescent="0.25">
      <c r="A5129" s="181"/>
      <c r="B5129" s="202"/>
      <c r="C5129" s="36" t="s">
        <v>993</v>
      </c>
      <c r="D5129" s="47" t="s">
        <v>742</v>
      </c>
      <c r="E5129" s="37">
        <v>8.1799999999999998E-2</v>
      </c>
      <c r="F5129" s="31">
        <v>17.3185</v>
      </c>
      <c r="G5129" s="54">
        <f>IF(ISNUMBER(F5129),E5129*F5129,"")</f>
        <v>1.4166532999999999</v>
      </c>
      <c r="H5129" s="73"/>
      <c r="I5129" s="74"/>
      <c r="J5129" s="155">
        <v>0</v>
      </c>
    </row>
    <row r="5130" spans="1:10" ht="25.5" hidden="1" x14ac:dyDescent="0.25">
      <c r="A5130" s="181"/>
      <c r="B5130" s="202"/>
      <c r="C5130" s="36" t="s">
        <v>994</v>
      </c>
      <c r="D5130" s="36" t="s">
        <v>742</v>
      </c>
      <c r="E5130" s="37">
        <v>0.27</v>
      </c>
      <c r="F5130" s="31">
        <v>22.2395</v>
      </c>
      <c r="G5130" s="54">
        <f>IF(ISNUMBER(F5130),E5130*F5130,"")</f>
        <v>6.0046650000000001</v>
      </c>
      <c r="H5130" s="73"/>
      <c r="I5130" s="74"/>
      <c r="J5130" s="155">
        <v>0</v>
      </c>
    </row>
    <row r="5131" spans="1:10" hidden="1" x14ac:dyDescent="0.25">
      <c r="A5131" s="181"/>
      <c r="B5131" s="202"/>
      <c r="C5131" s="36"/>
      <c r="D5131" s="47"/>
      <c r="E5131" s="37"/>
      <c r="F5131" s="54" t="s">
        <v>558</v>
      </c>
      <c r="G5131" s="54" t="str">
        <f>IF(ISNUMBER(F5131),E5131*F5131,"")</f>
        <v/>
      </c>
      <c r="H5131" s="73"/>
      <c r="I5131" s="74"/>
      <c r="J5131" s="155">
        <v>0</v>
      </c>
    </row>
    <row r="5132" spans="1:10" ht="15.75" hidden="1" thickBot="1" x14ac:dyDescent="0.3">
      <c r="A5132" s="180" t="s">
        <v>3802</v>
      </c>
      <c r="B5132" s="186" t="str">
        <f>INDEX(Orçamentária!A:B,MATCH(Composições!A5132,Orçamentária!A:A,0),2)</f>
        <v>Tubo multicamadas flexível 26 mm para gás</v>
      </c>
      <c r="C5132" s="41"/>
      <c r="D5132" s="26" t="str">
        <f>TRIM(INDEX(Orçamentária!C:C,MATCH(Composições!A5132,Orçamentária!A:A,0),1))</f>
        <v>m</v>
      </c>
      <c r="E5132" s="27"/>
      <c r="F5132" s="49" t="s">
        <v>558</v>
      </c>
      <c r="G5132" s="28" t="str">
        <f>IF(ISNUMBER(F5132),E5132*F5132,"")</f>
        <v/>
      </c>
      <c r="H5132" s="29"/>
      <c r="I5132" s="30"/>
      <c r="J5132" s="155">
        <v>0</v>
      </c>
    </row>
    <row r="5133" spans="1:10" hidden="1" x14ac:dyDescent="0.25">
      <c r="A5133" s="181"/>
      <c r="B5133" s="187"/>
      <c r="C5133" s="169"/>
      <c r="D5133" s="169"/>
      <c r="E5133" s="170"/>
      <c r="F5133" s="54" t="s">
        <v>558</v>
      </c>
      <c r="G5133" s="54" t="str">
        <f>IF(ISNUMBER(F5133),E5133*F5133,"")</f>
        <v/>
      </c>
      <c r="H5133" s="73"/>
      <c r="I5133" s="74"/>
      <c r="J5133" s="155">
        <v>0</v>
      </c>
    </row>
    <row r="5134" spans="1:10" ht="25.5" hidden="1" x14ac:dyDescent="0.25">
      <c r="A5134" s="181"/>
      <c r="B5134" s="187"/>
      <c r="C5134" s="36" t="s">
        <v>3477</v>
      </c>
      <c r="D5134" s="162" t="s">
        <v>513</v>
      </c>
      <c r="E5134" s="163">
        <v>1.0216000000000001</v>
      </c>
      <c r="F5134" s="31">
        <v>26.22</v>
      </c>
      <c r="G5134" s="54">
        <f>IF(ISNUMBER(F5134),E5134*F5134,"")</f>
        <v>26.786352000000001</v>
      </c>
      <c r="H5134" s="39">
        <f>SUM(G5134:G5136)</f>
        <v>35.665191649999997</v>
      </c>
      <c r="I5134" s="40"/>
      <c r="J5134" s="155">
        <v>0</v>
      </c>
    </row>
    <row r="5135" spans="1:10" ht="25.5" hidden="1" x14ac:dyDescent="0.25">
      <c r="A5135" s="181"/>
      <c r="B5135" s="187"/>
      <c r="C5135" s="162" t="s">
        <v>993</v>
      </c>
      <c r="D5135" s="164" t="s">
        <v>742</v>
      </c>
      <c r="E5135" s="163">
        <v>9.7900000000000001E-2</v>
      </c>
      <c r="F5135" s="31">
        <v>17.3185</v>
      </c>
      <c r="G5135" s="54">
        <f>IF(ISNUMBER(F5135),E5135*F5135,"")</f>
        <v>1.69548115</v>
      </c>
      <c r="H5135" s="73"/>
      <c r="I5135" s="74"/>
      <c r="J5135" s="155">
        <v>0</v>
      </c>
    </row>
    <row r="5136" spans="1:10" ht="25.5" hidden="1" x14ac:dyDescent="0.25">
      <c r="A5136" s="181"/>
      <c r="B5136" s="187"/>
      <c r="C5136" s="162" t="s">
        <v>994</v>
      </c>
      <c r="D5136" s="162" t="s">
        <v>742</v>
      </c>
      <c r="E5136" s="163">
        <v>0.32300000000000001</v>
      </c>
      <c r="F5136" s="31">
        <v>22.2395</v>
      </c>
      <c r="G5136" s="54">
        <f>IF(ISNUMBER(F5136),E5136*F5136,"")</f>
        <v>7.1833584999999998</v>
      </c>
      <c r="H5136" s="73"/>
      <c r="I5136" s="74"/>
      <c r="J5136" s="155">
        <v>0</v>
      </c>
    </row>
    <row r="5137" spans="1:10" ht="15.75" hidden="1" thickBot="1" x14ac:dyDescent="0.3">
      <c r="A5137" s="182"/>
      <c r="B5137" s="188"/>
      <c r="C5137" s="55"/>
      <c r="D5137" s="165"/>
      <c r="E5137" s="66"/>
      <c r="F5137" s="76" t="s">
        <v>558</v>
      </c>
      <c r="G5137" s="76" t="str">
        <f>IF(ISNUMBER(F5137),E5137*F5137,"")</f>
        <v/>
      </c>
      <c r="H5137" s="77"/>
      <c r="I5137" s="74"/>
      <c r="J5137" s="155">
        <v>0</v>
      </c>
    </row>
    <row r="5138" spans="1:10" ht="15.75" hidden="1" thickBot="1" x14ac:dyDescent="0.3">
      <c r="A5138" s="180" t="s">
        <v>3851</v>
      </c>
      <c r="B5138" s="186" t="str">
        <f>INDEX(Orçamentária!A:B,MATCH(Composições!A5138,Orçamentária!A:A,0),2)</f>
        <v>Bloco autônomo de emergência 1000 lumens – fornecimento e instalação</v>
      </c>
      <c r="C5138" s="41"/>
      <c r="D5138" s="26" t="str">
        <f>TRIM(INDEX(Orçamentária!C:C,MATCH(Composições!A5138,Orçamentária!A:A,0),1))</f>
        <v>un</v>
      </c>
      <c r="E5138" s="27"/>
      <c r="F5138" s="49" t="s">
        <v>558</v>
      </c>
      <c r="G5138" s="28" t="str">
        <f>IF(ISNUMBER(F5138),E5138*F5138,"")</f>
        <v/>
      </c>
      <c r="H5138" s="29"/>
      <c r="I5138" s="30"/>
      <c r="J5138" s="155">
        <v>0</v>
      </c>
    </row>
    <row r="5139" spans="1:10" hidden="1" x14ac:dyDescent="0.25">
      <c r="A5139" s="181"/>
      <c r="B5139" s="187"/>
      <c r="C5139" s="169"/>
      <c r="D5139" s="169"/>
      <c r="E5139" s="170"/>
      <c r="F5139" s="54" t="s">
        <v>558</v>
      </c>
      <c r="G5139" s="54" t="str">
        <f>IF(ISNUMBER(F5139),E5139*F5139,"")</f>
        <v/>
      </c>
      <c r="H5139" s="73"/>
      <c r="I5139" s="74"/>
      <c r="J5139" s="155">
        <v>0</v>
      </c>
    </row>
    <row r="5140" spans="1:10" hidden="1" x14ac:dyDescent="0.25">
      <c r="A5140" s="181"/>
      <c r="B5140" s="187"/>
      <c r="C5140" s="36" t="s">
        <v>6500</v>
      </c>
      <c r="D5140" s="162" t="s">
        <v>292</v>
      </c>
      <c r="E5140" s="163">
        <v>1</v>
      </c>
      <c r="F5140" s="31" t="s">
        <v>558</v>
      </c>
      <c r="G5140" s="54" t="str">
        <f>IF(ISNUMBER(F5140),E5140*F5140,"")</f>
        <v/>
      </c>
      <c r="H5140" s="39">
        <f>SUM(G5140:G5142)</f>
        <v>5.4413169000000003</v>
      </c>
      <c r="I5140" s="40"/>
      <c r="J5140" s="155">
        <v>0</v>
      </c>
    </row>
    <row r="5141" spans="1:10" hidden="1" x14ac:dyDescent="0.25">
      <c r="A5141" s="181"/>
      <c r="B5141" s="187"/>
      <c r="C5141" s="162" t="s">
        <v>1213</v>
      </c>
      <c r="D5141" s="164" t="s">
        <v>742</v>
      </c>
      <c r="E5141" s="163">
        <v>7.4800000000000005E-2</v>
      </c>
      <c r="F5141" s="31">
        <v>17.802999999999997</v>
      </c>
      <c r="G5141" s="54">
        <f>IF(ISNUMBER(F5141),E5141*F5141,"")</f>
        <v>1.3316644</v>
      </c>
      <c r="H5141" s="73"/>
      <c r="I5141" s="74"/>
      <c r="J5141" s="155">
        <v>0</v>
      </c>
    </row>
    <row r="5142" spans="1:10" hidden="1" x14ac:dyDescent="0.25">
      <c r="A5142" s="181"/>
      <c r="B5142" s="187"/>
      <c r="C5142" s="162" t="s">
        <v>1214</v>
      </c>
      <c r="D5142" s="162" t="s">
        <v>742</v>
      </c>
      <c r="E5142" s="163">
        <v>0.17949999999999999</v>
      </c>
      <c r="F5142" s="31">
        <v>22.895</v>
      </c>
      <c r="G5142" s="54">
        <f>IF(ISNUMBER(F5142),E5142*F5142,"")</f>
        <v>4.1096525000000002</v>
      </c>
      <c r="H5142" s="73"/>
      <c r="I5142" s="74"/>
      <c r="J5142" s="155">
        <v>0</v>
      </c>
    </row>
    <row r="5143" spans="1:10" ht="15.75" hidden="1" thickBot="1" x14ac:dyDescent="0.3">
      <c r="A5143" s="182"/>
      <c r="B5143" s="188"/>
      <c r="C5143" s="55"/>
      <c r="D5143" s="165"/>
      <c r="E5143" s="66"/>
      <c r="F5143" s="76" t="s">
        <v>558</v>
      </c>
      <c r="G5143" s="76" t="str">
        <f>IF(ISNUMBER(F5143),E5143*F5143,"")</f>
        <v/>
      </c>
      <c r="H5143" s="77"/>
      <c r="I5143" s="74"/>
      <c r="J5143" s="155">
        <v>0</v>
      </c>
    </row>
    <row r="5144" spans="1:10" ht="15.75" hidden="1" thickBot="1" x14ac:dyDescent="0.3">
      <c r="A5144" s="189" t="s">
        <v>3852</v>
      </c>
      <c r="B5144" s="186" t="str">
        <f>INDEX(Orçamentária!A:B,MATCH(Composições!A5144,Orçamentária!A:A,0),2)</f>
        <v>Cabo Ethernet blindado</v>
      </c>
      <c r="C5144" s="41"/>
      <c r="D5144" s="26" t="str">
        <f>TRIM(INDEX(Orçamentária!C:C,MATCH(Composições!A5144,Orçamentária!A:A,0),1))</f>
        <v>m</v>
      </c>
      <c r="E5144" s="27"/>
      <c r="F5144" s="49" t="s">
        <v>558</v>
      </c>
      <c r="G5144" s="28" t="str">
        <f>IF(ISNUMBER(F5144),E5144*F5144,"")</f>
        <v/>
      </c>
      <c r="H5144" s="29"/>
      <c r="I5144" s="30"/>
      <c r="J5144" s="155">
        <v>0</v>
      </c>
    </row>
    <row r="5145" spans="1:10" hidden="1" x14ac:dyDescent="0.25">
      <c r="A5145" s="195"/>
      <c r="B5145" s="187"/>
      <c r="C5145" s="32"/>
      <c r="D5145" s="32"/>
      <c r="E5145" s="33"/>
      <c r="F5145" s="54" t="s">
        <v>558</v>
      </c>
      <c r="G5145" s="54" t="str">
        <f>IF(ISNUMBER(F5145),E5145*F5145,"")</f>
        <v/>
      </c>
      <c r="H5145" s="73"/>
      <c r="I5145" s="74"/>
      <c r="J5145" s="155">
        <v>0</v>
      </c>
    </row>
    <row r="5146" spans="1:10" hidden="1" x14ac:dyDescent="0.25">
      <c r="A5146" s="195"/>
      <c r="B5146" s="187"/>
      <c r="C5146" s="36" t="s">
        <v>6501</v>
      </c>
      <c r="D5146" s="36" t="s">
        <v>93</v>
      </c>
      <c r="E5146" s="37">
        <v>1.05</v>
      </c>
      <c r="F5146" s="31" t="s">
        <v>558</v>
      </c>
      <c r="G5146" s="54" t="str">
        <f>IF(ISNUMBER(F5146),E5146*F5146,"")</f>
        <v/>
      </c>
      <c r="H5146" s="39">
        <f>SUM(G5146:G5148)</f>
        <v>0.11395439999999998</v>
      </c>
      <c r="I5146" s="40"/>
      <c r="J5146" s="155">
        <v>0</v>
      </c>
    </row>
    <row r="5147" spans="1:10" hidden="1" x14ac:dyDescent="0.25">
      <c r="A5147" s="195"/>
      <c r="B5147" s="187"/>
      <c r="C5147" s="36" t="s">
        <v>1213</v>
      </c>
      <c r="D5147" s="47" t="s">
        <v>742</v>
      </c>
      <c r="E5147" s="37">
        <v>2.8E-3</v>
      </c>
      <c r="F5147" s="31">
        <v>17.802999999999997</v>
      </c>
      <c r="G5147" s="54">
        <f>IF(ISNUMBER(F5147),E5147*F5147,"")</f>
        <v>4.9848399999999994E-2</v>
      </c>
      <c r="H5147" s="73"/>
      <c r="I5147" s="74"/>
      <c r="J5147" s="155">
        <v>0</v>
      </c>
    </row>
    <row r="5148" spans="1:10" hidden="1" x14ac:dyDescent="0.25">
      <c r="A5148" s="195"/>
      <c r="B5148" s="187"/>
      <c r="C5148" s="36" t="s">
        <v>1214</v>
      </c>
      <c r="D5148" s="36" t="s">
        <v>742</v>
      </c>
      <c r="E5148" s="37">
        <v>2.8E-3</v>
      </c>
      <c r="F5148" s="31">
        <v>22.895</v>
      </c>
      <c r="G5148" s="54">
        <f>IF(ISNUMBER(F5148),E5148*F5148,"")</f>
        <v>6.4105999999999996E-2</v>
      </c>
      <c r="H5148" s="73"/>
      <c r="I5148" s="74"/>
      <c r="J5148" s="155">
        <v>0</v>
      </c>
    </row>
    <row r="5149" spans="1:10" hidden="1" x14ac:dyDescent="0.25">
      <c r="A5149" s="195"/>
      <c r="B5149" s="187"/>
      <c r="C5149" s="36"/>
      <c r="D5149" s="47"/>
      <c r="E5149" s="37"/>
      <c r="F5149" s="54" t="s">
        <v>558</v>
      </c>
      <c r="G5149" s="54" t="str">
        <f>IF(ISNUMBER(F5149),E5149*F5149,"")</f>
        <v/>
      </c>
      <c r="H5149" s="73"/>
      <c r="I5149" s="74"/>
      <c r="J5149" s="155">
        <v>0</v>
      </c>
    </row>
    <row r="5150" spans="1:10" ht="15.75" hidden="1" thickBot="1" x14ac:dyDescent="0.3">
      <c r="A5150" s="189" t="s">
        <v>3853</v>
      </c>
      <c r="B5150" s="186" t="str">
        <f>INDEX(Orçamentária!A:B,MATCH(Composições!A5150,Orçamentária!A:A,0),2)</f>
        <v>Cabo de fibra óptica multimodo 12 fibras</v>
      </c>
      <c r="C5150" s="41"/>
      <c r="D5150" s="26" t="str">
        <f>TRIM(INDEX(Orçamentária!C:C,MATCH(Composições!A5150,Orçamentária!A:A,0),1))</f>
        <v>m</v>
      </c>
      <c r="E5150" s="27"/>
      <c r="F5150" s="49" t="s">
        <v>558</v>
      </c>
      <c r="G5150" s="28" t="str">
        <f>IF(ISNUMBER(F5150),E5150*F5150,"")</f>
        <v/>
      </c>
      <c r="H5150" s="29"/>
      <c r="I5150" s="30"/>
      <c r="J5150" s="155">
        <v>0</v>
      </c>
    </row>
    <row r="5151" spans="1:10" hidden="1" x14ac:dyDescent="0.25">
      <c r="A5151" s="195"/>
      <c r="B5151" s="187"/>
      <c r="C5151" s="32"/>
      <c r="D5151" s="32"/>
      <c r="E5151" s="33"/>
      <c r="F5151" s="54" t="s">
        <v>558</v>
      </c>
      <c r="G5151" s="54" t="str">
        <f>IF(ISNUMBER(F5151),E5151*F5151,"")</f>
        <v/>
      </c>
      <c r="H5151" s="73"/>
      <c r="I5151" s="74"/>
      <c r="J5151" s="155">
        <v>0</v>
      </c>
    </row>
    <row r="5152" spans="1:10" hidden="1" x14ac:dyDescent="0.25">
      <c r="A5152" s="195"/>
      <c r="B5152" s="187"/>
      <c r="C5152" s="36" t="s">
        <v>6502</v>
      </c>
      <c r="D5152" s="36" t="s">
        <v>93</v>
      </c>
      <c r="E5152" s="37">
        <v>1.05</v>
      </c>
      <c r="F5152" s="31" t="s">
        <v>558</v>
      </c>
      <c r="G5152" s="54" t="str">
        <f>IF(ISNUMBER(F5152),E5152*F5152,"")</f>
        <v/>
      </c>
      <c r="H5152" s="39">
        <f>SUM(G5152:G5154)</f>
        <v>2.8936277999999995</v>
      </c>
      <c r="I5152" s="40"/>
      <c r="J5152" s="155">
        <v>0</v>
      </c>
    </row>
    <row r="5153" spans="1:10" hidden="1" x14ac:dyDescent="0.25">
      <c r="A5153" s="195"/>
      <c r="B5153" s="187"/>
      <c r="C5153" s="36" t="s">
        <v>1213</v>
      </c>
      <c r="D5153" s="47" t="s">
        <v>742</v>
      </c>
      <c r="E5153" s="37">
        <v>7.1099999999999997E-2</v>
      </c>
      <c r="F5153" s="31">
        <v>17.802999999999997</v>
      </c>
      <c r="G5153" s="54">
        <f>IF(ISNUMBER(F5153),E5153*F5153,"")</f>
        <v>1.2657932999999997</v>
      </c>
      <c r="H5153" s="73"/>
      <c r="I5153" s="74"/>
      <c r="J5153" s="155">
        <v>0</v>
      </c>
    </row>
    <row r="5154" spans="1:10" hidden="1" x14ac:dyDescent="0.25">
      <c r="A5154" s="195"/>
      <c r="B5154" s="187"/>
      <c r="C5154" s="36" t="s">
        <v>1214</v>
      </c>
      <c r="D5154" s="36" t="s">
        <v>742</v>
      </c>
      <c r="E5154" s="37">
        <v>7.1099999999999997E-2</v>
      </c>
      <c r="F5154" s="31">
        <v>22.895</v>
      </c>
      <c r="G5154" s="54">
        <f>IF(ISNUMBER(F5154),E5154*F5154,"")</f>
        <v>1.6278344999999999</v>
      </c>
      <c r="H5154" s="73"/>
      <c r="I5154" s="74"/>
      <c r="J5154" s="155">
        <v>0</v>
      </c>
    </row>
    <row r="5155" spans="1:10" hidden="1" x14ac:dyDescent="0.25">
      <c r="A5155" s="195"/>
      <c r="B5155" s="187"/>
      <c r="C5155" s="36"/>
      <c r="D5155" s="47"/>
      <c r="E5155" s="37"/>
      <c r="F5155" s="54" t="s">
        <v>558</v>
      </c>
      <c r="G5155" s="54" t="str">
        <f>IF(ISNUMBER(F5155),E5155*F5155,"")</f>
        <v/>
      </c>
      <c r="H5155" s="73"/>
      <c r="I5155" s="74"/>
      <c r="J5155" s="155">
        <v>0</v>
      </c>
    </row>
    <row r="5156" spans="1:10" ht="15.75" hidden="1" thickBot="1" x14ac:dyDescent="0.3">
      <c r="A5156" s="189" t="s">
        <v>3854</v>
      </c>
      <c r="B5156" s="186" t="str">
        <f>INDEX(Orçamentária!A:B,MATCH(Composições!A5156,Orçamentária!A:A,0),2)</f>
        <v>Cabos de cobre para comunicação CANbus</v>
      </c>
      <c r="C5156" s="41"/>
      <c r="D5156" s="26" t="str">
        <f>TRIM(INDEX(Orçamentária!C:C,MATCH(Composições!A5156,Orçamentária!A:A,0),1))</f>
        <v>m</v>
      </c>
      <c r="E5156" s="27"/>
      <c r="F5156" s="49" t="s">
        <v>558</v>
      </c>
      <c r="G5156" s="28" t="str">
        <f>IF(ISNUMBER(F5156),E5156*F5156,"")</f>
        <v/>
      </c>
      <c r="H5156" s="29"/>
      <c r="I5156" s="30"/>
      <c r="J5156" s="155">
        <v>0</v>
      </c>
    </row>
    <row r="5157" spans="1:10" hidden="1" x14ac:dyDescent="0.25">
      <c r="A5157" s="195"/>
      <c r="B5157" s="187"/>
      <c r="C5157" s="32"/>
      <c r="D5157" s="32"/>
      <c r="E5157" s="33"/>
      <c r="F5157" s="54" t="s">
        <v>558</v>
      </c>
      <c r="G5157" s="54" t="str">
        <f>IF(ISNUMBER(F5157),E5157*F5157,"")</f>
        <v/>
      </c>
      <c r="H5157" s="73"/>
      <c r="I5157" s="74"/>
      <c r="J5157" s="155">
        <v>0</v>
      </c>
    </row>
    <row r="5158" spans="1:10" hidden="1" x14ac:dyDescent="0.25">
      <c r="A5158" s="195"/>
      <c r="B5158" s="187"/>
      <c r="C5158" s="172" t="s">
        <v>6503</v>
      </c>
      <c r="D5158" s="36" t="s">
        <v>93</v>
      </c>
      <c r="E5158" s="37">
        <v>1.05</v>
      </c>
      <c r="F5158" s="31" t="s">
        <v>558</v>
      </c>
      <c r="G5158" s="54" t="str">
        <f>IF(ISNUMBER(F5158),E5158*F5158,"")</f>
        <v/>
      </c>
      <c r="H5158" s="39">
        <f>SUM(G5158:G5160)</f>
        <v>0.11395439999999998</v>
      </c>
      <c r="I5158" s="40"/>
      <c r="J5158" s="155">
        <v>0</v>
      </c>
    </row>
    <row r="5159" spans="1:10" hidden="1" x14ac:dyDescent="0.25">
      <c r="A5159" s="195"/>
      <c r="B5159" s="187"/>
      <c r="C5159" s="36" t="s">
        <v>1213</v>
      </c>
      <c r="D5159" s="47" t="s">
        <v>742</v>
      </c>
      <c r="E5159" s="37">
        <v>2.8E-3</v>
      </c>
      <c r="F5159" s="31">
        <v>17.802999999999997</v>
      </c>
      <c r="G5159" s="54">
        <f>IF(ISNUMBER(F5159),E5159*F5159,"")</f>
        <v>4.9848399999999994E-2</v>
      </c>
      <c r="H5159" s="73"/>
      <c r="I5159" s="74"/>
      <c r="J5159" s="155">
        <v>0</v>
      </c>
    </row>
    <row r="5160" spans="1:10" hidden="1" x14ac:dyDescent="0.25">
      <c r="A5160" s="195"/>
      <c r="B5160" s="187"/>
      <c r="C5160" s="36" t="s">
        <v>1214</v>
      </c>
      <c r="D5160" s="36" t="s">
        <v>742</v>
      </c>
      <c r="E5160" s="37">
        <v>2.8E-3</v>
      </c>
      <c r="F5160" s="31">
        <v>22.895</v>
      </c>
      <c r="G5160" s="54">
        <f>IF(ISNUMBER(F5160),E5160*F5160,"")</f>
        <v>6.4105999999999996E-2</v>
      </c>
      <c r="H5160" s="73"/>
      <c r="I5160" s="74"/>
      <c r="J5160" s="155">
        <v>0</v>
      </c>
    </row>
    <row r="5161" spans="1:10" hidden="1" x14ac:dyDescent="0.25">
      <c r="A5161" s="195"/>
      <c r="B5161" s="187"/>
      <c r="C5161" s="36"/>
      <c r="D5161" s="47"/>
      <c r="E5161" s="37"/>
      <c r="F5161" s="54" t="s">
        <v>558</v>
      </c>
      <c r="G5161" s="54" t="str">
        <f>IF(ISNUMBER(F5161),E5161*F5161,"")</f>
        <v/>
      </c>
      <c r="H5161" s="73"/>
      <c r="I5161" s="74"/>
      <c r="J5161" s="155">
        <v>0</v>
      </c>
    </row>
    <row r="5162" spans="1:10" ht="15.75" hidden="1" thickBot="1" x14ac:dyDescent="0.3">
      <c r="A5162" s="189" t="s">
        <v>3855</v>
      </c>
      <c r="B5162" s="186" t="str">
        <f>INDEX(Orçamentária!A:B,MATCH(Composições!A5162,Orçamentária!A:A,0),2)</f>
        <v>Cabos de cobre para comunicação padrão RS-485</v>
      </c>
      <c r="C5162" s="41"/>
      <c r="D5162" s="26" t="str">
        <f>TRIM(INDEX(Orçamentária!C:C,MATCH(Composições!A5162,Orçamentária!A:A,0),1))</f>
        <v>m</v>
      </c>
      <c r="E5162" s="27"/>
      <c r="F5162" s="49" t="s">
        <v>558</v>
      </c>
      <c r="G5162" s="28" t="str">
        <f>IF(ISNUMBER(F5162),E5162*F5162,"")</f>
        <v/>
      </c>
      <c r="H5162" s="29"/>
      <c r="I5162" s="30"/>
      <c r="J5162" s="155">
        <v>0</v>
      </c>
    </row>
    <row r="5163" spans="1:10" hidden="1" x14ac:dyDescent="0.25">
      <c r="A5163" s="195"/>
      <c r="B5163" s="187"/>
      <c r="C5163" s="32"/>
      <c r="D5163" s="32"/>
      <c r="E5163" s="33"/>
      <c r="F5163" s="54" t="s">
        <v>558</v>
      </c>
      <c r="G5163" s="54" t="str">
        <f>IF(ISNUMBER(F5163),E5163*F5163,"")</f>
        <v/>
      </c>
      <c r="H5163" s="73"/>
      <c r="I5163" s="74"/>
      <c r="J5163" s="155">
        <v>0</v>
      </c>
    </row>
    <row r="5164" spans="1:10" hidden="1" x14ac:dyDescent="0.25">
      <c r="A5164" s="195"/>
      <c r="B5164" s="187"/>
      <c r="C5164" s="172" t="s">
        <v>6504</v>
      </c>
      <c r="D5164" s="36" t="s">
        <v>93</v>
      </c>
      <c r="E5164" s="37">
        <v>1.05</v>
      </c>
      <c r="F5164" s="31" t="s">
        <v>558</v>
      </c>
      <c r="G5164" s="54" t="str">
        <f>IF(ISNUMBER(F5164),E5164*F5164,"")</f>
        <v/>
      </c>
      <c r="H5164" s="39">
        <f>SUM(G5164:G5166)</f>
        <v>0.11395439999999998</v>
      </c>
      <c r="I5164" s="40"/>
      <c r="J5164" s="155">
        <v>0</v>
      </c>
    </row>
    <row r="5165" spans="1:10" hidden="1" x14ac:dyDescent="0.25">
      <c r="A5165" s="195"/>
      <c r="B5165" s="187"/>
      <c r="C5165" s="36" t="s">
        <v>1213</v>
      </c>
      <c r="D5165" s="47" t="s">
        <v>742</v>
      </c>
      <c r="E5165" s="37">
        <v>2.8E-3</v>
      </c>
      <c r="F5165" s="31">
        <v>17.802999999999997</v>
      </c>
      <c r="G5165" s="54">
        <f>IF(ISNUMBER(F5165),E5165*F5165,"")</f>
        <v>4.9848399999999994E-2</v>
      </c>
      <c r="H5165" s="73"/>
      <c r="I5165" s="74"/>
      <c r="J5165" s="155">
        <v>0</v>
      </c>
    </row>
    <row r="5166" spans="1:10" hidden="1" x14ac:dyDescent="0.25">
      <c r="A5166" s="195"/>
      <c r="B5166" s="187"/>
      <c r="C5166" s="36" t="s">
        <v>1214</v>
      </c>
      <c r="D5166" s="36" t="s">
        <v>742</v>
      </c>
      <c r="E5166" s="37">
        <v>2.8E-3</v>
      </c>
      <c r="F5166" s="31">
        <v>22.895</v>
      </c>
      <c r="G5166" s="54">
        <f>IF(ISNUMBER(F5166),E5166*F5166,"")</f>
        <v>6.4105999999999996E-2</v>
      </c>
      <c r="H5166" s="73"/>
      <c r="I5166" s="74"/>
      <c r="J5166" s="155">
        <v>0</v>
      </c>
    </row>
    <row r="5167" spans="1:10" hidden="1" x14ac:dyDescent="0.25">
      <c r="A5167" s="195"/>
      <c r="B5167" s="187"/>
      <c r="C5167" s="36"/>
      <c r="D5167" s="47"/>
      <c r="E5167" s="37"/>
      <c r="F5167" s="54" t="s">
        <v>558</v>
      </c>
      <c r="G5167" s="54" t="str">
        <f>IF(ISNUMBER(F5167),E5167*F5167,"")</f>
        <v/>
      </c>
      <c r="H5167" s="73"/>
      <c r="I5167" s="74"/>
      <c r="J5167" s="155">
        <v>0</v>
      </c>
    </row>
    <row r="5168" spans="1:10" ht="15.75" hidden="1" thickBot="1" x14ac:dyDescent="0.3">
      <c r="A5168" s="189" t="s">
        <v>3856</v>
      </c>
      <c r="B5168" s="186" t="str">
        <f>INDEX(Orçamentária!A:B,MATCH(Composições!A5168,Orçamentária!A:A,0),2)</f>
        <v>Condulete de alumínio de 2”</v>
      </c>
      <c r="C5168" s="41"/>
      <c r="D5168" s="26" t="str">
        <f>TRIM(INDEX(Orçamentária!C:C,MATCH(Composições!A5168,Orçamentária!A:A,0),1))</f>
        <v>un</v>
      </c>
      <c r="E5168" s="27"/>
      <c r="F5168" s="42" t="s">
        <v>558</v>
      </c>
      <c r="G5168" s="28" t="str">
        <f>IF(ISNUMBER(F5168),E5168*F5168,"")</f>
        <v/>
      </c>
      <c r="H5168" s="29"/>
      <c r="I5168" s="30"/>
      <c r="J5168" s="155">
        <v>0</v>
      </c>
    </row>
    <row r="5169" spans="1:10" hidden="1" x14ac:dyDescent="0.25">
      <c r="A5169" s="190"/>
      <c r="B5169" s="187"/>
      <c r="C5169" s="32"/>
      <c r="D5169" s="32"/>
      <c r="E5169" s="33"/>
      <c r="F5169" s="43" t="s">
        <v>558</v>
      </c>
      <c r="G5169" s="31" t="str">
        <f>IF(ISNUMBER(F5169),E5169*F5169,"")</f>
        <v/>
      </c>
      <c r="H5169" s="35"/>
      <c r="I5169" s="31"/>
      <c r="J5169" s="155">
        <v>0</v>
      </c>
    </row>
    <row r="5170" spans="1:10" hidden="1" x14ac:dyDescent="0.25">
      <c r="A5170" s="190"/>
      <c r="B5170" s="187"/>
      <c r="C5170" s="36" t="s">
        <v>74</v>
      </c>
      <c r="D5170" s="36" t="s">
        <v>12</v>
      </c>
      <c r="E5170" s="37">
        <v>0.5121</v>
      </c>
      <c r="F5170" s="31">
        <v>17.802999999999997</v>
      </c>
      <c r="G5170" s="34">
        <f>IF(ISNUMBER(F5170),E5170*F5170,"")</f>
        <v>9.116916299999998</v>
      </c>
      <c r="H5170" s="39">
        <f>SUM(G5170:G5173)</f>
        <v>52.704445799999995</v>
      </c>
      <c r="I5170" s="40"/>
      <c r="J5170" s="155">
        <v>0</v>
      </c>
    </row>
    <row r="5171" spans="1:10" hidden="1" x14ac:dyDescent="0.25">
      <c r="A5171" s="190"/>
      <c r="B5171" s="187"/>
      <c r="C5171" s="36" t="s">
        <v>30</v>
      </c>
      <c r="D5171" s="36" t="s">
        <v>12</v>
      </c>
      <c r="E5171" s="37">
        <v>0.5121</v>
      </c>
      <c r="F5171" s="31">
        <v>22.895</v>
      </c>
      <c r="G5171" s="34">
        <f>IF(ISNUMBER(F5171),E5171*F5171,"")</f>
        <v>11.724529499999999</v>
      </c>
      <c r="H5171" s="35"/>
      <c r="I5171" s="31"/>
      <c r="J5171" s="155">
        <v>0</v>
      </c>
    </row>
    <row r="5172" spans="1:10" ht="25.5" hidden="1" x14ac:dyDescent="0.25">
      <c r="A5172" s="190"/>
      <c r="B5172" s="187"/>
      <c r="C5172" s="36" t="s">
        <v>464</v>
      </c>
      <c r="D5172" s="36" t="s">
        <v>20</v>
      </c>
      <c r="E5172" s="37">
        <v>2</v>
      </c>
      <c r="F5172" s="34">
        <v>0.3135</v>
      </c>
      <c r="G5172" s="34">
        <f>IF(ISNUMBER(F5172),E5172*F5172,"")</f>
        <v>0.627</v>
      </c>
      <c r="H5172" s="35"/>
      <c r="I5172" s="31"/>
      <c r="J5172" s="155">
        <v>0</v>
      </c>
    </row>
    <row r="5173" spans="1:10" ht="25.5" hidden="1" x14ac:dyDescent="0.25">
      <c r="A5173" s="190"/>
      <c r="B5173" s="187"/>
      <c r="C5173" s="36" t="s">
        <v>3354</v>
      </c>
      <c r="D5173" s="36" t="s">
        <v>20</v>
      </c>
      <c r="E5173" s="37">
        <v>1</v>
      </c>
      <c r="F5173" s="34">
        <v>31.236000000000001</v>
      </c>
      <c r="G5173" s="31">
        <f>IF(ISNUMBER(F5173),E5173*F5173,"")</f>
        <v>31.236000000000001</v>
      </c>
      <c r="H5173" s="35"/>
      <c r="I5173" s="31"/>
      <c r="J5173" s="155">
        <v>0</v>
      </c>
    </row>
    <row r="5174" spans="1:10" ht="15.75" hidden="1" thickBot="1" x14ac:dyDescent="0.3">
      <c r="A5174" s="191"/>
      <c r="B5174" s="188"/>
      <c r="C5174" s="36"/>
      <c r="D5174" s="36"/>
      <c r="E5174" s="37"/>
      <c r="F5174" s="31" t="s">
        <v>558</v>
      </c>
      <c r="G5174" s="31" t="str">
        <f>IF(ISNUMBER(F5174),E5174*F5174,"")</f>
        <v/>
      </c>
      <c r="H5174" s="35"/>
      <c r="I5174" s="31"/>
      <c r="J5174" s="155">
        <v>0</v>
      </c>
    </row>
    <row r="5175" spans="1:10" ht="15.75" hidden="1" thickBot="1" x14ac:dyDescent="0.3">
      <c r="A5175" s="189" t="s">
        <v>3857</v>
      </c>
      <c r="B5175" s="186" t="str">
        <f>INDEX(Orçamentária!A:B,MATCH(Composições!A5175,Orçamentária!A:A,0),2)</f>
        <v>Cabo de potência, 8,7 kV/15 kV, 95 mm²</v>
      </c>
      <c r="C5175" s="41"/>
      <c r="D5175" s="26" t="str">
        <f>TRIM(INDEX(Orçamentária!C:C,MATCH(Composições!A5175,Orçamentária!A:A,0),1))</f>
        <v>m</v>
      </c>
      <c r="E5175" s="27"/>
      <c r="F5175" s="42" t="s">
        <v>558</v>
      </c>
      <c r="G5175" s="28" t="str">
        <f>IF(ISNUMBER(F5175),E5175*F5175,"")</f>
        <v/>
      </c>
      <c r="H5175" s="29"/>
      <c r="I5175" s="30"/>
      <c r="J5175" s="155">
        <v>0</v>
      </c>
    </row>
    <row r="5176" spans="1:10" hidden="1" x14ac:dyDescent="0.25">
      <c r="A5176" s="190"/>
      <c r="B5176" s="187"/>
      <c r="C5176" s="32"/>
      <c r="D5176" s="32"/>
      <c r="E5176" s="33"/>
      <c r="F5176" s="43" t="s">
        <v>558</v>
      </c>
      <c r="G5176" s="31" t="str">
        <f>IF(ISNUMBER(F5176),E5176*F5176,"")</f>
        <v/>
      </c>
      <c r="H5176" s="35"/>
      <c r="I5176" s="31"/>
      <c r="J5176" s="155">
        <v>0</v>
      </c>
    </row>
    <row r="5177" spans="1:10" hidden="1" x14ac:dyDescent="0.25">
      <c r="A5177" s="190"/>
      <c r="B5177" s="187"/>
      <c r="C5177" s="36" t="s">
        <v>74</v>
      </c>
      <c r="D5177" s="36" t="s">
        <v>12</v>
      </c>
      <c r="E5177" s="37">
        <v>0.128</v>
      </c>
      <c r="F5177" s="31">
        <v>17.802999999999997</v>
      </c>
      <c r="G5177" s="34">
        <f>IF(ISNUMBER(F5177),E5177*F5177,"")</f>
        <v>2.2787839999999995</v>
      </c>
      <c r="H5177" s="39">
        <f>SUM(G5177:G5180)</f>
        <v>5.241492</v>
      </c>
      <c r="I5177" s="40"/>
      <c r="J5177" s="155">
        <v>0</v>
      </c>
    </row>
    <row r="5178" spans="1:10" hidden="1" x14ac:dyDescent="0.25">
      <c r="A5178" s="190"/>
      <c r="B5178" s="187"/>
      <c r="C5178" s="36" t="s">
        <v>30</v>
      </c>
      <c r="D5178" s="36" t="s">
        <v>12</v>
      </c>
      <c r="E5178" s="37">
        <v>0.128</v>
      </c>
      <c r="F5178" s="31">
        <v>22.895</v>
      </c>
      <c r="G5178" s="34">
        <f>IF(ISNUMBER(F5178),E5178*F5178,"")</f>
        <v>2.9305599999999998</v>
      </c>
      <c r="H5178" s="35"/>
      <c r="I5178" s="31"/>
      <c r="J5178" s="155">
        <v>0</v>
      </c>
    </row>
    <row r="5179" spans="1:10" ht="25.5" hidden="1" x14ac:dyDescent="0.25">
      <c r="A5179" s="190"/>
      <c r="B5179" s="187"/>
      <c r="C5179" s="36" t="s">
        <v>3403</v>
      </c>
      <c r="D5179" s="36" t="s">
        <v>292</v>
      </c>
      <c r="E5179" s="37">
        <v>8.9999999999999993E-3</v>
      </c>
      <c r="F5179" s="34">
        <v>3.5719999999999996</v>
      </c>
      <c r="G5179" s="34">
        <f>IF(ISNUMBER(F5179),E5179*F5179,"")</f>
        <v>3.2147999999999996E-2</v>
      </c>
      <c r="H5179" s="35"/>
      <c r="I5179" s="31"/>
      <c r="J5179" s="155">
        <v>0</v>
      </c>
    </row>
    <row r="5180" spans="1:10" hidden="1" x14ac:dyDescent="0.25">
      <c r="A5180" s="190"/>
      <c r="B5180" s="187"/>
      <c r="C5180" s="36" t="s">
        <v>6505</v>
      </c>
      <c r="D5180" s="36" t="s">
        <v>93</v>
      </c>
      <c r="E5180" s="37">
        <v>1.0149999999999999</v>
      </c>
      <c r="F5180" s="34" t="s">
        <v>558</v>
      </c>
      <c r="G5180" s="31" t="str">
        <f>IF(ISNUMBER(F5180),E5180*F5180,"")</f>
        <v/>
      </c>
      <c r="H5180" s="35"/>
      <c r="I5180" s="31"/>
      <c r="J5180" s="155">
        <v>0</v>
      </c>
    </row>
    <row r="5181" spans="1:10" ht="15.75" hidden="1" thickBot="1" x14ac:dyDescent="0.3">
      <c r="A5181" s="191"/>
      <c r="B5181" s="188"/>
      <c r="C5181" s="36"/>
      <c r="D5181" s="36"/>
      <c r="E5181" s="37"/>
      <c r="F5181" s="31" t="s">
        <v>558</v>
      </c>
      <c r="G5181" s="31" t="str">
        <f>IF(ISNUMBER(F5181),E5181*F5181,"")</f>
        <v/>
      </c>
      <c r="H5181" s="35"/>
      <c r="I5181" s="31"/>
      <c r="J5181" s="155">
        <v>0</v>
      </c>
    </row>
    <row r="5182" spans="1:10" ht="15.75" hidden="1" thickBot="1" x14ac:dyDescent="0.3">
      <c r="A5182" s="189" t="s">
        <v>3858</v>
      </c>
      <c r="B5182" s="186" t="str">
        <f>INDEX(Orçamentária!A:B,MATCH(Composições!A5182,Orçamentária!A:A,0),2)</f>
        <v>Cabo de potência, 8,7 kV/15 kV, 240 mm²</v>
      </c>
      <c r="C5182" s="41"/>
      <c r="D5182" s="26" t="str">
        <f>TRIM(INDEX(Orçamentária!C:C,MATCH(Composições!A5182,Orçamentária!A:A,0),1))</f>
        <v>m</v>
      </c>
      <c r="E5182" s="27"/>
      <c r="F5182" s="42" t="s">
        <v>558</v>
      </c>
      <c r="G5182" s="28" t="str">
        <f>IF(ISNUMBER(F5182),E5182*F5182,"")</f>
        <v/>
      </c>
      <c r="H5182" s="29"/>
      <c r="I5182" s="30"/>
      <c r="J5182" s="155">
        <v>0</v>
      </c>
    </row>
    <row r="5183" spans="1:10" hidden="1" x14ac:dyDescent="0.25">
      <c r="A5183" s="190"/>
      <c r="B5183" s="187"/>
      <c r="C5183" s="32"/>
      <c r="D5183" s="32"/>
      <c r="E5183" s="33"/>
      <c r="F5183" s="43" t="s">
        <v>558</v>
      </c>
      <c r="G5183" s="31" t="str">
        <f>IF(ISNUMBER(F5183),E5183*F5183,"")</f>
        <v/>
      </c>
      <c r="H5183" s="35"/>
      <c r="I5183" s="31"/>
      <c r="J5183" s="155">
        <v>0</v>
      </c>
    </row>
    <row r="5184" spans="1:10" hidden="1" x14ac:dyDescent="0.25">
      <c r="A5184" s="190"/>
      <c r="B5184" s="187"/>
      <c r="C5184" s="36" t="s">
        <v>74</v>
      </c>
      <c r="D5184" s="36" t="s">
        <v>12</v>
      </c>
      <c r="E5184" s="37">
        <v>0.26300000000000001</v>
      </c>
      <c r="F5184" s="31">
        <v>17.802999999999997</v>
      </c>
      <c r="G5184" s="34">
        <f>IF(ISNUMBER(F5184),E5184*F5184,"")</f>
        <v>4.6821889999999993</v>
      </c>
      <c r="H5184" s="39">
        <f>SUM(G5184:G5187)</f>
        <v>10.735721999999999</v>
      </c>
      <c r="I5184" s="40"/>
      <c r="J5184" s="155">
        <v>0</v>
      </c>
    </row>
    <row r="5185" spans="1:10" hidden="1" x14ac:dyDescent="0.25">
      <c r="A5185" s="190"/>
      <c r="B5185" s="187"/>
      <c r="C5185" s="36" t="s">
        <v>30</v>
      </c>
      <c r="D5185" s="36" t="s">
        <v>12</v>
      </c>
      <c r="E5185" s="37">
        <v>0.26300000000000001</v>
      </c>
      <c r="F5185" s="31">
        <v>22.895</v>
      </c>
      <c r="G5185" s="34">
        <f>IF(ISNUMBER(F5185),E5185*F5185,"")</f>
        <v>6.0213850000000004</v>
      </c>
      <c r="H5185" s="35"/>
      <c r="I5185" s="31"/>
      <c r="J5185" s="155">
        <v>0</v>
      </c>
    </row>
    <row r="5186" spans="1:10" ht="25.5" hidden="1" x14ac:dyDescent="0.25">
      <c r="A5186" s="190"/>
      <c r="B5186" s="187"/>
      <c r="C5186" s="36" t="s">
        <v>3403</v>
      </c>
      <c r="D5186" s="36" t="s">
        <v>292</v>
      </c>
      <c r="E5186" s="37">
        <v>8.9999999999999993E-3</v>
      </c>
      <c r="F5186" s="34">
        <v>3.5719999999999996</v>
      </c>
      <c r="G5186" s="34">
        <f>IF(ISNUMBER(F5186),E5186*F5186,"")</f>
        <v>3.2147999999999996E-2</v>
      </c>
      <c r="H5186" s="35"/>
      <c r="I5186" s="31"/>
      <c r="J5186" s="155">
        <v>0</v>
      </c>
    </row>
    <row r="5187" spans="1:10" hidden="1" x14ac:dyDescent="0.25">
      <c r="A5187" s="190"/>
      <c r="B5187" s="187"/>
      <c r="C5187" s="36" t="s">
        <v>6506</v>
      </c>
      <c r="D5187" s="36" t="s">
        <v>93</v>
      </c>
      <c r="E5187" s="37">
        <v>1.0149999999999999</v>
      </c>
      <c r="F5187" s="34" t="s">
        <v>558</v>
      </c>
      <c r="G5187" s="31" t="str">
        <f>IF(ISNUMBER(F5187),E5187*F5187,"")</f>
        <v/>
      </c>
      <c r="H5187" s="35"/>
      <c r="I5187" s="31"/>
      <c r="J5187" s="155">
        <v>0</v>
      </c>
    </row>
    <row r="5188" spans="1:10" ht="15.75" hidden="1" thickBot="1" x14ac:dyDescent="0.3">
      <c r="A5188" s="191"/>
      <c r="B5188" s="188"/>
      <c r="C5188" s="36"/>
      <c r="D5188" s="36"/>
      <c r="E5188" s="37"/>
      <c r="F5188" s="31" t="s">
        <v>558</v>
      </c>
      <c r="G5188" s="31" t="str">
        <f>IF(ISNUMBER(F5188),E5188*F5188,"")</f>
        <v/>
      </c>
      <c r="H5188" s="35"/>
      <c r="I5188" s="31"/>
      <c r="J5188" s="155">
        <v>0</v>
      </c>
    </row>
    <row r="5189" spans="1:10" ht="15.75" hidden="1" thickBot="1" x14ac:dyDescent="0.3">
      <c r="A5189" s="189" t="s">
        <v>3859</v>
      </c>
      <c r="B5189" s="186" t="str">
        <f>INDEX(Orçamentária!A:B,MATCH(Composições!A5189,Orçamentária!A:A,0),2)</f>
        <v>Distribuidor Interno Óptico Industrial – fornecimento e instalação</v>
      </c>
      <c r="C5189" s="41"/>
      <c r="D5189" s="26" t="str">
        <f>TRIM(INDEX(Orçamentária!C:C,MATCH(Composições!A5189,Orçamentária!A:A,0),1))</f>
        <v>un</v>
      </c>
      <c r="E5189" s="27"/>
      <c r="F5189" s="49" t="s">
        <v>558</v>
      </c>
      <c r="G5189" s="28" t="str">
        <f>IF(ISNUMBER(F5189),E5189*F5189,"")</f>
        <v/>
      </c>
      <c r="H5189" s="29"/>
      <c r="I5189" s="30"/>
      <c r="J5189" s="155">
        <v>0</v>
      </c>
    </row>
    <row r="5190" spans="1:10" hidden="1" x14ac:dyDescent="0.25">
      <c r="A5190" s="195"/>
      <c r="B5190" s="187"/>
      <c r="C5190" s="32"/>
      <c r="D5190" s="32"/>
      <c r="E5190" s="33"/>
      <c r="F5190" s="54" t="s">
        <v>558</v>
      </c>
      <c r="G5190" s="54" t="str">
        <f>IF(ISNUMBER(F5190),E5190*F5190,"")</f>
        <v/>
      </c>
      <c r="H5190" s="73"/>
      <c r="I5190" s="74"/>
      <c r="J5190" s="155">
        <v>0</v>
      </c>
    </row>
    <row r="5191" spans="1:10" hidden="1" x14ac:dyDescent="0.25">
      <c r="A5191" s="195"/>
      <c r="B5191" s="187"/>
      <c r="C5191" s="172" t="s">
        <v>6507</v>
      </c>
      <c r="D5191" s="36" t="s">
        <v>20</v>
      </c>
      <c r="E5191" s="37">
        <v>1</v>
      </c>
      <c r="F5191" s="31" t="s">
        <v>558</v>
      </c>
      <c r="G5191" s="54" t="str">
        <f>IF(ISNUMBER(F5191),E5191*F5191,"")</f>
        <v/>
      </c>
      <c r="H5191" s="39">
        <f>SUM(G5191:G5193)</f>
        <v>101.74499999999999</v>
      </c>
      <c r="I5191" s="40"/>
      <c r="J5191" s="155">
        <v>0</v>
      </c>
    </row>
    <row r="5192" spans="1:10" hidden="1" x14ac:dyDescent="0.25">
      <c r="A5192" s="195"/>
      <c r="B5192" s="187"/>
      <c r="C5192" s="36" t="s">
        <v>1213</v>
      </c>
      <c r="D5192" s="47" t="s">
        <v>742</v>
      </c>
      <c r="E5192" s="37">
        <v>2.5</v>
      </c>
      <c r="F5192" s="31">
        <v>17.802999999999997</v>
      </c>
      <c r="G5192" s="54">
        <f>IF(ISNUMBER(F5192),E5192*F5192,"")</f>
        <v>44.507499999999993</v>
      </c>
      <c r="H5192" s="73"/>
      <c r="I5192" s="74"/>
      <c r="J5192" s="155">
        <v>0</v>
      </c>
    </row>
    <row r="5193" spans="1:10" hidden="1" x14ac:dyDescent="0.25">
      <c r="A5193" s="195"/>
      <c r="B5193" s="187"/>
      <c r="C5193" s="36" t="s">
        <v>1214</v>
      </c>
      <c r="D5193" s="36" t="s">
        <v>742</v>
      </c>
      <c r="E5193" s="37">
        <v>2.5</v>
      </c>
      <c r="F5193" s="31">
        <v>22.895</v>
      </c>
      <c r="G5193" s="54">
        <f>IF(ISNUMBER(F5193),E5193*F5193,"")</f>
        <v>57.237499999999997</v>
      </c>
      <c r="H5193" s="73"/>
      <c r="I5193" s="74"/>
      <c r="J5193" s="155">
        <v>0</v>
      </c>
    </row>
    <row r="5194" spans="1:10" hidden="1" x14ac:dyDescent="0.25">
      <c r="A5194" s="195"/>
      <c r="B5194" s="187"/>
      <c r="C5194" s="36"/>
      <c r="D5194" s="47"/>
      <c r="E5194" s="37"/>
      <c r="F5194" s="54" t="s">
        <v>558</v>
      </c>
      <c r="G5194" s="54" t="str">
        <f>IF(ISNUMBER(F5194),E5194*F5194,"")</f>
        <v/>
      </c>
      <c r="H5194" s="73"/>
      <c r="I5194" s="74"/>
      <c r="J5194" s="155">
        <v>0</v>
      </c>
    </row>
    <row r="5195" spans="1:10" ht="15.75" hidden="1" thickBot="1" x14ac:dyDescent="0.3">
      <c r="A5195" s="180" t="s">
        <v>3860</v>
      </c>
      <c r="B5195" s="186" t="str">
        <f>INDEX(Orçamentária!A:B,MATCH(Composições!A5195,Orçamentária!A:A,0),2)</f>
        <v>Eletroduto PEAD 5”</v>
      </c>
      <c r="C5195" s="41"/>
      <c r="D5195" s="26" t="str">
        <f>TRIM(INDEX(Orçamentária!C:C,MATCH(Composições!A5195,Orçamentária!A:A,0),1))</f>
        <v>m</v>
      </c>
      <c r="E5195" s="27"/>
      <c r="F5195" s="42" t="s">
        <v>558</v>
      </c>
      <c r="G5195" s="28" t="str">
        <f>IF(ISNUMBER(F5195),E5195*F5195,"")</f>
        <v/>
      </c>
      <c r="H5195" s="29"/>
      <c r="I5195" s="30"/>
      <c r="J5195" s="155">
        <v>0</v>
      </c>
    </row>
    <row r="5196" spans="1:10" hidden="1" x14ac:dyDescent="0.25">
      <c r="A5196" s="200"/>
      <c r="B5196" s="187"/>
      <c r="C5196" s="32"/>
      <c r="D5196" s="32"/>
      <c r="E5196" s="33"/>
      <c r="F5196" s="43" t="s">
        <v>558</v>
      </c>
      <c r="G5196" s="31" t="str">
        <f>IF(ISNUMBER(F5196),E5196*F5196,"")</f>
        <v/>
      </c>
      <c r="H5196" s="35"/>
      <c r="I5196" s="31"/>
      <c r="J5196" s="155">
        <v>0</v>
      </c>
    </row>
    <row r="5197" spans="1:10" ht="38.25" hidden="1" x14ac:dyDescent="0.25">
      <c r="A5197" s="200"/>
      <c r="B5197" s="187"/>
      <c r="C5197" s="36" t="s">
        <v>6508</v>
      </c>
      <c r="D5197" s="36" t="s">
        <v>513</v>
      </c>
      <c r="E5197" s="37">
        <v>1.1000000000000001</v>
      </c>
      <c r="F5197" s="31">
        <v>0</v>
      </c>
      <c r="G5197" s="34">
        <f>IF(ISNUMBER(F5197),E5197*F5197,"")</f>
        <v>0</v>
      </c>
      <c r="H5197" s="39">
        <f>SUM(G5197:G5199)</f>
        <v>4.2732899999999994</v>
      </c>
      <c r="I5197" s="40"/>
      <c r="J5197" s="155">
        <v>0</v>
      </c>
    </row>
    <row r="5198" spans="1:10" hidden="1" x14ac:dyDescent="0.25">
      <c r="A5198" s="200"/>
      <c r="B5198" s="187"/>
      <c r="C5198" s="36" t="s">
        <v>1213</v>
      </c>
      <c r="D5198" s="36" t="s">
        <v>742</v>
      </c>
      <c r="E5198" s="37">
        <v>0.105</v>
      </c>
      <c r="F5198" s="31">
        <v>17.802999999999997</v>
      </c>
      <c r="G5198" s="34">
        <f>IF(ISNUMBER(F5198),E5198*F5198,"")</f>
        <v>1.8693149999999996</v>
      </c>
      <c r="H5198" s="35"/>
      <c r="I5198" s="31"/>
      <c r="J5198" s="155">
        <v>0</v>
      </c>
    </row>
    <row r="5199" spans="1:10" hidden="1" x14ac:dyDescent="0.25">
      <c r="A5199" s="200"/>
      <c r="B5199" s="187"/>
      <c r="C5199" s="36" t="s">
        <v>1214</v>
      </c>
      <c r="D5199" s="36" t="s">
        <v>742</v>
      </c>
      <c r="E5199" s="37">
        <v>0.105</v>
      </c>
      <c r="F5199" s="34">
        <v>22.895</v>
      </c>
      <c r="G5199" s="31">
        <f>IF(ISNUMBER(F5199),E5199*F5199,"")</f>
        <v>2.403975</v>
      </c>
      <c r="H5199" s="35"/>
      <c r="I5199" s="31"/>
      <c r="J5199" s="155">
        <v>0</v>
      </c>
    </row>
    <row r="5200" spans="1:10" ht="15.75" hidden="1" thickBot="1" x14ac:dyDescent="0.3">
      <c r="A5200" s="201"/>
      <c r="B5200" s="188"/>
      <c r="C5200" s="36"/>
      <c r="D5200" s="36"/>
      <c r="E5200" s="37"/>
      <c r="F5200" s="31" t="s">
        <v>558</v>
      </c>
      <c r="G5200" s="31" t="str">
        <f>IF(ISNUMBER(F5200),E5200*F5200,"")</f>
        <v/>
      </c>
      <c r="H5200" s="35"/>
      <c r="I5200" s="31"/>
      <c r="J5200" s="155">
        <v>0</v>
      </c>
    </row>
    <row r="5201" spans="1:10" ht="15.75" hidden="1" thickBot="1" x14ac:dyDescent="0.3">
      <c r="A5201" s="180" t="s">
        <v>3862</v>
      </c>
      <c r="B5201" s="186" t="str">
        <f>INDEX(Orçamentária!A:B,MATCH(Composições!A5201,Orçamentária!A:A,0),2)</f>
        <v>Interruptor duplo para condulete</v>
      </c>
      <c r="C5201" s="41"/>
      <c r="D5201" s="26" t="str">
        <f>TRIM(INDEX(Orçamentária!C:C,MATCH(Composições!A5201,Orçamentária!A:A,0),1))</f>
        <v>un</v>
      </c>
      <c r="E5201" s="27"/>
      <c r="F5201" s="42" t="s">
        <v>558</v>
      </c>
      <c r="G5201" s="28" t="str">
        <f>IF(ISNUMBER(F5201),E5201*F5201,"")</f>
        <v/>
      </c>
      <c r="H5201" s="29"/>
      <c r="I5201" s="30"/>
      <c r="J5201" s="155">
        <v>0</v>
      </c>
    </row>
    <row r="5202" spans="1:10" hidden="1" x14ac:dyDescent="0.25">
      <c r="A5202" s="200"/>
      <c r="B5202" s="187"/>
      <c r="C5202" s="32"/>
      <c r="D5202" s="32"/>
      <c r="E5202" s="33"/>
      <c r="F5202" s="43" t="s">
        <v>558</v>
      </c>
      <c r="G5202" s="31" t="str">
        <f>IF(ISNUMBER(F5202),E5202*F5202,"")</f>
        <v/>
      </c>
      <c r="H5202" s="35"/>
      <c r="I5202" s="31"/>
      <c r="J5202" s="155">
        <v>0</v>
      </c>
    </row>
    <row r="5203" spans="1:10" hidden="1" x14ac:dyDescent="0.25">
      <c r="A5203" s="200"/>
      <c r="B5203" s="187"/>
      <c r="C5203" s="36" t="s">
        <v>30</v>
      </c>
      <c r="D5203" s="36" t="s">
        <v>12</v>
      </c>
      <c r="E5203" s="37">
        <f>0.3/2</f>
        <v>0.15</v>
      </c>
      <c r="F5203" s="31">
        <v>22.895</v>
      </c>
      <c r="G5203" s="34">
        <f>IF(ISNUMBER(F5203),E5203*F5203,"")</f>
        <v>3.43425</v>
      </c>
      <c r="H5203" s="39">
        <f>SUM(G5203:G5206)</f>
        <v>6.1046999999999993</v>
      </c>
      <c r="I5203" s="40"/>
      <c r="J5203" s="155">
        <v>0</v>
      </c>
    </row>
    <row r="5204" spans="1:10" hidden="1" x14ac:dyDescent="0.25">
      <c r="A5204" s="200"/>
      <c r="B5204" s="187"/>
      <c r="C5204" s="36" t="s">
        <v>74</v>
      </c>
      <c r="D5204" s="36" t="s">
        <v>12</v>
      </c>
      <c r="E5204" s="37">
        <f>0.3/2</f>
        <v>0.15</v>
      </c>
      <c r="F5204" s="31">
        <v>17.802999999999997</v>
      </c>
      <c r="G5204" s="34">
        <f>IF(ISNUMBER(F5204),E5204*F5204,"")</f>
        <v>2.6704499999999993</v>
      </c>
      <c r="H5204" s="35"/>
      <c r="I5204" s="31"/>
      <c r="J5204" s="155">
        <v>0</v>
      </c>
    </row>
    <row r="5205" spans="1:10" ht="25.5" hidden="1" x14ac:dyDescent="0.25">
      <c r="A5205" s="200"/>
      <c r="B5205" s="187"/>
      <c r="C5205" s="36" t="s">
        <v>541</v>
      </c>
      <c r="D5205" s="36" t="s">
        <v>20</v>
      </c>
      <c r="E5205" s="37">
        <v>1</v>
      </c>
      <c r="F5205" s="34" t="s">
        <v>558</v>
      </c>
      <c r="G5205" s="34" t="str">
        <f>IF(ISNUMBER(F5205),E5205*F5205,"")</f>
        <v/>
      </c>
      <c r="H5205" s="35"/>
      <c r="I5205" s="31"/>
      <c r="J5205" s="155">
        <v>0</v>
      </c>
    </row>
    <row r="5206" spans="1:10" ht="25.5" hidden="1" x14ac:dyDescent="0.25">
      <c r="A5206" s="200"/>
      <c r="B5206" s="187"/>
      <c r="C5206" s="36" t="s">
        <v>6509</v>
      </c>
      <c r="D5206" s="36" t="s">
        <v>20</v>
      </c>
      <c r="E5206" s="37">
        <v>1</v>
      </c>
      <c r="F5206" s="34" t="s">
        <v>558</v>
      </c>
      <c r="G5206" s="31" t="str">
        <f>IF(ISNUMBER(F5206),E5206*F5206,"")</f>
        <v/>
      </c>
      <c r="H5206" s="35"/>
      <c r="I5206" s="31"/>
      <c r="J5206" s="155">
        <v>0</v>
      </c>
    </row>
    <row r="5207" spans="1:10" ht="15.75" hidden="1" thickBot="1" x14ac:dyDescent="0.3">
      <c r="A5207" s="201"/>
      <c r="B5207" s="188"/>
      <c r="C5207" s="36"/>
      <c r="D5207" s="36"/>
      <c r="E5207" s="37"/>
      <c r="F5207" s="31" t="s">
        <v>558</v>
      </c>
      <c r="G5207" s="31" t="str">
        <f>IF(ISNUMBER(F5207),E5207*F5207,"")</f>
        <v/>
      </c>
      <c r="H5207" s="35"/>
      <c r="I5207" s="31"/>
      <c r="J5207" s="155">
        <v>0</v>
      </c>
    </row>
    <row r="5208" spans="1:10" ht="15.75" hidden="1" thickBot="1" x14ac:dyDescent="0.3">
      <c r="A5208" s="180" t="s">
        <v>3863</v>
      </c>
      <c r="B5208" s="186" t="str">
        <f>INDEX(Orçamentária!A:B,MATCH(Composições!A5208,Orçamentária!A:A,0),2)</f>
        <v>Leito 400x100 mm</v>
      </c>
      <c r="C5208" s="41"/>
      <c r="D5208" s="26" t="str">
        <f>TRIM(INDEX(Orçamentária!C:C,MATCH(Composições!A5208,Orçamentária!A:A,0),1))</f>
        <v>m</v>
      </c>
      <c r="E5208" s="27"/>
      <c r="F5208" s="42" t="s">
        <v>558</v>
      </c>
      <c r="G5208" s="28" t="str">
        <f>IF(ISNUMBER(F5208),E5208*F5208,"")</f>
        <v/>
      </c>
      <c r="H5208" s="29"/>
      <c r="I5208" s="30"/>
      <c r="J5208" s="155">
        <v>0</v>
      </c>
    </row>
    <row r="5209" spans="1:10" hidden="1" x14ac:dyDescent="0.25">
      <c r="A5209" s="200"/>
      <c r="B5209" s="187"/>
      <c r="C5209" s="32"/>
      <c r="D5209" s="32"/>
      <c r="E5209" s="33"/>
      <c r="F5209" s="43" t="s">
        <v>558</v>
      </c>
      <c r="G5209" s="31" t="str">
        <f>IF(ISNUMBER(F5209),E5209*F5209,"")</f>
        <v/>
      </c>
      <c r="H5209" s="35"/>
      <c r="I5209" s="31"/>
      <c r="J5209" s="155">
        <v>0</v>
      </c>
    </row>
    <row r="5210" spans="1:10" hidden="1" x14ac:dyDescent="0.25">
      <c r="A5210" s="200"/>
      <c r="B5210" s="187"/>
      <c r="C5210" s="36" t="s">
        <v>30</v>
      </c>
      <c r="D5210" s="36" t="s">
        <v>12</v>
      </c>
      <c r="E5210" s="37">
        <v>0.6</v>
      </c>
      <c r="F5210" s="31">
        <v>22.895</v>
      </c>
      <c r="G5210" s="34">
        <f>IF(ISNUMBER(F5210),E5210*F5210,"")</f>
        <v>13.737</v>
      </c>
      <c r="H5210" s="39">
        <f>SUM(G5210:G5212)</f>
        <v>24.418799999999997</v>
      </c>
      <c r="I5210" s="40"/>
      <c r="J5210" s="155">
        <v>0</v>
      </c>
    </row>
    <row r="5211" spans="1:10" hidden="1" x14ac:dyDescent="0.25">
      <c r="A5211" s="200"/>
      <c r="B5211" s="187"/>
      <c r="C5211" s="36" t="s">
        <v>74</v>
      </c>
      <c r="D5211" s="36" t="s">
        <v>12</v>
      </c>
      <c r="E5211" s="37">
        <v>0.6</v>
      </c>
      <c r="F5211" s="31">
        <v>17.802999999999997</v>
      </c>
      <c r="G5211" s="34">
        <f>IF(ISNUMBER(F5211),E5211*F5211,"")</f>
        <v>10.681799999999997</v>
      </c>
      <c r="H5211" s="35"/>
      <c r="I5211" s="31"/>
      <c r="J5211" s="155">
        <v>0</v>
      </c>
    </row>
    <row r="5212" spans="1:10" ht="25.5" hidden="1" x14ac:dyDescent="0.25">
      <c r="A5212" s="200"/>
      <c r="B5212" s="187"/>
      <c r="C5212" s="36" t="s">
        <v>6510</v>
      </c>
      <c r="D5212" s="36" t="s">
        <v>93</v>
      </c>
      <c r="E5212" s="37">
        <v>1.05</v>
      </c>
      <c r="F5212" s="31" t="s">
        <v>558</v>
      </c>
      <c r="G5212" s="34" t="str">
        <f>IF(ISNUMBER(F5212),E5212*F5212,"")</f>
        <v/>
      </c>
      <c r="H5212" s="35"/>
      <c r="I5212" s="31"/>
      <c r="J5212" s="155">
        <v>0</v>
      </c>
    </row>
    <row r="5213" spans="1:10" ht="15.75" hidden="1" thickBot="1" x14ac:dyDescent="0.3">
      <c r="A5213" s="201"/>
      <c r="B5213" s="188"/>
      <c r="C5213" s="36"/>
      <c r="D5213" s="36"/>
      <c r="E5213" s="37"/>
      <c r="F5213" s="31" t="s">
        <v>558</v>
      </c>
      <c r="G5213" s="31" t="str">
        <f>IF(ISNUMBER(F5213),E5213*F5213,"")</f>
        <v/>
      </c>
      <c r="H5213" s="35"/>
      <c r="I5213" s="31"/>
      <c r="J5213" s="155">
        <v>0</v>
      </c>
    </row>
    <row r="5214" spans="1:10" ht="15.75" hidden="1" thickBot="1" x14ac:dyDescent="0.3">
      <c r="A5214" s="180" t="s">
        <v>3864</v>
      </c>
      <c r="B5214" s="186" t="str">
        <f>INDEX(Orçamentária!A:B,MATCH(Composições!A5214,Orçamentária!A:A,0),2)</f>
        <v>Leito 600x100 mm</v>
      </c>
      <c r="C5214" s="41"/>
      <c r="D5214" s="26" t="str">
        <f>TRIM(INDEX(Orçamentária!C:C,MATCH(Composições!A5214,Orçamentária!A:A,0),1))</f>
        <v>m</v>
      </c>
      <c r="E5214" s="27"/>
      <c r="F5214" s="42" t="s">
        <v>558</v>
      </c>
      <c r="G5214" s="28" t="str">
        <f>IF(ISNUMBER(F5214),E5214*F5214,"")</f>
        <v/>
      </c>
      <c r="H5214" s="29"/>
      <c r="I5214" s="30"/>
      <c r="J5214" s="155">
        <v>0</v>
      </c>
    </row>
    <row r="5215" spans="1:10" hidden="1" x14ac:dyDescent="0.25">
      <c r="A5215" s="200"/>
      <c r="B5215" s="187"/>
      <c r="C5215" s="32"/>
      <c r="D5215" s="32"/>
      <c r="E5215" s="33"/>
      <c r="F5215" s="43" t="s">
        <v>558</v>
      </c>
      <c r="G5215" s="31" t="str">
        <f>IF(ISNUMBER(F5215),E5215*F5215,"")</f>
        <v/>
      </c>
      <c r="H5215" s="35"/>
      <c r="I5215" s="31"/>
      <c r="J5215" s="155">
        <v>0</v>
      </c>
    </row>
    <row r="5216" spans="1:10" hidden="1" x14ac:dyDescent="0.25">
      <c r="A5216" s="200"/>
      <c r="B5216" s="187"/>
      <c r="C5216" s="36" t="s">
        <v>30</v>
      </c>
      <c r="D5216" s="36" t="s">
        <v>12</v>
      </c>
      <c r="E5216" s="37">
        <v>0.7</v>
      </c>
      <c r="F5216" s="31">
        <v>22.895</v>
      </c>
      <c r="G5216" s="34">
        <f>IF(ISNUMBER(F5216),E5216*F5216,"")</f>
        <v>16.026499999999999</v>
      </c>
      <c r="H5216" s="39">
        <f>SUM(G5216:G5218)</f>
        <v>28.488599999999998</v>
      </c>
      <c r="I5216" s="40"/>
      <c r="J5216" s="155">
        <v>0</v>
      </c>
    </row>
    <row r="5217" spans="1:10" hidden="1" x14ac:dyDescent="0.25">
      <c r="A5217" s="200"/>
      <c r="B5217" s="187"/>
      <c r="C5217" s="36" t="s">
        <v>74</v>
      </c>
      <c r="D5217" s="36" t="s">
        <v>12</v>
      </c>
      <c r="E5217" s="37">
        <v>0.7</v>
      </c>
      <c r="F5217" s="31">
        <v>17.802999999999997</v>
      </c>
      <c r="G5217" s="34">
        <f>IF(ISNUMBER(F5217),E5217*F5217,"")</f>
        <v>12.462099999999998</v>
      </c>
      <c r="H5217" s="35"/>
      <c r="I5217" s="31"/>
      <c r="J5217" s="155">
        <v>0</v>
      </c>
    </row>
    <row r="5218" spans="1:10" ht="25.5" hidden="1" x14ac:dyDescent="0.25">
      <c r="A5218" s="200"/>
      <c r="B5218" s="187"/>
      <c r="C5218" s="36" t="s">
        <v>6511</v>
      </c>
      <c r="D5218" s="36" t="s">
        <v>93</v>
      </c>
      <c r="E5218" s="37">
        <v>1.05</v>
      </c>
      <c r="F5218" s="31" t="s">
        <v>558</v>
      </c>
      <c r="G5218" s="34" t="str">
        <f>IF(ISNUMBER(F5218),E5218*F5218,"")</f>
        <v/>
      </c>
      <c r="H5218" s="35"/>
      <c r="I5218" s="31"/>
      <c r="J5218" s="155">
        <v>0</v>
      </c>
    </row>
    <row r="5219" spans="1:10" ht="15.75" hidden="1" thickBot="1" x14ac:dyDescent="0.3">
      <c r="A5219" s="201"/>
      <c r="B5219" s="188"/>
      <c r="C5219" s="36"/>
      <c r="D5219" s="36"/>
      <c r="E5219" s="37"/>
      <c r="F5219" s="31" t="s">
        <v>558</v>
      </c>
      <c r="G5219" s="31" t="str">
        <f>IF(ISNUMBER(F5219),E5219*F5219,"")</f>
        <v/>
      </c>
      <c r="H5219" s="35"/>
      <c r="I5219" s="31"/>
      <c r="J5219" s="155">
        <v>0</v>
      </c>
    </row>
    <row r="5220" spans="1:10" ht="15.75" hidden="1" thickBot="1" x14ac:dyDescent="0.3">
      <c r="A5220" s="180" t="s">
        <v>3865</v>
      </c>
      <c r="B5220" s="186" t="str">
        <f>INDEX(Orçamentária!A:B,MATCH(Composições!A5220,Orçamentária!A:A,0),2)</f>
        <v>Luminária 2x28 W hermética de sobrepor</v>
      </c>
      <c r="C5220" s="41"/>
      <c r="D5220" s="26" t="str">
        <f>TRIM(INDEX(Orçamentária!C:C,MATCH(Composições!A5220,Orçamentária!A:A,0),1))</f>
        <v>un</v>
      </c>
      <c r="E5220" s="27"/>
      <c r="F5220" s="42" t="s">
        <v>558</v>
      </c>
      <c r="G5220" s="28" t="str">
        <f>IF(ISNUMBER(F5220),E5220*F5220,"")</f>
        <v/>
      </c>
      <c r="H5220" s="29"/>
      <c r="I5220" s="30"/>
      <c r="J5220" s="155">
        <v>0</v>
      </c>
    </row>
    <row r="5221" spans="1:10" hidden="1" x14ac:dyDescent="0.25">
      <c r="A5221" s="200"/>
      <c r="B5221" s="187"/>
      <c r="C5221" s="32"/>
      <c r="D5221" s="32"/>
      <c r="E5221" s="33"/>
      <c r="F5221" s="43" t="s">
        <v>558</v>
      </c>
      <c r="G5221" s="31" t="str">
        <f>IF(ISNUMBER(F5221),E5221*F5221,"")</f>
        <v/>
      </c>
      <c r="H5221" s="35"/>
      <c r="I5221" s="31"/>
      <c r="J5221" s="155">
        <v>0</v>
      </c>
    </row>
    <row r="5222" spans="1:10" ht="51" hidden="1" x14ac:dyDescent="0.25">
      <c r="A5222" s="200"/>
      <c r="B5222" s="187"/>
      <c r="C5222" s="36" t="s">
        <v>6512</v>
      </c>
      <c r="D5222" s="36" t="s">
        <v>147</v>
      </c>
      <c r="E5222" s="37">
        <v>1</v>
      </c>
      <c r="F5222" s="34" t="s">
        <v>558</v>
      </c>
      <c r="G5222" s="31" t="str">
        <f>IF(ISNUMBER(F5222),E5222*F5222,"")</f>
        <v/>
      </c>
      <c r="H5222" s="39">
        <f>SUM(G5222:G5226)</f>
        <v>12.562266099999999</v>
      </c>
      <c r="I5222" s="40"/>
      <c r="J5222" s="155">
        <v>0</v>
      </c>
    </row>
    <row r="5223" spans="1:10" ht="25.5" hidden="1" x14ac:dyDescent="0.25">
      <c r="A5223" s="200"/>
      <c r="B5223" s="187"/>
      <c r="C5223" s="36" t="s">
        <v>6497</v>
      </c>
      <c r="D5223" s="36" t="s">
        <v>147</v>
      </c>
      <c r="E5223" s="37">
        <v>1</v>
      </c>
      <c r="F5223" s="34" t="s">
        <v>558</v>
      </c>
      <c r="G5223" s="31" t="str">
        <f>IF(ISNUMBER(F5223),E5223*F5223,"")</f>
        <v/>
      </c>
      <c r="H5223" s="45"/>
      <c r="I5223" s="46"/>
      <c r="J5223" s="155">
        <v>0</v>
      </c>
    </row>
    <row r="5224" spans="1:10" ht="25.5" hidden="1" x14ac:dyDescent="0.25">
      <c r="A5224" s="200"/>
      <c r="B5224" s="187"/>
      <c r="C5224" s="36" t="s">
        <v>585</v>
      </c>
      <c r="D5224" s="36" t="s">
        <v>147</v>
      </c>
      <c r="E5224" s="37">
        <v>2</v>
      </c>
      <c r="F5224" s="34" t="s">
        <v>558</v>
      </c>
      <c r="G5224" s="31" t="str">
        <f>IF(ISNUMBER(F5224),E5224*F5224,"")</f>
        <v/>
      </c>
      <c r="H5224" s="45"/>
      <c r="I5224" s="46"/>
      <c r="J5224" s="155">
        <v>0</v>
      </c>
    </row>
    <row r="5225" spans="1:10" hidden="1" x14ac:dyDescent="0.25">
      <c r="A5225" s="200"/>
      <c r="B5225" s="187"/>
      <c r="C5225" s="36" t="s">
        <v>74</v>
      </c>
      <c r="D5225" s="36" t="s">
        <v>12</v>
      </c>
      <c r="E5225" s="37">
        <v>0.17269999999999999</v>
      </c>
      <c r="F5225" s="31">
        <v>17.802999999999997</v>
      </c>
      <c r="G5225" s="31">
        <f>IF(ISNUMBER(F5225),E5225*F5225,"")</f>
        <v>3.0745780999999992</v>
      </c>
      <c r="H5225" s="35"/>
      <c r="I5225" s="31"/>
      <c r="J5225" s="155">
        <v>0</v>
      </c>
    </row>
    <row r="5226" spans="1:10" hidden="1" x14ac:dyDescent="0.25">
      <c r="A5226" s="200"/>
      <c r="B5226" s="187"/>
      <c r="C5226" s="36" t="s">
        <v>30</v>
      </c>
      <c r="D5226" s="36" t="s">
        <v>12</v>
      </c>
      <c r="E5226" s="37">
        <v>0.41439999999999999</v>
      </c>
      <c r="F5226" s="31">
        <v>22.895</v>
      </c>
      <c r="G5226" s="31">
        <f>IF(ISNUMBER(F5226),E5226*F5226,"")</f>
        <v>9.4876880000000003</v>
      </c>
      <c r="H5226" s="35"/>
      <c r="I5226" s="31"/>
      <c r="J5226" s="155">
        <v>0</v>
      </c>
    </row>
    <row r="5227" spans="1:10" ht="15.75" hidden="1" thickBot="1" x14ac:dyDescent="0.3">
      <c r="A5227" s="201"/>
      <c r="B5227" s="188"/>
      <c r="C5227" s="36"/>
      <c r="D5227" s="36"/>
      <c r="E5227" s="37"/>
      <c r="F5227" s="31" t="s">
        <v>558</v>
      </c>
      <c r="G5227" s="31" t="str">
        <f>IF(ISNUMBER(F5227),E5227*F5227,"")</f>
        <v/>
      </c>
      <c r="H5227" s="35"/>
      <c r="I5227" s="31"/>
      <c r="J5227" s="155">
        <v>0</v>
      </c>
    </row>
    <row r="5228" spans="1:10" ht="15.75" hidden="1" thickBot="1" x14ac:dyDescent="0.3">
      <c r="A5228" s="180" t="s">
        <v>3866</v>
      </c>
      <c r="B5228" s="186" t="str">
        <f>INDEX(Orçamentária!A:B,MATCH(Composições!A5228,Orçamentária!A:A,0),2)</f>
        <v>Luminária LED para poste 60 W</v>
      </c>
      <c r="C5228" s="41"/>
      <c r="D5228" s="26" t="str">
        <f>TRIM(INDEX(Orçamentária!C:C,MATCH(Composições!A5228,Orçamentária!A:A,0),1))</f>
        <v>un</v>
      </c>
      <c r="E5228" s="27"/>
      <c r="F5228" s="42" t="s">
        <v>558</v>
      </c>
      <c r="G5228" s="28" t="str">
        <f>IF(ISNUMBER(F5228),E5228*F5228,"")</f>
        <v/>
      </c>
      <c r="H5228" s="29"/>
      <c r="I5228" s="30"/>
      <c r="J5228" s="155">
        <v>0</v>
      </c>
    </row>
    <row r="5229" spans="1:10" hidden="1" x14ac:dyDescent="0.25">
      <c r="A5229" s="200"/>
      <c r="B5229" s="187"/>
      <c r="C5229" s="32"/>
      <c r="D5229" s="32"/>
      <c r="E5229" s="33"/>
      <c r="F5229" s="43" t="s">
        <v>558</v>
      </c>
      <c r="G5229" s="31" t="str">
        <f>IF(ISNUMBER(F5229),E5229*F5229,"")</f>
        <v/>
      </c>
      <c r="H5229" s="35"/>
      <c r="I5229" s="31"/>
      <c r="J5229" s="155">
        <v>0</v>
      </c>
    </row>
    <row r="5230" spans="1:10" ht="51" hidden="1" x14ac:dyDescent="0.25">
      <c r="A5230" s="200"/>
      <c r="B5230" s="187"/>
      <c r="C5230" s="36" t="s">
        <v>3270</v>
      </c>
      <c r="D5230" s="36" t="s">
        <v>982</v>
      </c>
      <c r="E5230" s="37">
        <v>0.23880000000000001</v>
      </c>
      <c r="F5230" s="34">
        <v>177.441</v>
      </c>
      <c r="G5230" s="31">
        <f>IF(ISNUMBER(F5230),E5230*F5230,"")</f>
        <v>42.3729108</v>
      </c>
      <c r="H5230" s="39">
        <f>SUM(G5230:G5234)</f>
        <v>458.22861260000002</v>
      </c>
      <c r="I5230" s="40"/>
      <c r="J5230" s="155">
        <v>0</v>
      </c>
    </row>
    <row r="5231" spans="1:10" ht="25.5" hidden="1" x14ac:dyDescent="0.25">
      <c r="A5231" s="200"/>
      <c r="B5231" s="187"/>
      <c r="C5231" s="36" t="s">
        <v>3403</v>
      </c>
      <c r="D5231" s="36" t="s">
        <v>292</v>
      </c>
      <c r="E5231" s="37">
        <v>1.4E-2</v>
      </c>
      <c r="F5231" s="34">
        <v>3.5719999999999996</v>
      </c>
      <c r="G5231" s="31">
        <f>IF(ISNUMBER(F5231),E5231*F5231,"")</f>
        <v>5.0007999999999997E-2</v>
      </c>
      <c r="H5231" s="45"/>
      <c r="I5231" s="46"/>
      <c r="J5231" s="155">
        <v>0</v>
      </c>
    </row>
    <row r="5232" spans="1:10" ht="25.5" hidden="1" x14ac:dyDescent="0.25">
      <c r="A5232" s="200"/>
      <c r="B5232" s="187"/>
      <c r="C5232" s="36" t="s">
        <v>3410</v>
      </c>
      <c r="D5232" s="36" t="s">
        <v>292</v>
      </c>
      <c r="E5232" s="37">
        <v>1</v>
      </c>
      <c r="F5232" s="34">
        <v>406.1155</v>
      </c>
      <c r="G5232" s="31">
        <f>IF(ISNUMBER(F5232),E5232*F5232,"")</f>
        <v>406.1155</v>
      </c>
      <c r="H5232" s="45"/>
      <c r="I5232" s="46"/>
      <c r="J5232" s="155">
        <v>0</v>
      </c>
    </row>
    <row r="5233" spans="1:10" hidden="1" x14ac:dyDescent="0.25">
      <c r="A5233" s="200"/>
      <c r="B5233" s="187"/>
      <c r="C5233" s="36" t="s">
        <v>1213</v>
      </c>
      <c r="D5233" s="36" t="s">
        <v>742</v>
      </c>
      <c r="E5233" s="37">
        <v>0.23810000000000001</v>
      </c>
      <c r="F5233" s="31">
        <v>17.802999999999997</v>
      </c>
      <c r="G5233" s="31">
        <f>IF(ISNUMBER(F5233),E5233*F5233,"")</f>
        <v>4.2388942999999992</v>
      </c>
      <c r="H5233" s="35"/>
      <c r="I5233" s="31"/>
      <c r="J5233" s="155">
        <v>0</v>
      </c>
    </row>
    <row r="5234" spans="1:10" hidden="1" x14ac:dyDescent="0.25">
      <c r="A5234" s="200"/>
      <c r="B5234" s="187"/>
      <c r="C5234" s="36" t="s">
        <v>1214</v>
      </c>
      <c r="D5234" s="36" t="s">
        <v>742</v>
      </c>
      <c r="E5234" s="37">
        <v>0.23810000000000001</v>
      </c>
      <c r="F5234" s="31">
        <v>22.895</v>
      </c>
      <c r="G5234" s="31">
        <f>IF(ISNUMBER(F5234),E5234*F5234,"")</f>
        <v>5.4512995000000002</v>
      </c>
      <c r="H5234" s="35"/>
      <c r="I5234" s="31"/>
      <c r="J5234" s="155">
        <v>0</v>
      </c>
    </row>
    <row r="5235" spans="1:10" ht="15.75" hidden="1" thickBot="1" x14ac:dyDescent="0.3">
      <c r="A5235" s="201"/>
      <c r="B5235" s="188"/>
      <c r="C5235" s="36"/>
      <c r="D5235" s="36"/>
      <c r="E5235" s="37"/>
      <c r="F5235" s="31" t="s">
        <v>558</v>
      </c>
      <c r="G5235" s="31" t="str">
        <f>IF(ISNUMBER(F5235),E5235*F5235,"")</f>
        <v/>
      </c>
      <c r="H5235" s="35"/>
      <c r="I5235" s="31"/>
      <c r="J5235" s="155">
        <v>0</v>
      </c>
    </row>
    <row r="5236" spans="1:10" ht="15.75" hidden="1" thickBot="1" x14ac:dyDescent="0.3">
      <c r="A5236" s="180" t="s">
        <v>3867</v>
      </c>
      <c r="B5236" s="186" t="str">
        <f>INDEX(Orçamentária!A:B,MATCH(Composições!A5236,Orçamentária!A:A,0),2)</f>
        <v>Luminária LED para poste 120 W</v>
      </c>
      <c r="C5236" s="41"/>
      <c r="D5236" s="26" t="str">
        <f>TRIM(INDEX(Orçamentária!C:C,MATCH(Composições!A5236,Orçamentária!A:A,0),1))</f>
        <v>un</v>
      </c>
      <c r="E5236" s="27"/>
      <c r="F5236" s="42" t="s">
        <v>558</v>
      </c>
      <c r="G5236" s="28" t="str">
        <f>IF(ISNUMBER(F5236),E5236*F5236,"")</f>
        <v/>
      </c>
      <c r="H5236" s="29"/>
      <c r="I5236" s="30"/>
      <c r="J5236" s="155">
        <v>0</v>
      </c>
    </row>
    <row r="5237" spans="1:10" hidden="1" x14ac:dyDescent="0.25">
      <c r="A5237" s="200"/>
      <c r="B5237" s="187"/>
      <c r="C5237" s="32"/>
      <c r="D5237" s="32"/>
      <c r="E5237" s="33"/>
      <c r="F5237" s="43" t="s">
        <v>558</v>
      </c>
      <c r="G5237" s="31" t="str">
        <f>IF(ISNUMBER(F5237),E5237*F5237,"")</f>
        <v/>
      </c>
      <c r="H5237" s="35"/>
      <c r="I5237" s="31"/>
      <c r="J5237" s="155">
        <v>0</v>
      </c>
    </row>
    <row r="5238" spans="1:10" ht="51" hidden="1" x14ac:dyDescent="0.25">
      <c r="A5238" s="200"/>
      <c r="B5238" s="187"/>
      <c r="C5238" s="36" t="s">
        <v>3270</v>
      </c>
      <c r="D5238" s="36" t="s">
        <v>982</v>
      </c>
      <c r="E5238" s="37">
        <v>0.23880000000000001</v>
      </c>
      <c r="F5238" s="34">
        <v>177.441</v>
      </c>
      <c r="G5238" s="31">
        <f>IF(ISNUMBER(F5238),E5238*F5238,"")</f>
        <v>42.3729108</v>
      </c>
      <c r="H5238" s="39">
        <f>SUM(G5238:G5242)</f>
        <v>594.19261259999996</v>
      </c>
      <c r="I5238" s="40"/>
      <c r="J5238" s="155">
        <v>0</v>
      </c>
    </row>
    <row r="5239" spans="1:10" ht="25.5" hidden="1" x14ac:dyDescent="0.25">
      <c r="A5239" s="200"/>
      <c r="B5239" s="187"/>
      <c r="C5239" s="36" t="s">
        <v>3403</v>
      </c>
      <c r="D5239" s="36" t="s">
        <v>292</v>
      </c>
      <c r="E5239" s="37">
        <v>1.4E-2</v>
      </c>
      <c r="F5239" s="34">
        <v>3.5719999999999996</v>
      </c>
      <c r="G5239" s="31">
        <f>IF(ISNUMBER(F5239),E5239*F5239,"")</f>
        <v>5.0007999999999997E-2</v>
      </c>
      <c r="H5239" s="45"/>
      <c r="I5239" s="46"/>
      <c r="J5239" s="155">
        <v>0</v>
      </c>
    </row>
    <row r="5240" spans="1:10" ht="25.5" hidden="1" x14ac:dyDescent="0.25">
      <c r="A5240" s="200"/>
      <c r="B5240" s="187"/>
      <c r="C5240" s="36" t="s">
        <v>3411</v>
      </c>
      <c r="D5240" s="36" t="s">
        <v>292</v>
      </c>
      <c r="E5240" s="37">
        <v>1</v>
      </c>
      <c r="F5240" s="34">
        <v>542.07949999999994</v>
      </c>
      <c r="G5240" s="31">
        <f>IF(ISNUMBER(F5240),E5240*F5240,"")</f>
        <v>542.07949999999994</v>
      </c>
      <c r="H5240" s="45"/>
      <c r="I5240" s="46"/>
      <c r="J5240" s="155">
        <v>0</v>
      </c>
    </row>
    <row r="5241" spans="1:10" hidden="1" x14ac:dyDescent="0.25">
      <c r="A5241" s="200"/>
      <c r="B5241" s="187"/>
      <c r="C5241" s="36" t="s">
        <v>1213</v>
      </c>
      <c r="D5241" s="36" t="s">
        <v>742</v>
      </c>
      <c r="E5241" s="37">
        <v>0.23810000000000001</v>
      </c>
      <c r="F5241" s="31">
        <v>17.802999999999997</v>
      </c>
      <c r="G5241" s="31">
        <f>IF(ISNUMBER(F5241),E5241*F5241,"")</f>
        <v>4.2388942999999992</v>
      </c>
      <c r="H5241" s="35"/>
      <c r="I5241" s="31"/>
      <c r="J5241" s="155">
        <v>0</v>
      </c>
    </row>
    <row r="5242" spans="1:10" hidden="1" x14ac:dyDescent="0.25">
      <c r="A5242" s="200"/>
      <c r="B5242" s="187"/>
      <c r="C5242" s="36" t="s">
        <v>1214</v>
      </c>
      <c r="D5242" s="36" t="s">
        <v>742</v>
      </c>
      <c r="E5242" s="37">
        <v>0.23810000000000001</v>
      </c>
      <c r="F5242" s="31">
        <v>22.895</v>
      </c>
      <c r="G5242" s="31">
        <f>IF(ISNUMBER(F5242),E5242*F5242,"")</f>
        <v>5.4512995000000002</v>
      </c>
      <c r="H5242" s="35"/>
      <c r="I5242" s="31"/>
      <c r="J5242" s="155">
        <v>0</v>
      </c>
    </row>
    <row r="5243" spans="1:10" ht="15.75" hidden="1" thickBot="1" x14ac:dyDescent="0.3">
      <c r="A5243" s="201"/>
      <c r="B5243" s="188"/>
      <c r="C5243" s="36"/>
      <c r="D5243" s="36"/>
      <c r="E5243" s="37"/>
      <c r="F5243" s="31" t="s">
        <v>558</v>
      </c>
      <c r="G5243" s="31" t="str">
        <f>IF(ISNUMBER(F5243),E5243*F5243,"")</f>
        <v/>
      </c>
      <c r="H5243" s="35"/>
      <c r="I5243" s="31"/>
      <c r="J5243" s="155">
        <v>0</v>
      </c>
    </row>
    <row r="5244" spans="1:10" ht="15.75" hidden="1" thickBot="1" x14ac:dyDescent="0.3">
      <c r="A5244" s="180" t="s">
        <v>3873</v>
      </c>
      <c r="B5244" s="186" t="str">
        <f>INDEX(Orçamentária!A:B,MATCH(Composições!A5244,Orçamentária!A:A,0),2)</f>
        <v>Poste curvo simples 8 metros</v>
      </c>
      <c r="C5244" s="41"/>
      <c r="D5244" s="26" t="str">
        <f>TRIM(INDEX(Orçamentária!C:C,MATCH(Composições!A5244,Orçamentária!A:A,0),1))</f>
        <v>un</v>
      </c>
      <c r="E5244" s="27"/>
      <c r="F5244" s="42" t="s">
        <v>558</v>
      </c>
      <c r="G5244" s="28" t="str">
        <f>IF(ISNUMBER(F5244),E5244*F5244,"")</f>
        <v/>
      </c>
      <c r="H5244" s="29"/>
      <c r="I5244" s="30"/>
      <c r="J5244" s="155">
        <v>0</v>
      </c>
    </row>
    <row r="5245" spans="1:10" hidden="1" x14ac:dyDescent="0.25">
      <c r="A5245" s="200"/>
      <c r="B5245" s="187"/>
      <c r="C5245" s="32"/>
      <c r="D5245" s="32"/>
      <c r="E5245" s="33"/>
      <c r="F5245" s="43" t="s">
        <v>558</v>
      </c>
      <c r="G5245" s="31" t="str">
        <f>IF(ISNUMBER(F5245),E5245*F5245,"")</f>
        <v/>
      </c>
      <c r="H5245" s="35"/>
      <c r="I5245" s="31"/>
      <c r="J5245" s="155">
        <v>0</v>
      </c>
    </row>
    <row r="5246" spans="1:10" ht="25.5" hidden="1" x14ac:dyDescent="0.25">
      <c r="A5246" s="200"/>
      <c r="B5246" s="187"/>
      <c r="C5246" s="36" t="s">
        <v>3435</v>
      </c>
      <c r="D5246" s="36" t="s">
        <v>292</v>
      </c>
      <c r="E5246" s="37">
        <v>1</v>
      </c>
      <c r="F5246" s="34">
        <v>2080.0250000000001</v>
      </c>
      <c r="G5246" s="31">
        <f>IF(ISNUMBER(F5246),E5246*F5246,"")</f>
        <v>2080.0250000000001</v>
      </c>
      <c r="H5246" s="39">
        <f>SUM(G5246:G5249)</f>
        <v>2151.5439545000004</v>
      </c>
      <c r="I5246" s="40"/>
      <c r="J5246" s="155">
        <v>0</v>
      </c>
    </row>
    <row r="5247" spans="1:10" ht="51" hidden="1" x14ac:dyDescent="0.25">
      <c r="A5247" s="200"/>
      <c r="B5247" s="187"/>
      <c r="C5247" s="36" t="s">
        <v>3270</v>
      </c>
      <c r="D5247" s="36" t="s">
        <v>982</v>
      </c>
      <c r="E5247" s="37">
        <v>0.111</v>
      </c>
      <c r="F5247" s="34">
        <v>177.441</v>
      </c>
      <c r="G5247" s="31">
        <f>IF(ISNUMBER(F5247),E5247*F5247,"")</f>
        <v>19.695951000000001</v>
      </c>
      <c r="H5247" s="45"/>
      <c r="I5247" s="46"/>
      <c r="J5247" s="155">
        <v>0</v>
      </c>
    </row>
    <row r="5248" spans="1:10" hidden="1" x14ac:dyDescent="0.25">
      <c r="A5248" s="200"/>
      <c r="B5248" s="187"/>
      <c r="C5248" s="36" t="s">
        <v>1213</v>
      </c>
      <c r="D5248" s="36" t="s">
        <v>742</v>
      </c>
      <c r="E5248" s="37">
        <f>1.124/2</f>
        <v>0.56200000000000006</v>
      </c>
      <c r="F5248" s="34">
        <v>17.802999999999997</v>
      </c>
      <c r="G5248" s="31">
        <f>IF(ISNUMBER(F5248),E5248*F5248,"")</f>
        <v>10.005286</v>
      </c>
      <c r="H5248" s="45"/>
      <c r="I5248" s="46"/>
      <c r="J5248" s="155">
        <v>0</v>
      </c>
    </row>
    <row r="5249" spans="1:10" hidden="1" x14ac:dyDescent="0.25">
      <c r="A5249" s="200"/>
      <c r="B5249" s="187"/>
      <c r="C5249" s="36" t="s">
        <v>1214</v>
      </c>
      <c r="D5249" s="36" t="s">
        <v>742</v>
      </c>
      <c r="E5249" s="37">
        <f>3.653/2</f>
        <v>1.8265</v>
      </c>
      <c r="F5249" s="31">
        <v>22.895</v>
      </c>
      <c r="G5249" s="31">
        <f>IF(ISNUMBER(F5249),E5249*F5249,"")</f>
        <v>41.817717500000001</v>
      </c>
      <c r="H5249" s="35"/>
      <c r="I5249" s="31"/>
      <c r="J5249" s="155">
        <v>0</v>
      </c>
    </row>
    <row r="5250" spans="1:10" ht="15.75" hidden="1" thickBot="1" x14ac:dyDescent="0.3">
      <c r="A5250" s="201"/>
      <c r="B5250" s="188"/>
      <c r="C5250" s="36"/>
      <c r="D5250" s="36"/>
      <c r="E5250" s="37"/>
      <c r="F5250" s="31" t="s">
        <v>558</v>
      </c>
      <c r="G5250" s="31" t="str">
        <f>IF(ISNUMBER(F5250),E5250*F5250,"")</f>
        <v/>
      </c>
      <c r="H5250" s="35"/>
      <c r="I5250" s="31"/>
      <c r="J5250" s="155">
        <v>0</v>
      </c>
    </row>
    <row r="5251" spans="1:10" ht="15.75" hidden="1" thickBot="1" x14ac:dyDescent="0.3">
      <c r="A5251" s="189" t="s">
        <v>3874</v>
      </c>
      <c r="B5251" s="192" t="str">
        <f>INDEX(Orçamentária!A:B,MATCH(Composições!A5251,Orçamentária!A:A,0),2)</f>
        <v>Caixa de Passagem Subterrânea 300x300x500mm</v>
      </c>
      <c r="C5251" s="41"/>
      <c r="D5251" s="26" t="str">
        <f>TRIM(INDEX(Orçamentária!C:C,MATCH(Composições!A5251,Orçamentária!A:A,0),1))</f>
        <v>un</v>
      </c>
      <c r="E5251" s="27"/>
      <c r="F5251" s="42" t="s">
        <v>558</v>
      </c>
      <c r="G5251" s="28" t="str">
        <f>IF(ISNUMBER(F5251),E5251*F5251,"")</f>
        <v/>
      </c>
      <c r="H5251" s="29"/>
      <c r="I5251" s="30"/>
      <c r="J5251" s="155">
        <v>0</v>
      </c>
    </row>
    <row r="5252" spans="1:10" hidden="1" x14ac:dyDescent="0.25">
      <c r="A5252" s="190"/>
      <c r="B5252" s="193"/>
      <c r="C5252" s="32"/>
      <c r="D5252" s="32"/>
      <c r="E5252" s="33"/>
      <c r="F5252" s="43" t="s">
        <v>558</v>
      </c>
      <c r="G5252" s="31" t="str">
        <f>IF(ISNUMBER(F5252),E5252*F5252,"")</f>
        <v/>
      </c>
      <c r="H5252" s="35"/>
      <c r="I5252" s="31"/>
      <c r="J5252" s="155">
        <v>0</v>
      </c>
    </row>
    <row r="5253" spans="1:10" hidden="1" x14ac:dyDescent="0.25">
      <c r="A5253" s="190"/>
      <c r="B5253" s="193"/>
      <c r="C5253" s="36" t="s">
        <v>3610</v>
      </c>
      <c r="D5253" s="36" t="s">
        <v>292</v>
      </c>
      <c r="E5253" s="37">
        <f>48.7507*5/3</f>
        <v>81.251166666666663</v>
      </c>
      <c r="F5253" s="31">
        <v>0.66499999999999992</v>
      </c>
      <c r="G5253" s="34">
        <f>IF(ISNUMBER(F5253),E5253*F5253,"")</f>
        <v>54.032025833333321</v>
      </c>
      <c r="H5253" s="39">
        <f>SUM(G5253:G5259)</f>
        <v>234.50868508769031</v>
      </c>
      <c r="I5253" s="40"/>
      <c r="J5253" s="155">
        <v>0</v>
      </c>
    </row>
    <row r="5254" spans="1:10" ht="38.25" hidden="1" x14ac:dyDescent="0.25">
      <c r="A5254" s="190"/>
      <c r="B5254" s="193"/>
      <c r="C5254" s="36" t="s">
        <v>1044</v>
      </c>
      <c r="D5254" s="36" t="s">
        <v>122</v>
      </c>
      <c r="E5254" s="37">
        <f>0.0004*5/3</f>
        <v>6.6666666666666664E-4</v>
      </c>
      <c r="F5254" s="31">
        <v>443.66862473099997</v>
      </c>
      <c r="G5254" s="34">
        <f>IF(ISNUMBER(F5254),E5254*F5254,"")</f>
        <v>0.29577908315399998</v>
      </c>
      <c r="H5254" s="35"/>
      <c r="I5254" s="31"/>
      <c r="J5254" s="155">
        <v>0</v>
      </c>
    </row>
    <row r="5255" spans="1:10" hidden="1" x14ac:dyDescent="0.25">
      <c r="A5255" s="190"/>
      <c r="B5255" s="193"/>
      <c r="C5255" s="36" t="s">
        <v>750</v>
      </c>
      <c r="D5255" s="36" t="s">
        <v>742</v>
      </c>
      <c r="E5255" s="37">
        <f>1.5362*5/3</f>
        <v>2.5603333333333333</v>
      </c>
      <c r="F5255" s="34">
        <v>22.704999999999998</v>
      </c>
      <c r="G5255" s="31">
        <f>IF(ISNUMBER(F5255),E5255*F5255,"")</f>
        <v>58.132368333333332</v>
      </c>
      <c r="H5255" s="35"/>
      <c r="I5255" s="31"/>
      <c r="J5255" s="155">
        <v>0</v>
      </c>
    </row>
    <row r="5256" spans="1:10" hidden="1" x14ac:dyDescent="0.25">
      <c r="A5256" s="190"/>
      <c r="B5256" s="193"/>
      <c r="C5256" s="36" t="s">
        <v>743</v>
      </c>
      <c r="D5256" s="36" t="s">
        <v>742</v>
      </c>
      <c r="E5256" s="37">
        <f>1.5362*5/3</f>
        <v>2.5603333333333333</v>
      </c>
      <c r="F5256" s="31">
        <v>16.729499999999998</v>
      </c>
      <c r="G5256" s="34">
        <f>IF(ISNUMBER(F5256),E5256*F5256,"")</f>
        <v>42.833096499999996</v>
      </c>
      <c r="H5256" s="35"/>
      <c r="I5256" s="40"/>
      <c r="J5256" s="155">
        <v>0</v>
      </c>
    </row>
    <row r="5257" spans="1:10" ht="25.5" hidden="1" x14ac:dyDescent="0.25">
      <c r="A5257" s="190"/>
      <c r="B5257" s="193"/>
      <c r="C5257" s="36" t="s">
        <v>3305</v>
      </c>
      <c r="D5257" s="36" t="s">
        <v>122</v>
      </c>
      <c r="E5257" s="37">
        <f>0.0278*5/3</f>
        <v>4.6333333333333331E-2</v>
      </c>
      <c r="F5257" s="31">
        <v>453.32971143350005</v>
      </c>
      <c r="G5257" s="34">
        <f>IF(ISNUMBER(F5257),E5257*F5257,"")</f>
        <v>21.004276629752169</v>
      </c>
      <c r="H5257" s="35"/>
      <c r="I5257" s="31"/>
      <c r="J5257" s="155">
        <v>0</v>
      </c>
    </row>
    <row r="5258" spans="1:10" ht="25.5" hidden="1" x14ac:dyDescent="0.25">
      <c r="A5258" s="190"/>
      <c r="B5258" s="193"/>
      <c r="C5258" s="36" t="s">
        <v>3295</v>
      </c>
      <c r="D5258" s="36" t="s">
        <v>122</v>
      </c>
      <c r="E5258" s="37">
        <f>0.0175</f>
        <v>1.7500000000000002E-2</v>
      </c>
      <c r="F5258" s="34">
        <v>2644.0431675849995</v>
      </c>
      <c r="G5258" s="31">
        <f>IF(ISNUMBER(F5258),E5258*F5258,"")</f>
        <v>46.270755432737495</v>
      </c>
      <c r="H5258" s="35"/>
      <c r="I5258" s="31"/>
      <c r="J5258" s="155">
        <v>0</v>
      </c>
    </row>
    <row r="5259" spans="1:10" ht="25.5" hidden="1" x14ac:dyDescent="0.25">
      <c r="A5259" s="190"/>
      <c r="B5259" s="193"/>
      <c r="C5259" s="36" t="s">
        <v>3778</v>
      </c>
      <c r="D5259" s="36" t="s">
        <v>122</v>
      </c>
      <c r="E5259" s="37">
        <f>0.036</f>
        <v>3.5999999999999997E-2</v>
      </c>
      <c r="F5259" s="31">
        <v>331.67731320500002</v>
      </c>
      <c r="G5259" s="34">
        <f>IF(ISNUMBER(F5259),E5259*F5259,"")</f>
        <v>11.94038327538</v>
      </c>
      <c r="H5259" s="35"/>
      <c r="I5259" s="40"/>
      <c r="J5259" s="155">
        <v>0</v>
      </c>
    </row>
    <row r="5260" spans="1:10" ht="15.75" hidden="1" thickBot="1" x14ac:dyDescent="0.3">
      <c r="A5260" s="191"/>
      <c r="B5260" s="194"/>
      <c r="C5260" s="36"/>
      <c r="D5260" s="36"/>
      <c r="E5260" s="37"/>
      <c r="F5260" s="31" t="s">
        <v>558</v>
      </c>
      <c r="G5260" s="31" t="str">
        <f>IF(ISNUMBER(F5260),E5260*F5260,"")</f>
        <v/>
      </c>
      <c r="H5260" s="35"/>
      <c r="I5260" s="31"/>
      <c r="J5260" s="155">
        <v>0</v>
      </c>
    </row>
    <row r="5261" spans="1:10" ht="15.75" hidden="1" thickBot="1" x14ac:dyDescent="0.3">
      <c r="A5261" s="189" t="s">
        <v>3877</v>
      </c>
      <c r="B5261" s="192" t="str">
        <f>INDEX(Orçamentária!A:B,MATCH(Composições!A5261,Orçamentária!A:A,0),2)</f>
        <v>Caixa de Passagem Subterrânea 600x600x800mm</v>
      </c>
      <c r="C5261" s="41"/>
      <c r="D5261" s="26" t="str">
        <f>TRIM(INDEX(Orçamentária!C:C,MATCH(Composições!A5261,Orçamentária!A:A,0),1))</f>
        <v>un</v>
      </c>
      <c r="E5261" s="27"/>
      <c r="F5261" s="42" t="s">
        <v>558</v>
      </c>
      <c r="G5261" s="28" t="str">
        <f>IF(ISNUMBER(F5261),E5261*F5261,"")</f>
        <v/>
      </c>
      <c r="H5261" s="29"/>
      <c r="I5261" s="30"/>
      <c r="J5261" s="155">
        <v>0</v>
      </c>
    </row>
    <row r="5262" spans="1:10" hidden="1" x14ac:dyDescent="0.25">
      <c r="A5262" s="190"/>
      <c r="B5262" s="193"/>
      <c r="C5262" s="32"/>
      <c r="D5262" s="32"/>
      <c r="E5262" s="33"/>
      <c r="F5262" s="43" t="s">
        <v>558</v>
      </c>
      <c r="G5262" s="31" t="str">
        <f>IF(ISNUMBER(F5262),E5262*F5262,"")</f>
        <v/>
      </c>
      <c r="H5262" s="35"/>
      <c r="I5262" s="31"/>
      <c r="J5262" s="155">
        <v>0</v>
      </c>
    </row>
    <row r="5263" spans="1:10" ht="63.75" hidden="1" x14ac:dyDescent="0.25">
      <c r="A5263" s="190"/>
      <c r="B5263" s="193"/>
      <c r="C5263" s="36" t="s">
        <v>3268</v>
      </c>
      <c r="D5263" s="36" t="s">
        <v>982</v>
      </c>
      <c r="E5263" s="37">
        <f>ROUND(0.0087*8/6,4)</f>
        <v>1.1599999999999999E-2</v>
      </c>
      <c r="F5263" s="31">
        <v>101.0515</v>
      </c>
      <c r="G5263" s="34">
        <f>IF(ISNUMBER(F5263),E5263*F5263,"")</f>
        <v>1.1721973999999999</v>
      </c>
      <c r="H5263" s="39">
        <f>SUM(G5263:G5271)</f>
        <v>625.00721693139337</v>
      </c>
      <c r="I5263" s="40"/>
      <c r="J5263" s="155">
        <v>0</v>
      </c>
    </row>
    <row r="5264" spans="1:10" ht="63.75" hidden="1" x14ac:dyDescent="0.25">
      <c r="A5264" s="190"/>
      <c r="B5264" s="193"/>
      <c r="C5264" s="36" t="s">
        <v>3276</v>
      </c>
      <c r="D5264" s="36" t="s">
        <v>984</v>
      </c>
      <c r="E5264" s="37">
        <f>ROUND(0.0294*8/6,4)</f>
        <v>3.9199999999999999E-2</v>
      </c>
      <c r="F5264" s="31">
        <v>40.412999999999997</v>
      </c>
      <c r="G5264" s="34">
        <f>IF(ISNUMBER(F5264),E5264*F5264,"")</f>
        <v>1.5841895999999998</v>
      </c>
      <c r="H5264" s="35"/>
      <c r="I5264" s="31"/>
      <c r="J5264" s="155">
        <v>0</v>
      </c>
    </row>
    <row r="5265" spans="1:10" hidden="1" x14ac:dyDescent="0.25">
      <c r="A5265" s="190"/>
      <c r="B5265" s="193"/>
      <c r="C5265" s="36" t="s">
        <v>3610</v>
      </c>
      <c r="D5265" s="36" t="s">
        <v>292</v>
      </c>
      <c r="E5265" s="37">
        <f>ROUND(169.8027*8/6,4)</f>
        <v>226.40360000000001</v>
      </c>
      <c r="F5265" s="34">
        <v>0.66499999999999992</v>
      </c>
      <c r="G5265" s="31">
        <f>IF(ISNUMBER(F5265),E5265*F5265,"")</f>
        <v>150.55839399999999</v>
      </c>
      <c r="H5265" s="35"/>
      <c r="I5265" s="31"/>
      <c r="J5265" s="155">
        <v>0</v>
      </c>
    </row>
    <row r="5266" spans="1:10" ht="38.25" hidden="1" x14ac:dyDescent="0.25">
      <c r="A5266" s="190"/>
      <c r="B5266" s="193"/>
      <c r="C5266" s="36" t="s">
        <v>1044</v>
      </c>
      <c r="D5266" s="36" t="s">
        <v>122</v>
      </c>
      <c r="E5266" s="37">
        <f>ROUND(0.0014*8/6,4)</f>
        <v>1.9E-3</v>
      </c>
      <c r="F5266" s="31">
        <v>443.66862473099997</v>
      </c>
      <c r="G5266" s="34">
        <f>IF(ISNUMBER(F5266),E5266*F5266,"")</f>
        <v>0.84297038698889992</v>
      </c>
      <c r="H5266" s="35"/>
      <c r="I5266" s="40"/>
      <c r="J5266" s="155">
        <v>0</v>
      </c>
    </row>
    <row r="5267" spans="1:10" hidden="1" x14ac:dyDescent="0.25">
      <c r="A5267" s="190"/>
      <c r="B5267" s="193"/>
      <c r="C5267" s="36" t="s">
        <v>750</v>
      </c>
      <c r="D5267" s="36" t="s">
        <v>742</v>
      </c>
      <c r="E5267" s="37">
        <f>ROUND(5.4392*8/6,4)</f>
        <v>7.2523</v>
      </c>
      <c r="F5267" s="31">
        <v>22.704999999999998</v>
      </c>
      <c r="G5267" s="34">
        <f>IF(ISNUMBER(F5267),E5267*F5267,"")</f>
        <v>164.66347149999999</v>
      </c>
      <c r="H5267" s="35"/>
      <c r="I5267" s="31"/>
      <c r="J5267" s="155">
        <v>0</v>
      </c>
    </row>
    <row r="5268" spans="1:10" hidden="1" x14ac:dyDescent="0.25">
      <c r="A5268" s="190"/>
      <c r="B5268" s="193"/>
      <c r="C5268" s="36" t="s">
        <v>743</v>
      </c>
      <c r="D5268" s="36" t="s">
        <v>742</v>
      </c>
      <c r="E5268" s="37">
        <f>ROUND(5.4392*8/6,4)</f>
        <v>7.2523</v>
      </c>
      <c r="F5268" s="34">
        <v>16.729499999999998</v>
      </c>
      <c r="G5268" s="31">
        <f>IF(ISNUMBER(F5268),E5268*F5268,"")</f>
        <v>121.32735284999998</v>
      </c>
      <c r="H5268" s="35"/>
      <c r="I5268" s="31"/>
      <c r="J5268" s="155">
        <v>0</v>
      </c>
    </row>
    <row r="5269" spans="1:10" ht="25.5" hidden="1" x14ac:dyDescent="0.25">
      <c r="A5269" s="190"/>
      <c r="B5269" s="193"/>
      <c r="C5269" s="36" t="s">
        <v>3305</v>
      </c>
      <c r="D5269" s="36" t="s">
        <v>122</v>
      </c>
      <c r="E5269" s="37">
        <f>ROUND(0.1012*8/6,4)</f>
        <v>0.13489999999999999</v>
      </c>
      <c r="F5269" s="31">
        <v>453.32971143350005</v>
      </c>
      <c r="G5269" s="34">
        <f>IF(ISNUMBER(F5269),E5269*F5269,"")</f>
        <v>61.154178072379153</v>
      </c>
      <c r="H5269" s="35"/>
      <c r="I5269" s="40"/>
      <c r="J5269" s="155">
        <v>0</v>
      </c>
    </row>
    <row r="5270" spans="1:10" ht="25.5" hidden="1" x14ac:dyDescent="0.25">
      <c r="A5270" s="190"/>
      <c r="B5270" s="193"/>
      <c r="C5270" s="36" t="s">
        <v>3296</v>
      </c>
      <c r="D5270" s="36" t="s">
        <v>122</v>
      </c>
      <c r="E5270" s="37">
        <v>4.48E-2</v>
      </c>
      <c r="F5270" s="31">
        <v>2227.3419932169722</v>
      </c>
      <c r="G5270" s="34">
        <f>IF(ISNUMBER(F5270),E5270*F5270,"")</f>
        <v>99.784921296120359</v>
      </c>
      <c r="H5270" s="35"/>
      <c r="I5270" s="31"/>
      <c r="J5270" s="155">
        <v>0</v>
      </c>
    </row>
    <row r="5271" spans="1:10" ht="25.5" hidden="1" x14ac:dyDescent="0.25">
      <c r="A5271" s="190"/>
      <c r="B5271" s="193"/>
      <c r="C5271" s="36" t="s">
        <v>3779</v>
      </c>
      <c r="D5271" s="36" t="s">
        <v>122</v>
      </c>
      <c r="E5271" s="37">
        <v>8.1000000000000003E-2</v>
      </c>
      <c r="F5271" s="34">
        <v>295.30298550500004</v>
      </c>
      <c r="G5271" s="31">
        <f>IF(ISNUMBER(F5271),E5271*F5271,"")</f>
        <v>23.919541825905004</v>
      </c>
      <c r="H5271" s="35"/>
      <c r="I5271" s="31"/>
      <c r="J5271" s="155">
        <v>0</v>
      </c>
    </row>
    <row r="5272" spans="1:10" ht="15.75" hidden="1" thickBot="1" x14ac:dyDescent="0.3">
      <c r="A5272" s="191"/>
      <c r="B5272" s="194"/>
      <c r="C5272" s="36"/>
      <c r="D5272" s="36"/>
      <c r="E5272" s="37"/>
      <c r="F5272" s="31" t="s">
        <v>558</v>
      </c>
      <c r="G5272" s="31" t="str">
        <f>IF(ISNUMBER(F5272),E5272*F5272,"")</f>
        <v/>
      </c>
      <c r="H5272" s="35"/>
      <c r="I5272" s="31"/>
      <c r="J5272" s="155">
        <v>0</v>
      </c>
    </row>
    <row r="5273" spans="1:10" ht="15.75" hidden="1" thickBot="1" x14ac:dyDescent="0.3">
      <c r="A5273" s="180" t="s">
        <v>3879</v>
      </c>
      <c r="B5273" s="186" t="str">
        <f>INDEX(Orçamentária!A:B,MATCH(Composições!A5273,Orçamentária!A:A,0),2)</f>
        <v>Kit terminal para cabo de potência, 8,7 kV/15 kV, 95 mm²</v>
      </c>
      <c r="C5273" s="41"/>
      <c r="D5273" s="26" t="str">
        <f>TRIM(INDEX(Orçamentária!C:C,MATCH(Composições!A5273,Orçamentária!A:A,0),1))</f>
        <v>un</v>
      </c>
      <c r="E5273" s="27"/>
      <c r="F5273" s="42" t="s">
        <v>558</v>
      </c>
      <c r="G5273" s="28" t="str">
        <f>IF(ISNUMBER(F5273),E5273*F5273,"")</f>
        <v/>
      </c>
      <c r="H5273" s="29"/>
      <c r="I5273" s="30"/>
      <c r="J5273" s="155">
        <v>0</v>
      </c>
    </row>
    <row r="5274" spans="1:10" hidden="1" x14ac:dyDescent="0.25">
      <c r="A5274" s="200"/>
      <c r="B5274" s="187"/>
      <c r="C5274" s="32"/>
      <c r="D5274" s="32"/>
      <c r="E5274" s="33"/>
      <c r="F5274" s="43" t="s">
        <v>558</v>
      </c>
      <c r="G5274" s="31" t="str">
        <f>IF(ISNUMBER(F5274),E5274*F5274,"")</f>
        <v/>
      </c>
      <c r="H5274" s="35"/>
      <c r="I5274" s="31"/>
      <c r="J5274" s="155">
        <v>0</v>
      </c>
    </row>
    <row r="5275" spans="1:10" hidden="1" x14ac:dyDescent="0.25">
      <c r="A5275" s="200"/>
      <c r="B5275" s="187"/>
      <c r="C5275" s="36" t="s">
        <v>6513</v>
      </c>
      <c r="D5275" s="36" t="s">
        <v>292</v>
      </c>
      <c r="E5275" s="37">
        <v>1</v>
      </c>
      <c r="F5275" s="34" t="s">
        <v>558</v>
      </c>
      <c r="G5275" s="31" t="str">
        <f>IF(ISNUMBER(F5275),E5275*F5275,"")</f>
        <v/>
      </c>
      <c r="H5275" s="39">
        <f>SUM(G5275:G5277)</f>
        <v>20.348999999999997</v>
      </c>
      <c r="I5275" s="40"/>
      <c r="J5275" s="155">
        <v>0</v>
      </c>
    </row>
    <row r="5276" spans="1:10" hidden="1" x14ac:dyDescent="0.25">
      <c r="A5276" s="200"/>
      <c r="B5276" s="187"/>
      <c r="C5276" s="36" t="s">
        <v>1213</v>
      </c>
      <c r="D5276" s="36" t="s">
        <v>742</v>
      </c>
      <c r="E5276" s="37">
        <v>0.5</v>
      </c>
      <c r="F5276" s="34">
        <v>17.802999999999997</v>
      </c>
      <c r="G5276" s="31">
        <f>IF(ISNUMBER(F5276),E5276*F5276,"")</f>
        <v>8.9014999999999986</v>
      </c>
      <c r="H5276" s="45"/>
      <c r="I5276" s="46"/>
      <c r="J5276" s="155">
        <v>0</v>
      </c>
    </row>
    <row r="5277" spans="1:10" hidden="1" x14ac:dyDescent="0.25">
      <c r="A5277" s="200"/>
      <c r="B5277" s="187"/>
      <c r="C5277" s="36" t="s">
        <v>1214</v>
      </c>
      <c r="D5277" s="36" t="s">
        <v>742</v>
      </c>
      <c r="E5277" s="37">
        <v>0.5</v>
      </c>
      <c r="F5277" s="31">
        <v>22.895</v>
      </c>
      <c r="G5277" s="31">
        <f>IF(ISNUMBER(F5277),E5277*F5277,"")</f>
        <v>11.4475</v>
      </c>
      <c r="H5277" s="35"/>
      <c r="I5277" s="31"/>
      <c r="J5277" s="155">
        <v>0</v>
      </c>
    </row>
    <row r="5278" spans="1:10" ht="15.75" hidden="1" thickBot="1" x14ac:dyDescent="0.3">
      <c r="A5278" s="201"/>
      <c r="B5278" s="188"/>
      <c r="C5278" s="36"/>
      <c r="D5278" s="36"/>
      <c r="E5278" s="37"/>
      <c r="F5278" s="31" t="s">
        <v>558</v>
      </c>
      <c r="G5278" s="31" t="str">
        <f>IF(ISNUMBER(F5278),E5278*F5278,"")</f>
        <v/>
      </c>
      <c r="H5278" s="35"/>
      <c r="I5278" s="31"/>
      <c r="J5278" s="155">
        <v>0</v>
      </c>
    </row>
    <row r="5279" spans="1:10" ht="15.75" hidden="1" thickBot="1" x14ac:dyDescent="0.3">
      <c r="A5279" s="180" t="s">
        <v>3880</v>
      </c>
      <c r="B5279" s="186" t="str">
        <f>INDEX(Orçamentária!A:B,MATCH(Composições!A5279,Orçamentária!A:A,0),2)</f>
        <v>Kit terminal para cabo de potência, 8,7 kV/15 kV, 240 mm²</v>
      </c>
      <c r="C5279" s="41"/>
      <c r="D5279" s="26" t="str">
        <f>TRIM(INDEX(Orçamentária!C:C,MATCH(Composições!A5279,Orçamentária!A:A,0),1))</f>
        <v>un</v>
      </c>
      <c r="E5279" s="27"/>
      <c r="F5279" s="42" t="s">
        <v>558</v>
      </c>
      <c r="G5279" s="28" t="str">
        <f>IF(ISNUMBER(F5279),E5279*F5279,"")</f>
        <v/>
      </c>
      <c r="H5279" s="29"/>
      <c r="I5279" s="30"/>
      <c r="J5279" s="155">
        <v>0</v>
      </c>
    </row>
    <row r="5280" spans="1:10" hidden="1" x14ac:dyDescent="0.25">
      <c r="A5280" s="200"/>
      <c r="B5280" s="187"/>
      <c r="C5280" s="32"/>
      <c r="D5280" s="32"/>
      <c r="E5280" s="33"/>
      <c r="F5280" s="43" t="s">
        <v>558</v>
      </c>
      <c r="G5280" s="31" t="str">
        <f>IF(ISNUMBER(F5280),E5280*F5280,"")</f>
        <v/>
      </c>
      <c r="H5280" s="35"/>
      <c r="I5280" s="31"/>
      <c r="J5280" s="155">
        <v>0</v>
      </c>
    </row>
    <row r="5281" spans="1:10" hidden="1" x14ac:dyDescent="0.25">
      <c r="A5281" s="200"/>
      <c r="B5281" s="187"/>
      <c r="C5281" s="36" t="s">
        <v>6514</v>
      </c>
      <c r="D5281" s="36" t="s">
        <v>292</v>
      </c>
      <c r="E5281" s="37">
        <v>1</v>
      </c>
      <c r="F5281" s="34" t="s">
        <v>558</v>
      </c>
      <c r="G5281" s="31" t="str">
        <f>IF(ISNUMBER(F5281),E5281*F5281,"")</f>
        <v/>
      </c>
      <c r="H5281" s="39">
        <f>SUM(G5281:G5283)</f>
        <v>20.348999999999997</v>
      </c>
      <c r="I5281" s="40"/>
      <c r="J5281" s="155">
        <v>0</v>
      </c>
    </row>
    <row r="5282" spans="1:10" hidden="1" x14ac:dyDescent="0.25">
      <c r="A5282" s="200"/>
      <c r="B5282" s="187"/>
      <c r="C5282" s="36" t="s">
        <v>1213</v>
      </c>
      <c r="D5282" s="36" t="s">
        <v>742</v>
      </c>
      <c r="E5282" s="37">
        <v>0.5</v>
      </c>
      <c r="F5282" s="34">
        <v>17.802999999999997</v>
      </c>
      <c r="G5282" s="31">
        <f>IF(ISNUMBER(F5282),E5282*F5282,"")</f>
        <v>8.9014999999999986</v>
      </c>
      <c r="H5282" s="45"/>
      <c r="I5282" s="46"/>
      <c r="J5282" s="155">
        <v>0</v>
      </c>
    </row>
    <row r="5283" spans="1:10" hidden="1" x14ac:dyDescent="0.25">
      <c r="A5283" s="200"/>
      <c r="B5283" s="187"/>
      <c r="C5283" s="36" t="s">
        <v>1214</v>
      </c>
      <c r="D5283" s="36" t="s">
        <v>742</v>
      </c>
      <c r="E5283" s="37">
        <v>0.5</v>
      </c>
      <c r="F5283" s="31">
        <v>22.895</v>
      </c>
      <c r="G5283" s="31">
        <f>IF(ISNUMBER(F5283),E5283*F5283,"")</f>
        <v>11.4475</v>
      </c>
      <c r="H5283" s="35"/>
      <c r="I5283" s="31"/>
      <c r="J5283" s="155">
        <v>0</v>
      </c>
    </row>
    <row r="5284" spans="1:10" ht="15.75" hidden="1" thickBot="1" x14ac:dyDescent="0.3">
      <c r="A5284" s="201"/>
      <c r="B5284" s="188"/>
      <c r="C5284" s="36"/>
      <c r="D5284" s="36"/>
      <c r="E5284" s="37"/>
      <c r="F5284" s="31" t="s">
        <v>558</v>
      </c>
      <c r="G5284" s="31" t="str">
        <f>IF(ISNUMBER(F5284),E5284*F5284,"")</f>
        <v/>
      </c>
      <c r="H5284" s="35"/>
      <c r="I5284" s="31"/>
      <c r="J5284" s="155">
        <v>0</v>
      </c>
    </row>
    <row r="5285" spans="1:10" ht="15.75" hidden="1" thickBot="1" x14ac:dyDescent="0.3">
      <c r="A5285" s="180" t="s">
        <v>3881</v>
      </c>
      <c r="B5285" s="186" t="str">
        <f>INDEX(Orçamentária!A:B,MATCH(Composições!A5285,Orçamentária!A:A,0),2)</f>
        <v>Tomada para condulete (20 A)</v>
      </c>
      <c r="C5285" s="41"/>
      <c r="D5285" s="26" t="str">
        <f>TRIM(INDEX(Orçamentária!C:C,MATCH(Composições!A5285,Orçamentária!A:A,0),1))</f>
        <v>un</v>
      </c>
      <c r="E5285" s="27"/>
      <c r="F5285" s="42" t="s">
        <v>558</v>
      </c>
      <c r="G5285" s="28" t="str">
        <f>IF(ISNUMBER(F5285),E5285*F5285,"")</f>
        <v/>
      </c>
      <c r="H5285" s="29"/>
      <c r="I5285" s="30"/>
      <c r="J5285" s="155">
        <v>0</v>
      </c>
    </row>
    <row r="5286" spans="1:10" hidden="1" x14ac:dyDescent="0.25">
      <c r="A5286" s="200"/>
      <c r="B5286" s="187"/>
      <c r="C5286" s="32"/>
      <c r="D5286" s="32"/>
      <c r="E5286" s="33"/>
      <c r="F5286" s="43" t="s">
        <v>558</v>
      </c>
      <c r="G5286" s="31" t="str">
        <f>IF(ISNUMBER(F5286),E5286*F5286,"")</f>
        <v/>
      </c>
      <c r="H5286" s="35"/>
      <c r="I5286" s="31"/>
      <c r="J5286" s="155">
        <v>0</v>
      </c>
    </row>
    <row r="5287" spans="1:10" hidden="1" x14ac:dyDescent="0.25">
      <c r="A5287" s="200"/>
      <c r="B5287" s="187"/>
      <c r="C5287" s="36" t="s">
        <v>30</v>
      </c>
      <c r="D5287" s="36" t="s">
        <v>12</v>
      </c>
      <c r="E5287" s="37">
        <v>0.308</v>
      </c>
      <c r="F5287" s="31">
        <v>22.895</v>
      </c>
      <c r="G5287" s="34">
        <f>IF(ISNUMBER(F5287),E5287*F5287,"")</f>
        <v>7.05166</v>
      </c>
      <c r="H5287" s="39">
        <f>SUM(G5287:G5290)</f>
        <v>12.534983999999998</v>
      </c>
      <c r="I5287" s="40"/>
      <c r="J5287" s="155">
        <v>0</v>
      </c>
    </row>
    <row r="5288" spans="1:10" hidden="1" x14ac:dyDescent="0.25">
      <c r="A5288" s="200"/>
      <c r="B5288" s="187"/>
      <c r="C5288" s="36" t="s">
        <v>74</v>
      </c>
      <c r="D5288" s="36" t="s">
        <v>12</v>
      </c>
      <c r="E5288" s="37">
        <v>0.308</v>
      </c>
      <c r="F5288" s="31">
        <v>17.802999999999997</v>
      </c>
      <c r="G5288" s="34">
        <f>IF(ISNUMBER(F5288),E5288*F5288,"")</f>
        <v>5.4833239999999988</v>
      </c>
      <c r="H5288" s="35"/>
      <c r="I5288" s="31"/>
      <c r="J5288" s="155">
        <v>0</v>
      </c>
    </row>
    <row r="5289" spans="1:10" ht="25.5" hidden="1" x14ac:dyDescent="0.25">
      <c r="A5289" s="200"/>
      <c r="B5289" s="187"/>
      <c r="C5289" s="36" t="s">
        <v>541</v>
      </c>
      <c r="D5289" s="36" t="s">
        <v>20</v>
      </c>
      <c r="E5289" s="37">
        <v>1</v>
      </c>
      <c r="F5289" s="34" t="s">
        <v>558</v>
      </c>
      <c r="G5289" s="34" t="str">
        <f>IF(ISNUMBER(F5289),E5289*F5289,"")</f>
        <v/>
      </c>
      <c r="H5289" s="35"/>
      <c r="I5289" s="31"/>
      <c r="J5289" s="155">
        <v>0</v>
      </c>
    </row>
    <row r="5290" spans="1:10" ht="25.5" hidden="1" x14ac:dyDescent="0.25">
      <c r="A5290" s="200"/>
      <c r="B5290" s="187"/>
      <c r="C5290" s="36" t="s">
        <v>6515</v>
      </c>
      <c r="D5290" s="36" t="s">
        <v>20</v>
      </c>
      <c r="E5290" s="37">
        <v>1</v>
      </c>
      <c r="F5290" s="34" t="s">
        <v>558</v>
      </c>
      <c r="G5290" s="31" t="str">
        <f>IF(ISNUMBER(F5290),E5290*F5290,"")</f>
        <v/>
      </c>
      <c r="H5290" s="35"/>
      <c r="I5290" s="31"/>
      <c r="J5290" s="155">
        <v>0</v>
      </c>
    </row>
    <row r="5291" spans="1:10" ht="15.75" hidden="1" thickBot="1" x14ac:dyDescent="0.3">
      <c r="A5291" s="201"/>
      <c r="B5291" s="188"/>
      <c r="C5291" s="36"/>
      <c r="D5291" s="36"/>
      <c r="E5291" s="37"/>
      <c r="F5291" s="31" t="s">
        <v>558</v>
      </c>
      <c r="G5291" s="31" t="str">
        <f>IF(ISNUMBER(F5291),E5291*F5291,"")</f>
        <v/>
      </c>
      <c r="H5291" s="35"/>
      <c r="I5291" s="31"/>
      <c r="J5291" s="155">
        <v>0</v>
      </c>
    </row>
    <row r="5292" spans="1:10" ht="15.75" hidden="1" thickBot="1" x14ac:dyDescent="0.3">
      <c r="A5292" s="180" t="s">
        <v>5108</v>
      </c>
      <c r="B5292" s="186" t="str">
        <f>INDEX(Orçamentária!A:B,MATCH(Composições!A5292,Orçamentária!A:A,0),2)</f>
        <v>Cabo de cobre nu 50 mm²</v>
      </c>
      <c r="C5292" s="41"/>
      <c r="D5292" s="26" t="str">
        <f>TRIM(INDEX(Orçamentária!C:C,MATCH(Composições!A5292,Orçamentária!A:A,0),1))</f>
        <v>m</v>
      </c>
      <c r="E5292" s="27"/>
      <c r="F5292" s="42" t="s">
        <v>558</v>
      </c>
      <c r="G5292" s="28" t="str">
        <f>IF(ISNUMBER(F5292),E5292*F5292,"")</f>
        <v/>
      </c>
      <c r="H5292" s="29"/>
      <c r="I5292" s="30"/>
      <c r="J5292" s="155">
        <v>0</v>
      </c>
    </row>
    <row r="5293" spans="1:10" hidden="1" x14ac:dyDescent="0.25">
      <c r="A5293" s="200"/>
      <c r="B5293" s="187"/>
      <c r="C5293" s="32"/>
      <c r="D5293" s="32"/>
      <c r="E5293" s="33"/>
      <c r="F5293" s="43" t="s">
        <v>558</v>
      </c>
      <c r="G5293" s="31" t="str">
        <f>IF(ISNUMBER(F5293),E5293*F5293,"")</f>
        <v/>
      </c>
      <c r="H5293" s="35"/>
      <c r="I5293" s="31"/>
      <c r="J5293" s="155">
        <v>0</v>
      </c>
    </row>
    <row r="5294" spans="1:10" hidden="1" x14ac:dyDescent="0.25">
      <c r="A5294" s="200"/>
      <c r="B5294" s="187"/>
      <c r="C5294" s="36" t="s">
        <v>3331</v>
      </c>
      <c r="D5294" s="36" t="s">
        <v>513</v>
      </c>
      <c r="E5294" s="37">
        <v>1.1000000000000001</v>
      </c>
      <c r="F5294" s="34">
        <v>35.567999999999998</v>
      </c>
      <c r="G5294" s="31">
        <f>IF(ISNUMBER(F5294),E5294*F5294,"")</f>
        <v>39.1248</v>
      </c>
      <c r="H5294" s="39">
        <f>SUM(G5294:G5296)</f>
        <v>40.496322599999999</v>
      </c>
      <c r="I5294" s="40"/>
      <c r="J5294" s="155">
        <v>0</v>
      </c>
    </row>
    <row r="5295" spans="1:10" hidden="1" x14ac:dyDescent="0.25">
      <c r="A5295" s="200"/>
      <c r="B5295" s="187"/>
      <c r="C5295" s="36" t="s">
        <v>1213</v>
      </c>
      <c r="D5295" s="36" t="s">
        <v>742</v>
      </c>
      <c r="E5295" s="37">
        <v>3.3700000000000001E-2</v>
      </c>
      <c r="F5295" s="34">
        <v>17.802999999999997</v>
      </c>
      <c r="G5295" s="31">
        <f>IF(ISNUMBER(F5295),E5295*F5295,"")</f>
        <v>0.59996109999999991</v>
      </c>
      <c r="H5295" s="45"/>
      <c r="I5295" s="46"/>
      <c r="J5295" s="155">
        <v>0</v>
      </c>
    </row>
    <row r="5296" spans="1:10" hidden="1" x14ac:dyDescent="0.25">
      <c r="A5296" s="200"/>
      <c r="B5296" s="187"/>
      <c r="C5296" s="36" t="s">
        <v>1214</v>
      </c>
      <c r="D5296" s="36" t="s">
        <v>742</v>
      </c>
      <c r="E5296" s="37">
        <v>3.3700000000000001E-2</v>
      </c>
      <c r="F5296" s="31">
        <v>22.895</v>
      </c>
      <c r="G5296" s="31">
        <f>IF(ISNUMBER(F5296),E5296*F5296,"")</f>
        <v>0.77156150000000001</v>
      </c>
      <c r="H5296" s="35"/>
      <c r="I5296" s="31"/>
      <c r="J5296" s="155">
        <v>0</v>
      </c>
    </row>
    <row r="5297" spans="1:10" ht="15.75" hidden="1" thickBot="1" x14ac:dyDescent="0.3">
      <c r="A5297" s="201"/>
      <c r="B5297" s="188"/>
      <c r="C5297" s="36"/>
      <c r="D5297" s="36"/>
      <c r="E5297" s="37"/>
      <c r="F5297" s="31" t="s">
        <v>558</v>
      </c>
      <c r="G5297" s="31" t="str">
        <f>IF(ISNUMBER(F5297),E5297*F5297,"")</f>
        <v/>
      </c>
      <c r="H5297" s="35"/>
      <c r="I5297" s="31"/>
      <c r="J5297" s="155">
        <v>0</v>
      </c>
    </row>
    <row r="5298" spans="1:10" ht="15.75" hidden="1" thickBot="1" x14ac:dyDescent="0.3">
      <c r="A5298" s="180" t="s">
        <v>5110</v>
      </c>
      <c r="B5298" s="186" t="str">
        <f>INDEX(Orçamentária!A:B,MATCH(Composições!A5298,Orçamentária!A:A,0),2)</f>
        <v>Haste de aterramento 3/4” x 3 m</v>
      </c>
      <c r="C5298" s="41"/>
      <c r="D5298" s="26" t="str">
        <f>TRIM(INDEX(Orçamentária!C:C,MATCH(Composições!A5298,Orçamentária!A:A,0),1))</f>
        <v>un</v>
      </c>
      <c r="E5298" s="27"/>
      <c r="F5298" s="42" t="s">
        <v>558</v>
      </c>
      <c r="G5298" s="28" t="str">
        <f>IF(ISNUMBER(F5298),E5298*F5298,"")</f>
        <v/>
      </c>
      <c r="H5298" s="29"/>
      <c r="I5298" s="30"/>
      <c r="J5298" s="155">
        <v>0</v>
      </c>
    </row>
    <row r="5299" spans="1:10" hidden="1" x14ac:dyDescent="0.25">
      <c r="A5299" s="200"/>
      <c r="B5299" s="187"/>
      <c r="C5299" s="32"/>
      <c r="D5299" s="32"/>
      <c r="E5299" s="33"/>
      <c r="F5299" s="43" t="s">
        <v>558</v>
      </c>
      <c r="G5299" s="31" t="str">
        <f>IF(ISNUMBER(F5299),E5299*F5299,"")</f>
        <v/>
      </c>
      <c r="H5299" s="35"/>
      <c r="I5299" s="31"/>
      <c r="J5299" s="155">
        <v>0</v>
      </c>
    </row>
    <row r="5300" spans="1:10" hidden="1" x14ac:dyDescent="0.25">
      <c r="A5300" s="200"/>
      <c r="B5300" s="187"/>
      <c r="C5300" s="36" t="s">
        <v>6516</v>
      </c>
      <c r="D5300" s="36" t="s">
        <v>20</v>
      </c>
      <c r="E5300" s="37">
        <v>1</v>
      </c>
      <c r="F5300" s="34" t="s">
        <v>558</v>
      </c>
      <c r="G5300" s="31" t="str">
        <f>IF(ISNUMBER(F5300),E5300*F5300,"")</f>
        <v/>
      </c>
      <c r="H5300" s="39">
        <f>SUM(G5300:G5302)</f>
        <v>16.096059</v>
      </c>
      <c r="I5300" s="40"/>
      <c r="J5300" s="155">
        <v>0</v>
      </c>
    </row>
    <row r="5301" spans="1:10" hidden="1" x14ac:dyDescent="0.25">
      <c r="A5301" s="200"/>
      <c r="B5301" s="187"/>
      <c r="C5301" s="36" t="s">
        <v>1213</v>
      </c>
      <c r="D5301" s="36" t="s">
        <v>742</v>
      </c>
      <c r="E5301" s="37">
        <v>0.39550000000000002</v>
      </c>
      <c r="F5301" s="34">
        <v>17.802999999999997</v>
      </c>
      <c r="G5301" s="31">
        <f>IF(ISNUMBER(F5301),E5301*F5301,"")</f>
        <v>7.0410864999999996</v>
      </c>
      <c r="H5301" s="45"/>
      <c r="I5301" s="46"/>
      <c r="J5301" s="155">
        <v>0</v>
      </c>
    </row>
    <row r="5302" spans="1:10" hidden="1" x14ac:dyDescent="0.25">
      <c r="A5302" s="200"/>
      <c r="B5302" s="187"/>
      <c r="C5302" s="36" t="s">
        <v>1214</v>
      </c>
      <c r="D5302" s="36" t="s">
        <v>742</v>
      </c>
      <c r="E5302" s="37">
        <v>0.39550000000000002</v>
      </c>
      <c r="F5302" s="31">
        <v>22.895</v>
      </c>
      <c r="G5302" s="31">
        <f>IF(ISNUMBER(F5302),E5302*F5302,"")</f>
        <v>9.0549724999999999</v>
      </c>
      <c r="H5302" s="35"/>
      <c r="I5302" s="31"/>
      <c r="J5302" s="155">
        <v>0</v>
      </c>
    </row>
    <row r="5303" spans="1:10" ht="15.75" hidden="1" thickBot="1" x14ac:dyDescent="0.3">
      <c r="A5303" s="201"/>
      <c r="B5303" s="188"/>
      <c r="C5303" s="36"/>
      <c r="D5303" s="36"/>
      <c r="E5303" s="37"/>
      <c r="F5303" s="31" t="s">
        <v>558</v>
      </c>
      <c r="G5303" s="31" t="str">
        <f>IF(ISNUMBER(F5303),E5303*F5303,"")</f>
        <v/>
      </c>
      <c r="H5303" s="35"/>
      <c r="I5303" s="31"/>
      <c r="J5303" s="155">
        <v>0</v>
      </c>
    </row>
    <row r="5304" spans="1:10" ht="15.75" hidden="1" thickBot="1" x14ac:dyDescent="0.3">
      <c r="A5304" s="180" t="s">
        <v>5111</v>
      </c>
      <c r="B5304" s="186" t="str">
        <f>INDEX(Orçamentária!A:B,MATCH(Composições!A5304,Orçamentária!A:A,0),2)</f>
        <v>Leito 800x100 mm</v>
      </c>
      <c r="C5304" s="41"/>
      <c r="D5304" s="26" t="str">
        <f>TRIM(INDEX(Orçamentária!C:C,MATCH(Composições!A5304,Orçamentária!A:A,0),1))</f>
        <v>m</v>
      </c>
      <c r="E5304" s="27"/>
      <c r="F5304" s="42" t="s">
        <v>558</v>
      </c>
      <c r="G5304" s="28" t="str">
        <f>IF(ISNUMBER(F5304),E5304*F5304,"")</f>
        <v/>
      </c>
      <c r="H5304" s="29"/>
      <c r="I5304" s="30"/>
      <c r="J5304" s="155">
        <v>0</v>
      </c>
    </row>
    <row r="5305" spans="1:10" hidden="1" x14ac:dyDescent="0.25">
      <c r="A5305" s="200"/>
      <c r="B5305" s="187"/>
      <c r="C5305" s="32"/>
      <c r="D5305" s="32"/>
      <c r="E5305" s="33"/>
      <c r="F5305" s="43" t="s">
        <v>558</v>
      </c>
      <c r="G5305" s="31" t="str">
        <f>IF(ISNUMBER(F5305),E5305*F5305,"")</f>
        <v/>
      </c>
      <c r="H5305" s="35"/>
      <c r="I5305" s="31"/>
      <c r="J5305" s="155">
        <v>0</v>
      </c>
    </row>
    <row r="5306" spans="1:10" hidden="1" x14ac:dyDescent="0.25">
      <c r="A5306" s="200"/>
      <c r="B5306" s="187"/>
      <c r="C5306" s="36" t="s">
        <v>30</v>
      </c>
      <c r="D5306" s="36" t="s">
        <v>12</v>
      </c>
      <c r="E5306" s="37">
        <v>0.75</v>
      </c>
      <c r="F5306" s="31">
        <v>22.895</v>
      </c>
      <c r="G5306" s="34">
        <f>IF(ISNUMBER(F5306),E5306*F5306,"")</f>
        <v>17.171250000000001</v>
      </c>
      <c r="H5306" s="39">
        <f>SUM(G5306:G5308)</f>
        <v>30.523499999999999</v>
      </c>
      <c r="I5306" s="40"/>
      <c r="J5306" s="155">
        <v>0</v>
      </c>
    </row>
    <row r="5307" spans="1:10" hidden="1" x14ac:dyDescent="0.25">
      <c r="A5307" s="200"/>
      <c r="B5307" s="187"/>
      <c r="C5307" s="36" t="s">
        <v>74</v>
      </c>
      <c r="D5307" s="36" t="s">
        <v>12</v>
      </c>
      <c r="E5307" s="37">
        <v>0.75</v>
      </c>
      <c r="F5307" s="31">
        <v>17.802999999999997</v>
      </c>
      <c r="G5307" s="34">
        <f>IF(ISNUMBER(F5307),E5307*F5307,"")</f>
        <v>13.352249999999998</v>
      </c>
      <c r="H5307" s="35"/>
      <c r="I5307" s="31"/>
      <c r="J5307" s="155">
        <v>0</v>
      </c>
    </row>
    <row r="5308" spans="1:10" ht="25.5" hidden="1" x14ac:dyDescent="0.25">
      <c r="A5308" s="200"/>
      <c r="B5308" s="187"/>
      <c r="C5308" s="36" t="s">
        <v>6517</v>
      </c>
      <c r="D5308" s="36" t="s">
        <v>93</v>
      </c>
      <c r="E5308" s="37">
        <v>1.05</v>
      </c>
      <c r="F5308" s="31" t="s">
        <v>558</v>
      </c>
      <c r="G5308" s="34" t="str">
        <f>IF(ISNUMBER(F5308),E5308*F5308,"")</f>
        <v/>
      </c>
      <c r="H5308" s="35"/>
      <c r="I5308" s="31"/>
      <c r="J5308" s="155">
        <v>0</v>
      </c>
    </row>
    <row r="5309" spans="1:10" ht="15.75" hidden="1" thickBot="1" x14ac:dyDescent="0.3">
      <c r="A5309" s="201"/>
      <c r="B5309" s="188"/>
      <c r="C5309" s="36"/>
      <c r="D5309" s="36"/>
      <c r="E5309" s="37"/>
      <c r="F5309" s="31" t="s">
        <v>558</v>
      </c>
      <c r="G5309" s="31" t="str">
        <f>IF(ISNUMBER(F5309),E5309*F5309,"")</f>
        <v/>
      </c>
      <c r="H5309" s="35"/>
      <c r="I5309" s="31"/>
      <c r="J5309" s="155">
        <v>0</v>
      </c>
    </row>
    <row r="5310" spans="1:10" ht="15.75" hidden="1" thickBot="1" x14ac:dyDescent="0.3">
      <c r="A5310" s="180" t="s">
        <v>5112</v>
      </c>
      <c r="B5310" s="186" t="str">
        <f>INDEX(Orçamentária!A:B,MATCH(Composições!A5310,Orçamentária!A:A,0),2)</f>
        <v>Engenheiro(a) eletricista pleno</v>
      </c>
      <c r="C5310" s="41"/>
      <c r="D5310" s="26" t="str">
        <f>TRIM(INDEX(Orçamentária!C:C,MATCH(Composições!A5310,Orçamentária!A:A,0),1))</f>
        <v>hh</v>
      </c>
      <c r="E5310" s="27"/>
      <c r="F5310" s="42" t="s">
        <v>558</v>
      </c>
      <c r="G5310" s="28" t="str">
        <f>IF(ISNUMBER(F5310),E5310*F5310,"")</f>
        <v/>
      </c>
      <c r="H5310" s="29"/>
      <c r="I5310" s="30"/>
      <c r="J5310" s="155">
        <v>0</v>
      </c>
    </row>
    <row r="5311" spans="1:10" hidden="1" x14ac:dyDescent="0.25">
      <c r="A5311" s="200"/>
      <c r="B5311" s="187"/>
      <c r="C5311" s="32"/>
      <c r="D5311" s="32"/>
      <c r="E5311" s="33"/>
      <c r="F5311" s="43" t="s">
        <v>558</v>
      </c>
      <c r="G5311" s="31" t="str">
        <f>IF(ISNUMBER(F5311),E5311*F5311,"")</f>
        <v/>
      </c>
      <c r="H5311" s="35"/>
      <c r="I5311" s="31"/>
      <c r="J5311" s="155">
        <v>0</v>
      </c>
    </row>
    <row r="5312" spans="1:10" hidden="1" x14ac:dyDescent="0.25">
      <c r="A5312" s="200"/>
      <c r="B5312" s="187"/>
      <c r="C5312" s="36" t="s">
        <v>6518</v>
      </c>
      <c r="D5312" s="36" t="s">
        <v>12</v>
      </c>
      <c r="E5312" s="37">
        <v>1</v>
      </c>
      <c r="F5312" s="31">
        <v>104.7945</v>
      </c>
      <c r="G5312" s="34">
        <f>IF(ISNUMBER(F5312),E5312*F5312,"")</f>
        <v>104.7945</v>
      </c>
      <c r="H5312" s="39">
        <f>SUM(G5312:G5312)</f>
        <v>104.7945</v>
      </c>
      <c r="I5312" s="40"/>
      <c r="J5312" s="155">
        <v>0</v>
      </c>
    </row>
    <row r="5313" spans="1:10" ht="15.75" hidden="1" thickBot="1" x14ac:dyDescent="0.3">
      <c r="A5313" s="201"/>
      <c r="B5313" s="188"/>
      <c r="C5313" s="36"/>
      <c r="D5313" s="36"/>
      <c r="E5313" s="37"/>
      <c r="F5313" s="31" t="s">
        <v>558</v>
      </c>
      <c r="G5313" s="31" t="str">
        <f>IF(ISNUMBER(F5313),E5313*F5313,"")</f>
        <v/>
      </c>
      <c r="H5313" s="35"/>
      <c r="I5313" s="31"/>
      <c r="J5313" s="155">
        <v>0</v>
      </c>
    </row>
    <row r="5314" spans="1:10" ht="15.75" hidden="1" thickBot="1" x14ac:dyDescent="0.3">
      <c r="A5314" s="180" t="s">
        <v>5114</v>
      </c>
      <c r="B5314" s="186" t="str">
        <f>INDEX(Orçamentária!A:B,MATCH(Composições!A5314,Orçamentária!A:A,0),2)</f>
        <v>Mão francesa metálica dupla</v>
      </c>
      <c r="C5314" s="41"/>
      <c r="D5314" s="26" t="str">
        <f>TRIM(INDEX(Orçamentária!C:C,MATCH(Composições!A5314,Orçamentária!A:A,0),1))</f>
        <v>un</v>
      </c>
      <c r="E5314" s="27"/>
      <c r="F5314" s="42" t="s">
        <v>558</v>
      </c>
      <c r="G5314" s="28" t="str">
        <f>IF(ISNUMBER(F5314),E5314*F5314,"")</f>
        <v/>
      </c>
      <c r="H5314" s="29"/>
      <c r="I5314" s="30"/>
      <c r="J5314" s="155">
        <v>0</v>
      </c>
    </row>
    <row r="5315" spans="1:10" hidden="1" x14ac:dyDescent="0.25">
      <c r="A5315" s="200"/>
      <c r="B5315" s="187"/>
      <c r="C5315" s="32"/>
      <c r="D5315" s="32"/>
      <c r="E5315" s="33"/>
      <c r="F5315" s="43" t="s">
        <v>558</v>
      </c>
      <c r="G5315" s="31" t="str">
        <f>IF(ISNUMBER(F5315),E5315*F5315,"")</f>
        <v/>
      </c>
      <c r="H5315" s="35"/>
      <c r="I5315" s="31"/>
      <c r="J5315" s="155">
        <v>0</v>
      </c>
    </row>
    <row r="5316" spans="1:10" ht="38.25" hidden="1" x14ac:dyDescent="0.25">
      <c r="A5316" s="200"/>
      <c r="B5316" s="187"/>
      <c r="C5316" s="36" t="s">
        <v>1180</v>
      </c>
      <c r="D5316" s="36" t="s">
        <v>292</v>
      </c>
      <c r="E5316" s="37">
        <v>3</v>
      </c>
      <c r="F5316" s="31">
        <v>0.93099999999999994</v>
      </c>
      <c r="G5316" s="34">
        <f>IF(ISNUMBER(F5316),E5316*F5316,"")</f>
        <v>2.7929999999999997</v>
      </c>
      <c r="H5316" s="39">
        <f>SUM(G5316:G5319)</f>
        <v>16.311866699999999</v>
      </c>
      <c r="I5316" s="40"/>
      <c r="J5316" s="155">
        <v>0</v>
      </c>
    </row>
    <row r="5317" spans="1:10" ht="25.5" hidden="1" x14ac:dyDescent="0.25">
      <c r="A5317" s="200"/>
      <c r="B5317" s="187"/>
      <c r="C5317" s="36" t="s">
        <v>6520</v>
      </c>
      <c r="D5317" s="36" t="s">
        <v>292</v>
      </c>
      <c r="E5317" s="37">
        <v>1</v>
      </c>
      <c r="F5317" s="31" t="s">
        <v>558</v>
      </c>
      <c r="G5317" s="34" t="str">
        <f>IF(ISNUMBER(F5317),E5317*F5317,"")</f>
        <v/>
      </c>
      <c r="H5317" s="35"/>
      <c r="I5317" s="31"/>
      <c r="J5317" s="155">
        <v>0</v>
      </c>
    </row>
    <row r="5318" spans="1:10" hidden="1" x14ac:dyDescent="0.25">
      <c r="A5318" s="200"/>
      <c r="B5318" s="187"/>
      <c r="C5318" s="36" t="s">
        <v>30</v>
      </c>
      <c r="D5318" s="36" t="s">
        <v>742</v>
      </c>
      <c r="E5318" s="37">
        <v>0.4743</v>
      </c>
      <c r="F5318" s="31">
        <v>22.895</v>
      </c>
      <c r="G5318" s="34">
        <f>IF(ISNUMBER(F5318),E5318*F5318,"")</f>
        <v>10.8590985</v>
      </c>
      <c r="H5318" s="35"/>
      <c r="I5318" s="31"/>
      <c r="J5318" s="155">
        <v>0</v>
      </c>
    </row>
    <row r="5319" spans="1:10" hidden="1" x14ac:dyDescent="0.25">
      <c r="A5319" s="200"/>
      <c r="B5319" s="187"/>
      <c r="C5319" s="36" t="s">
        <v>74</v>
      </c>
      <c r="D5319" s="36" t="s">
        <v>742</v>
      </c>
      <c r="E5319" s="37">
        <v>0.14940000000000001</v>
      </c>
      <c r="F5319" s="31">
        <v>17.802999999999997</v>
      </c>
      <c r="G5319" s="34">
        <f>IF(ISNUMBER(F5319),E5319*F5319,"")</f>
        <v>2.6597681999999998</v>
      </c>
      <c r="H5319" s="35"/>
      <c r="I5319" s="31"/>
      <c r="J5319" s="155">
        <v>0</v>
      </c>
    </row>
    <row r="5320" spans="1:10" ht="15.75" hidden="1" thickBot="1" x14ac:dyDescent="0.3">
      <c r="A5320" s="201"/>
      <c r="B5320" s="188"/>
      <c r="C5320" s="36"/>
      <c r="D5320" s="36"/>
      <c r="E5320" s="37"/>
      <c r="F5320" s="31" t="s">
        <v>558</v>
      </c>
      <c r="G5320" s="31" t="str">
        <f>IF(ISNUMBER(F5320),E5320*F5320,"")</f>
        <v/>
      </c>
      <c r="H5320" s="35"/>
      <c r="I5320" s="31"/>
      <c r="J5320" s="155">
        <v>0</v>
      </c>
    </row>
    <row r="5321" spans="1:10" ht="15.75" hidden="1" thickBot="1" x14ac:dyDescent="0.3">
      <c r="A5321" s="180" t="s">
        <v>5115</v>
      </c>
      <c r="B5321" s="186" t="str">
        <f>INDEX(Orçamentária!A:B,MATCH(Composições!A5321,Orçamentária!A:A,0),2)</f>
        <v>Óleo diesel</v>
      </c>
      <c r="C5321" s="41"/>
      <c r="D5321" s="26" t="str">
        <f>TRIM(INDEX(Orçamentária!C:C,MATCH(Composições!A5321,Orçamentária!A:A,0),1))</f>
        <v>L</v>
      </c>
      <c r="E5321" s="27"/>
      <c r="F5321" s="42" t="s">
        <v>558</v>
      </c>
      <c r="G5321" s="28" t="str">
        <f>IF(ISNUMBER(F5321),E5321*F5321,"")</f>
        <v/>
      </c>
      <c r="H5321" s="29"/>
      <c r="I5321" s="30"/>
      <c r="J5321" s="155">
        <v>0</v>
      </c>
    </row>
    <row r="5322" spans="1:10" hidden="1" x14ac:dyDescent="0.25">
      <c r="A5322" s="200"/>
      <c r="B5322" s="187"/>
      <c r="C5322" s="32"/>
      <c r="D5322" s="32"/>
      <c r="E5322" s="33"/>
      <c r="F5322" s="43" t="s">
        <v>558</v>
      </c>
      <c r="G5322" s="31" t="str">
        <f>IF(ISNUMBER(F5322),E5322*F5322,"")</f>
        <v/>
      </c>
      <c r="H5322" s="35"/>
      <c r="I5322" s="31"/>
      <c r="J5322" s="155">
        <v>0</v>
      </c>
    </row>
    <row r="5323" spans="1:10" hidden="1" x14ac:dyDescent="0.25">
      <c r="A5323" s="200"/>
      <c r="B5323" s="187"/>
      <c r="C5323" s="36" t="s">
        <v>6519</v>
      </c>
      <c r="D5323" s="36" t="s">
        <v>103</v>
      </c>
      <c r="E5323" s="37">
        <v>1</v>
      </c>
      <c r="F5323" s="31">
        <v>0</v>
      </c>
      <c r="G5323" s="34">
        <f>IF(ISNUMBER(F5323),E5323*F5323,"")</f>
        <v>0</v>
      </c>
      <c r="H5323" s="39">
        <f>SUM(G5323:G5323)</f>
        <v>0</v>
      </c>
      <c r="I5323" s="40"/>
      <c r="J5323" s="155">
        <v>0</v>
      </c>
    </row>
    <row r="5324" spans="1:10" ht="15.75" hidden="1" thickBot="1" x14ac:dyDescent="0.3">
      <c r="A5324" s="201"/>
      <c r="B5324" s="188"/>
      <c r="C5324" s="36"/>
      <c r="D5324" s="36"/>
      <c r="E5324" s="37"/>
      <c r="F5324" s="31" t="s">
        <v>558</v>
      </c>
      <c r="G5324" s="31" t="str">
        <f>IF(ISNUMBER(F5324),E5324*F5324,"")</f>
        <v/>
      </c>
      <c r="H5324" s="35"/>
      <c r="I5324" s="31"/>
      <c r="J5324" s="155">
        <v>0</v>
      </c>
    </row>
    <row r="5325" spans="1:10" ht="15.75" hidden="1" thickBot="1" x14ac:dyDescent="0.3">
      <c r="A5325" s="189" t="s">
        <v>5127</v>
      </c>
      <c r="B5325" s="186" t="str">
        <f>INDEX(Orçamentária!A:B,MATCH(Composições!A5325,Orçamentária!A:A,0),2)</f>
        <v>Supervisor Técnico – Sistema Elétrico</v>
      </c>
      <c r="C5325" s="41"/>
      <c r="D5325" s="26" t="str">
        <f>TRIM(INDEX(Orçamentária!C:C,MATCH(Composições!A5325,Orçamentária!A:A,0),1))</f>
        <v>Profissional</v>
      </c>
      <c r="E5325" s="27"/>
      <c r="F5325" s="49" t="s">
        <v>558</v>
      </c>
      <c r="G5325" s="28" t="str">
        <f>IF(ISNUMBER(F5325),E5325*F5325,"")</f>
        <v/>
      </c>
      <c r="H5325" s="29"/>
      <c r="I5325" s="30"/>
      <c r="J5325" s="155">
        <v>0</v>
      </c>
    </row>
    <row r="5326" spans="1:10" hidden="1" x14ac:dyDescent="0.25">
      <c r="A5326" s="195"/>
      <c r="B5326" s="187"/>
      <c r="C5326" s="169"/>
      <c r="D5326" s="169"/>
      <c r="E5326" s="170"/>
      <c r="F5326" s="54" t="s">
        <v>558</v>
      </c>
      <c r="G5326" s="54" t="str">
        <f>IF(ISNUMBER(F5326),E5326*F5326,"")</f>
        <v/>
      </c>
      <c r="H5326" s="73"/>
      <c r="I5326" s="74"/>
      <c r="J5326" s="155">
        <v>0</v>
      </c>
    </row>
    <row r="5327" spans="1:10" hidden="1" x14ac:dyDescent="0.25">
      <c r="A5327" s="195"/>
      <c r="B5327" s="187"/>
      <c r="C5327" s="36" t="s">
        <v>3317</v>
      </c>
      <c r="D5327" s="162" t="s">
        <v>12</v>
      </c>
      <c r="E5327" s="163">
        <f>ROUND(220/(1+113.69%),4)</f>
        <v>102.9529</v>
      </c>
      <c r="F5327" s="31">
        <v>104.7945</v>
      </c>
      <c r="G5327" s="54">
        <f>IF(ISNUMBER(F5327),E5327*F5327,"")</f>
        <v>10788.89767905</v>
      </c>
      <c r="H5327" s="39">
        <f>SUM(G5327:G5327)</f>
        <v>10788.89767905</v>
      </c>
      <c r="I5327" s="40"/>
      <c r="J5327" s="155">
        <v>0</v>
      </c>
    </row>
    <row r="5328" spans="1:10" hidden="1" x14ac:dyDescent="0.25">
      <c r="A5328" s="195"/>
      <c r="B5328" s="187"/>
      <c r="C5328" s="169"/>
      <c r="D5328" s="169"/>
      <c r="E5328" s="170"/>
      <c r="F5328" s="54" t="s">
        <v>558</v>
      </c>
      <c r="G5328" s="54" t="str">
        <f>IF(ISNUMBER(F5328),E5328*F5328,"")</f>
        <v/>
      </c>
      <c r="H5328" s="73"/>
      <c r="I5328" s="74"/>
      <c r="J5328" s="155">
        <v>0</v>
      </c>
    </row>
    <row r="5329" spans="1:10" ht="25.5" hidden="1" x14ac:dyDescent="0.25">
      <c r="A5329" s="195"/>
      <c r="B5329" s="187"/>
      <c r="C5329" s="48" t="s">
        <v>820</v>
      </c>
      <c r="D5329" s="169"/>
      <c r="E5329" s="170"/>
      <c r="F5329" s="54" t="s">
        <v>558</v>
      </c>
      <c r="G5329" s="54" t="str">
        <f>IF(ISNUMBER(F5329),E5329*F5329,"")</f>
        <v/>
      </c>
      <c r="H5329" s="73"/>
      <c r="I5329" s="74"/>
      <c r="J5329" s="155">
        <v>0</v>
      </c>
    </row>
    <row r="5330" spans="1:10" ht="15.75" hidden="1" thickBot="1" x14ac:dyDescent="0.3">
      <c r="A5330" s="196"/>
      <c r="B5330" s="188"/>
      <c r="C5330" s="55"/>
      <c r="D5330" s="165"/>
      <c r="E5330" s="66"/>
      <c r="F5330" s="76" t="s">
        <v>558</v>
      </c>
      <c r="G5330" s="76" t="str">
        <f>IF(ISNUMBER(F5330),E5330*F5330,"")</f>
        <v/>
      </c>
      <c r="H5330" s="77"/>
      <c r="I5330" s="74"/>
      <c r="J5330" s="155">
        <v>0</v>
      </c>
    </row>
    <row r="5331" spans="1:10" ht="15.75" hidden="1" thickBot="1" x14ac:dyDescent="0.3">
      <c r="A5331" s="189" t="s">
        <v>5128</v>
      </c>
      <c r="B5331" s="186" t="str">
        <f>INDEX(Orçamentária!A:B,MATCH(Composições!A5331,Orçamentária!A:A,0),2)</f>
        <v>Supervisor Técnico – Sistema Elétrico e Segurança do Trabalho</v>
      </c>
      <c r="C5331" s="41"/>
      <c r="D5331" s="26" t="str">
        <f>TRIM(INDEX(Orçamentária!C:C,MATCH(Composições!A5331,Orçamentária!A:A,0),1))</f>
        <v>Profissional</v>
      </c>
      <c r="E5331" s="27"/>
      <c r="F5331" s="49" t="s">
        <v>558</v>
      </c>
      <c r="G5331" s="28" t="str">
        <f>IF(ISNUMBER(F5331),E5331*F5331,"")</f>
        <v/>
      </c>
      <c r="H5331" s="29"/>
      <c r="I5331" s="30"/>
      <c r="J5331" s="155">
        <v>0</v>
      </c>
    </row>
    <row r="5332" spans="1:10" hidden="1" x14ac:dyDescent="0.25">
      <c r="A5332" s="195"/>
      <c r="B5332" s="187"/>
      <c r="C5332" s="169"/>
      <c r="D5332" s="169"/>
      <c r="E5332" s="170"/>
      <c r="F5332" s="54" t="s">
        <v>558</v>
      </c>
      <c r="G5332" s="54" t="str">
        <f>IF(ISNUMBER(F5332),E5332*F5332,"")</f>
        <v/>
      </c>
      <c r="H5332" s="73"/>
      <c r="I5332" s="74"/>
      <c r="J5332" s="155">
        <v>0</v>
      </c>
    </row>
    <row r="5333" spans="1:10" hidden="1" x14ac:dyDescent="0.25">
      <c r="A5333" s="195"/>
      <c r="B5333" s="187"/>
      <c r="C5333" s="36" t="s">
        <v>3317</v>
      </c>
      <c r="D5333" s="162" t="s">
        <v>12</v>
      </c>
      <c r="E5333" s="163">
        <f>ROUND(220/(1+113.69%),4)</f>
        <v>102.9529</v>
      </c>
      <c r="F5333" s="31">
        <v>104.7945</v>
      </c>
      <c r="G5333" s="54">
        <f>IF(ISNUMBER(F5333),E5333*F5333,"")</f>
        <v>10788.89767905</v>
      </c>
      <c r="H5333" s="39">
        <f>SUM(G5333:G5333)</f>
        <v>10788.89767905</v>
      </c>
      <c r="I5333" s="40"/>
      <c r="J5333" s="155">
        <v>0</v>
      </c>
    </row>
    <row r="5334" spans="1:10" hidden="1" x14ac:dyDescent="0.25">
      <c r="A5334" s="195"/>
      <c r="B5334" s="187"/>
      <c r="C5334" s="169"/>
      <c r="D5334" s="169"/>
      <c r="E5334" s="170"/>
      <c r="F5334" s="54" t="s">
        <v>558</v>
      </c>
      <c r="G5334" s="54" t="str">
        <f>IF(ISNUMBER(F5334),E5334*F5334,"")</f>
        <v/>
      </c>
      <c r="H5334" s="73"/>
      <c r="I5334" s="74"/>
      <c r="J5334" s="155">
        <v>0</v>
      </c>
    </row>
    <row r="5335" spans="1:10" ht="25.5" hidden="1" x14ac:dyDescent="0.25">
      <c r="A5335" s="195"/>
      <c r="B5335" s="187"/>
      <c r="C5335" s="48" t="s">
        <v>820</v>
      </c>
      <c r="D5335" s="169"/>
      <c r="E5335" s="170"/>
      <c r="F5335" s="54" t="s">
        <v>558</v>
      </c>
      <c r="G5335" s="54" t="str">
        <f>IF(ISNUMBER(F5335),E5335*F5335,"")</f>
        <v/>
      </c>
      <c r="H5335" s="73"/>
      <c r="I5335" s="74"/>
      <c r="J5335" s="155">
        <v>0</v>
      </c>
    </row>
    <row r="5336" spans="1:10" ht="15.75" hidden="1" thickBot="1" x14ac:dyDescent="0.3">
      <c r="A5336" s="196"/>
      <c r="B5336" s="188"/>
      <c r="C5336" s="55"/>
      <c r="D5336" s="165"/>
      <c r="E5336" s="66"/>
      <c r="F5336" s="76" t="s">
        <v>558</v>
      </c>
      <c r="G5336" s="76" t="str">
        <f>IF(ISNUMBER(F5336),E5336*F5336,"")</f>
        <v/>
      </c>
      <c r="H5336" s="77"/>
      <c r="I5336" s="74"/>
      <c r="J5336" s="155">
        <v>0</v>
      </c>
    </row>
    <row r="5337" spans="1:10" ht="15.75" hidden="1" thickBot="1" x14ac:dyDescent="0.3">
      <c r="A5337" s="189" t="s">
        <v>5129</v>
      </c>
      <c r="B5337" s="186" t="str">
        <f>INDEX(Orçamentária!A:B,MATCH(Composições!A5337,Orçamentária!A:A,0),2)</f>
        <v>Técnico de Segurança do Trabalho</v>
      </c>
      <c r="C5337" s="41"/>
      <c r="D5337" s="26" t="str">
        <f>TRIM(INDEX(Orçamentária!C:C,MATCH(Composições!A5337,Orçamentária!A:A,0),1))</f>
        <v>Profissional</v>
      </c>
      <c r="E5337" s="27"/>
      <c r="F5337" s="49" t="s">
        <v>558</v>
      </c>
      <c r="G5337" s="28" t="str">
        <f>IF(ISNUMBER(F5337),E5337*F5337,"")</f>
        <v/>
      </c>
      <c r="H5337" s="29"/>
      <c r="I5337" s="30"/>
      <c r="J5337" s="155">
        <v>0</v>
      </c>
    </row>
    <row r="5338" spans="1:10" hidden="1" x14ac:dyDescent="0.25">
      <c r="A5338" s="195"/>
      <c r="B5338" s="187"/>
      <c r="C5338" s="169"/>
      <c r="D5338" s="169"/>
      <c r="E5338" s="170"/>
      <c r="F5338" s="54" t="s">
        <v>558</v>
      </c>
      <c r="G5338" s="54" t="str">
        <f>IF(ISNUMBER(F5338),E5338*F5338,"")</f>
        <v/>
      </c>
      <c r="H5338" s="73"/>
      <c r="I5338" s="74"/>
      <c r="J5338" s="155">
        <v>0</v>
      </c>
    </row>
    <row r="5339" spans="1:10" ht="25.5" hidden="1" x14ac:dyDescent="0.25">
      <c r="A5339" s="195"/>
      <c r="B5339" s="187"/>
      <c r="C5339" s="36" t="s">
        <v>1170</v>
      </c>
      <c r="D5339" s="162" t="s">
        <v>12</v>
      </c>
      <c r="E5339" s="163">
        <f>ROUND(220/(1+113.69%),4)</f>
        <v>102.9529</v>
      </c>
      <c r="F5339" s="31">
        <v>37.790999999999997</v>
      </c>
      <c r="G5339" s="54">
        <f>IF(ISNUMBER(F5339),E5339*F5339,"")</f>
        <v>3890.6930438999998</v>
      </c>
      <c r="H5339" s="39">
        <f>SUM(G5339:G5339)</f>
        <v>3890.6930438999998</v>
      </c>
      <c r="I5339" s="40"/>
      <c r="J5339" s="155">
        <v>0</v>
      </c>
    </row>
    <row r="5340" spans="1:10" hidden="1" x14ac:dyDescent="0.25">
      <c r="A5340" s="195"/>
      <c r="B5340" s="187"/>
      <c r="C5340" s="169"/>
      <c r="D5340" s="169"/>
      <c r="E5340" s="170"/>
      <c r="F5340" s="54" t="s">
        <v>558</v>
      </c>
      <c r="G5340" s="54" t="str">
        <f>IF(ISNUMBER(F5340),E5340*F5340,"")</f>
        <v/>
      </c>
      <c r="H5340" s="73"/>
      <c r="I5340" s="74"/>
      <c r="J5340" s="155">
        <v>0</v>
      </c>
    </row>
    <row r="5341" spans="1:10" ht="25.5" hidden="1" x14ac:dyDescent="0.25">
      <c r="A5341" s="195"/>
      <c r="B5341" s="187"/>
      <c r="C5341" s="48" t="s">
        <v>820</v>
      </c>
      <c r="D5341" s="169"/>
      <c r="E5341" s="170"/>
      <c r="F5341" s="54" t="s">
        <v>558</v>
      </c>
      <c r="G5341" s="54" t="str">
        <f>IF(ISNUMBER(F5341),E5341*F5341,"")</f>
        <v/>
      </c>
      <c r="H5341" s="73"/>
      <c r="I5341" s="74"/>
      <c r="J5341" s="155">
        <v>0</v>
      </c>
    </row>
    <row r="5342" spans="1:10" ht="15.75" hidden="1" thickBot="1" x14ac:dyDescent="0.3">
      <c r="A5342" s="196"/>
      <c r="B5342" s="188"/>
      <c r="C5342" s="55"/>
      <c r="D5342" s="165"/>
      <c r="E5342" s="66"/>
      <c r="F5342" s="76" t="s">
        <v>558</v>
      </c>
      <c r="G5342" s="76" t="str">
        <f>IF(ISNUMBER(F5342),E5342*F5342,"")</f>
        <v/>
      </c>
      <c r="H5342" s="77"/>
      <c r="I5342" s="74"/>
      <c r="J5342" s="155">
        <v>0</v>
      </c>
    </row>
    <row r="5343" spans="1:10" ht="15.75" hidden="1" thickBot="1" x14ac:dyDescent="0.3">
      <c r="A5343" s="189" t="s">
        <v>5130</v>
      </c>
      <c r="B5343" s="186" t="str">
        <f>INDEX(Orçamentária!A:B,MATCH(Composições!A5343,Orçamentária!A:A,0),2)</f>
        <v>Auxiliar de Almoxarifado</v>
      </c>
      <c r="C5343" s="41"/>
      <c r="D5343" s="26" t="str">
        <f>TRIM(INDEX(Orçamentária!C:C,MATCH(Composições!A5343,Orçamentária!A:A,0),1))</f>
        <v>Profissional</v>
      </c>
      <c r="E5343" s="27"/>
      <c r="F5343" s="49" t="s">
        <v>558</v>
      </c>
      <c r="G5343" s="28" t="str">
        <f>IF(ISNUMBER(F5343),E5343*F5343,"")</f>
        <v/>
      </c>
      <c r="H5343" s="29"/>
      <c r="I5343" s="30"/>
      <c r="J5343" s="155">
        <v>0</v>
      </c>
    </row>
    <row r="5344" spans="1:10" hidden="1" x14ac:dyDescent="0.25">
      <c r="A5344" s="195"/>
      <c r="B5344" s="187"/>
      <c r="C5344" s="169"/>
      <c r="D5344" s="169"/>
      <c r="E5344" s="170"/>
      <c r="F5344" s="54" t="s">
        <v>558</v>
      </c>
      <c r="G5344" s="54" t="str">
        <f>IF(ISNUMBER(F5344),E5344*F5344,"")</f>
        <v/>
      </c>
      <c r="H5344" s="73"/>
      <c r="I5344" s="74"/>
      <c r="J5344" s="155">
        <v>0</v>
      </c>
    </row>
    <row r="5345" spans="1:10" hidden="1" x14ac:dyDescent="0.25">
      <c r="A5345" s="195"/>
      <c r="B5345" s="187"/>
      <c r="C5345" s="36" t="s">
        <v>3318</v>
      </c>
      <c r="D5345" s="162" t="s">
        <v>12</v>
      </c>
      <c r="E5345" s="163">
        <f>ROUND(220/(1+113.69%),4)</f>
        <v>102.9529</v>
      </c>
      <c r="F5345" s="31">
        <v>20.234999999999999</v>
      </c>
      <c r="G5345" s="54">
        <f>IF(ISNUMBER(F5345),E5345*F5345,"")</f>
        <v>2083.2519315</v>
      </c>
      <c r="H5345" s="39">
        <f>SUM(G5345:G5345)</f>
        <v>2083.2519315</v>
      </c>
      <c r="I5345" s="40"/>
      <c r="J5345" s="155">
        <v>0</v>
      </c>
    </row>
    <row r="5346" spans="1:10" hidden="1" x14ac:dyDescent="0.25">
      <c r="A5346" s="195"/>
      <c r="B5346" s="187"/>
      <c r="C5346" s="169"/>
      <c r="D5346" s="169"/>
      <c r="E5346" s="170"/>
      <c r="F5346" s="54" t="s">
        <v>558</v>
      </c>
      <c r="G5346" s="54" t="str">
        <f>IF(ISNUMBER(F5346),E5346*F5346,"")</f>
        <v/>
      </c>
      <c r="H5346" s="73"/>
      <c r="I5346" s="74"/>
      <c r="J5346" s="155">
        <v>0</v>
      </c>
    </row>
    <row r="5347" spans="1:10" ht="25.5" hidden="1" x14ac:dyDescent="0.25">
      <c r="A5347" s="195"/>
      <c r="B5347" s="187"/>
      <c r="C5347" s="48" t="s">
        <v>820</v>
      </c>
      <c r="D5347" s="169"/>
      <c r="E5347" s="170"/>
      <c r="F5347" s="54" t="s">
        <v>558</v>
      </c>
      <c r="G5347" s="54" t="str">
        <f>IF(ISNUMBER(F5347),E5347*F5347,"")</f>
        <v/>
      </c>
      <c r="H5347" s="73"/>
      <c r="I5347" s="74"/>
      <c r="J5347" s="155">
        <v>0</v>
      </c>
    </row>
    <row r="5348" spans="1:10" ht="15.75" hidden="1" thickBot="1" x14ac:dyDescent="0.3">
      <c r="A5348" s="196"/>
      <c r="B5348" s="188"/>
      <c r="C5348" s="55"/>
      <c r="D5348" s="165"/>
      <c r="E5348" s="66"/>
      <c r="F5348" s="76" t="s">
        <v>558</v>
      </c>
      <c r="G5348" s="76" t="str">
        <f>IF(ISNUMBER(F5348),E5348*F5348,"")</f>
        <v/>
      </c>
      <c r="H5348" s="77"/>
      <c r="I5348" s="74"/>
      <c r="J5348" s="155">
        <v>0</v>
      </c>
    </row>
    <row r="5349" spans="1:10" ht="15.75" hidden="1" thickBot="1" x14ac:dyDescent="0.3">
      <c r="A5349" s="189" t="s">
        <v>5131</v>
      </c>
      <c r="B5349" s="186" t="str">
        <f>INDEX(Orçamentária!A:B,MATCH(Composições!A5349,Orçamentária!A:A,0),2)</f>
        <v>Auxiliar Administrativo</v>
      </c>
      <c r="C5349" s="41"/>
      <c r="D5349" s="26" t="str">
        <f>TRIM(INDEX(Orçamentária!C:C,MATCH(Composições!A5349,Orçamentária!A:A,0),1))</f>
        <v>Profissional</v>
      </c>
      <c r="E5349" s="27"/>
      <c r="F5349" s="49" t="s">
        <v>558</v>
      </c>
      <c r="G5349" s="28" t="str">
        <f>IF(ISNUMBER(F5349),E5349*F5349,"")</f>
        <v/>
      </c>
      <c r="H5349" s="29"/>
      <c r="I5349" s="30"/>
      <c r="J5349" s="155">
        <v>0</v>
      </c>
    </row>
    <row r="5350" spans="1:10" hidden="1" x14ac:dyDescent="0.25">
      <c r="A5350" s="195"/>
      <c r="B5350" s="187"/>
      <c r="C5350" s="169"/>
      <c r="D5350" s="169"/>
      <c r="E5350" s="170"/>
      <c r="F5350" s="54" t="s">
        <v>558</v>
      </c>
      <c r="G5350" s="54" t="str">
        <f>IF(ISNUMBER(F5350),E5350*F5350,"")</f>
        <v/>
      </c>
      <c r="H5350" s="73"/>
      <c r="I5350" s="74"/>
      <c r="J5350" s="155">
        <v>0</v>
      </c>
    </row>
    <row r="5351" spans="1:10" hidden="1" x14ac:dyDescent="0.25">
      <c r="A5351" s="195"/>
      <c r="B5351" s="187"/>
      <c r="C5351" s="36" t="s">
        <v>3314</v>
      </c>
      <c r="D5351" s="162" t="s">
        <v>12</v>
      </c>
      <c r="E5351" s="163">
        <f>ROUND(220/(1+113.69%),4)</f>
        <v>102.9529</v>
      </c>
      <c r="F5351" s="31">
        <v>22.001999999999999</v>
      </c>
      <c r="G5351" s="54">
        <f>IF(ISNUMBER(F5351),E5351*F5351,"")</f>
        <v>2265.1697058</v>
      </c>
      <c r="H5351" s="39">
        <f>SUM(G5351:G5351)</f>
        <v>2265.1697058</v>
      </c>
      <c r="I5351" s="40"/>
      <c r="J5351" s="155">
        <v>0</v>
      </c>
    </row>
    <row r="5352" spans="1:10" hidden="1" x14ac:dyDescent="0.25">
      <c r="A5352" s="195"/>
      <c r="B5352" s="187"/>
      <c r="C5352" s="169"/>
      <c r="D5352" s="169"/>
      <c r="E5352" s="170"/>
      <c r="F5352" s="54" t="s">
        <v>558</v>
      </c>
      <c r="G5352" s="54" t="str">
        <f>IF(ISNUMBER(F5352),E5352*F5352,"")</f>
        <v/>
      </c>
      <c r="H5352" s="73"/>
      <c r="I5352" s="74"/>
      <c r="J5352" s="155">
        <v>0</v>
      </c>
    </row>
    <row r="5353" spans="1:10" ht="25.5" hidden="1" x14ac:dyDescent="0.25">
      <c r="A5353" s="195"/>
      <c r="B5353" s="187"/>
      <c r="C5353" s="48" t="s">
        <v>820</v>
      </c>
      <c r="D5353" s="169"/>
      <c r="E5353" s="170"/>
      <c r="F5353" s="54" t="s">
        <v>558</v>
      </c>
      <c r="G5353" s="54" t="str">
        <f>IF(ISNUMBER(F5353),E5353*F5353,"")</f>
        <v/>
      </c>
      <c r="H5353" s="73"/>
      <c r="I5353" s="74"/>
      <c r="J5353" s="155">
        <v>0</v>
      </c>
    </row>
    <row r="5354" spans="1:10" ht="15.75" hidden="1" thickBot="1" x14ac:dyDescent="0.3">
      <c r="A5354" s="196"/>
      <c r="B5354" s="188"/>
      <c r="C5354" s="55"/>
      <c r="D5354" s="165"/>
      <c r="E5354" s="66"/>
      <c r="F5354" s="76" t="s">
        <v>558</v>
      </c>
      <c r="G5354" s="76" t="str">
        <f>IF(ISNUMBER(F5354),E5354*F5354,"")</f>
        <v/>
      </c>
      <c r="H5354" s="77"/>
      <c r="I5354" s="74"/>
      <c r="J5354" s="155">
        <v>0</v>
      </c>
    </row>
    <row r="5355" spans="1:10" ht="15.75" hidden="1" thickBot="1" x14ac:dyDescent="0.3">
      <c r="A5355" s="189" t="s">
        <v>5132</v>
      </c>
      <c r="B5355" s="186" t="str">
        <f>INDEX(Orçamentária!A:B,MATCH(Composições!A5355,Orçamentária!A:A,0),2)</f>
        <v>Desenhista Técnico</v>
      </c>
      <c r="C5355" s="41"/>
      <c r="D5355" s="26" t="str">
        <f>TRIM(INDEX(Orçamentária!C:C,MATCH(Composições!A5355,Orçamentária!A:A,0),1))</f>
        <v>Profissional</v>
      </c>
      <c r="E5355" s="27"/>
      <c r="F5355" s="49" t="s">
        <v>558</v>
      </c>
      <c r="G5355" s="28" t="str">
        <f>IF(ISNUMBER(F5355),E5355*F5355,"")</f>
        <v/>
      </c>
      <c r="H5355" s="29"/>
      <c r="I5355" s="30"/>
      <c r="J5355" s="155">
        <v>0</v>
      </c>
    </row>
    <row r="5356" spans="1:10" hidden="1" x14ac:dyDescent="0.25">
      <c r="A5356" s="195"/>
      <c r="B5356" s="187"/>
      <c r="C5356" s="169"/>
      <c r="D5356" s="169"/>
      <c r="E5356" s="170"/>
      <c r="F5356" s="54" t="s">
        <v>558</v>
      </c>
      <c r="G5356" s="54" t="str">
        <f>IF(ISNUMBER(F5356),E5356*F5356,"")</f>
        <v/>
      </c>
      <c r="H5356" s="73"/>
      <c r="I5356" s="74"/>
      <c r="J5356" s="155">
        <v>0</v>
      </c>
    </row>
    <row r="5357" spans="1:10" hidden="1" x14ac:dyDescent="0.25">
      <c r="A5357" s="195"/>
      <c r="B5357" s="187"/>
      <c r="C5357" s="36" t="s">
        <v>3315</v>
      </c>
      <c r="D5357" s="162" t="s">
        <v>12</v>
      </c>
      <c r="E5357" s="163">
        <f>ROUND(220/(1+113.69%),4)</f>
        <v>102.9529</v>
      </c>
      <c r="F5357" s="31">
        <v>24.870999999999999</v>
      </c>
      <c r="G5357" s="54">
        <f>IF(ISNUMBER(F5357),E5357*F5357,"")</f>
        <v>2560.5415758999998</v>
      </c>
      <c r="H5357" s="39">
        <f>SUM(G5357:G5357)</f>
        <v>2560.5415758999998</v>
      </c>
      <c r="I5357" s="40"/>
      <c r="J5357" s="155">
        <v>0</v>
      </c>
    </row>
    <row r="5358" spans="1:10" hidden="1" x14ac:dyDescent="0.25">
      <c r="A5358" s="195"/>
      <c r="B5358" s="187"/>
      <c r="C5358" s="169"/>
      <c r="D5358" s="169"/>
      <c r="E5358" s="170"/>
      <c r="F5358" s="54" t="s">
        <v>558</v>
      </c>
      <c r="G5358" s="54" t="str">
        <f>IF(ISNUMBER(F5358),E5358*F5358,"")</f>
        <v/>
      </c>
      <c r="H5358" s="73"/>
      <c r="I5358" s="74"/>
      <c r="J5358" s="155">
        <v>0</v>
      </c>
    </row>
    <row r="5359" spans="1:10" ht="25.5" hidden="1" x14ac:dyDescent="0.25">
      <c r="A5359" s="195"/>
      <c r="B5359" s="187"/>
      <c r="C5359" s="48" t="s">
        <v>820</v>
      </c>
      <c r="D5359" s="169"/>
      <c r="E5359" s="170"/>
      <c r="F5359" s="54" t="s">
        <v>558</v>
      </c>
      <c r="G5359" s="54" t="str">
        <f>IF(ISNUMBER(F5359),E5359*F5359,"")</f>
        <v/>
      </c>
      <c r="H5359" s="73"/>
      <c r="I5359" s="74"/>
      <c r="J5359" s="155">
        <v>0</v>
      </c>
    </row>
    <row r="5360" spans="1:10" ht="15.75" hidden="1" thickBot="1" x14ac:dyDescent="0.3">
      <c r="A5360" s="196"/>
      <c r="B5360" s="188"/>
      <c r="C5360" s="55"/>
      <c r="D5360" s="165"/>
      <c r="E5360" s="66"/>
      <c r="F5360" s="76" t="s">
        <v>558</v>
      </c>
      <c r="G5360" s="76" t="str">
        <f>IF(ISNUMBER(F5360),E5360*F5360,"")</f>
        <v/>
      </c>
      <c r="H5360" s="77"/>
      <c r="I5360" s="74"/>
      <c r="J5360" s="155">
        <v>0</v>
      </c>
    </row>
    <row r="5361" spans="1:10" ht="15.75" hidden="1" thickBot="1" x14ac:dyDescent="0.3">
      <c r="A5361" s="189" t="s">
        <v>5133</v>
      </c>
      <c r="B5361" s="186" t="str">
        <f>INDEX(Orçamentária!A:B,MATCH(Composições!A5361,Orçamentária!A:A,0),2)</f>
        <v>Técnico em Eletrotécnica Encarregado</v>
      </c>
      <c r="C5361" s="41"/>
      <c r="D5361" s="26" t="str">
        <f>TRIM(INDEX(Orçamentária!C:C,MATCH(Composições!A5361,Orçamentária!A:A,0),1))</f>
        <v>Profissional</v>
      </c>
      <c r="E5361" s="27"/>
      <c r="F5361" s="49" t="s">
        <v>558</v>
      </c>
      <c r="G5361" s="28" t="str">
        <f>IF(ISNUMBER(F5361),E5361*F5361,"")</f>
        <v/>
      </c>
      <c r="H5361" s="29"/>
      <c r="I5361" s="30"/>
      <c r="J5361" s="155">
        <v>0</v>
      </c>
    </row>
    <row r="5362" spans="1:10" hidden="1" x14ac:dyDescent="0.25">
      <c r="A5362" s="195"/>
      <c r="B5362" s="187"/>
      <c r="C5362" s="169"/>
      <c r="D5362" s="169"/>
      <c r="E5362" s="170"/>
      <c r="F5362" s="54" t="s">
        <v>558</v>
      </c>
      <c r="G5362" s="54" t="str">
        <f>IF(ISNUMBER(F5362),E5362*F5362,"")</f>
        <v/>
      </c>
      <c r="H5362" s="73"/>
      <c r="I5362" s="74"/>
      <c r="J5362" s="155">
        <v>0</v>
      </c>
    </row>
    <row r="5363" spans="1:10" hidden="1" x14ac:dyDescent="0.25">
      <c r="A5363" s="195"/>
      <c r="B5363" s="187"/>
      <c r="C5363" s="36" t="s">
        <v>3310</v>
      </c>
      <c r="D5363" s="162" t="s">
        <v>12</v>
      </c>
      <c r="E5363" s="163">
        <f>ROUND(220/(1+113.69%),4)</f>
        <v>102.9529</v>
      </c>
      <c r="F5363" s="31">
        <v>30.884499999999996</v>
      </c>
      <c r="G5363" s="54">
        <f>IF(ISNUMBER(F5363),E5363*F5363,"")</f>
        <v>3179.6488400499998</v>
      </c>
      <c r="H5363" s="39">
        <f>SUM(G5363:G5363)</f>
        <v>3179.6488400499998</v>
      </c>
      <c r="I5363" s="40"/>
      <c r="J5363" s="155">
        <v>0</v>
      </c>
    </row>
    <row r="5364" spans="1:10" hidden="1" x14ac:dyDescent="0.25">
      <c r="A5364" s="195"/>
      <c r="B5364" s="187"/>
      <c r="C5364" s="169"/>
      <c r="D5364" s="169"/>
      <c r="E5364" s="170"/>
      <c r="F5364" s="54" t="s">
        <v>558</v>
      </c>
      <c r="G5364" s="54" t="str">
        <f>IF(ISNUMBER(F5364),E5364*F5364,"")</f>
        <v/>
      </c>
      <c r="H5364" s="73"/>
      <c r="I5364" s="74"/>
      <c r="J5364" s="155">
        <v>0</v>
      </c>
    </row>
    <row r="5365" spans="1:10" ht="25.5" hidden="1" x14ac:dyDescent="0.25">
      <c r="A5365" s="195"/>
      <c r="B5365" s="187"/>
      <c r="C5365" s="48" t="s">
        <v>820</v>
      </c>
      <c r="D5365" s="169"/>
      <c r="E5365" s="170"/>
      <c r="F5365" s="54" t="s">
        <v>558</v>
      </c>
      <c r="G5365" s="54" t="str">
        <f>IF(ISNUMBER(F5365),E5365*F5365,"")</f>
        <v/>
      </c>
      <c r="H5365" s="73"/>
      <c r="I5365" s="74"/>
      <c r="J5365" s="155">
        <v>0</v>
      </c>
    </row>
    <row r="5366" spans="1:10" ht="15.75" hidden="1" thickBot="1" x14ac:dyDescent="0.3">
      <c r="A5366" s="196"/>
      <c r="B5366" s="188"/>
      <c r="C5366" s="55"/>
      <c r="D5366" s="165"/>
      <c r="E5366" s="66"/>
      <c r="F5366" s="76" t="s">
        <v>558</v>
      </c>
      <c r="G5366" s="76" t="str">
        <f>IF(ISNUMBER(F5366),E5366*F5366,"")</f>
        <v/>
      </c>
      <c r="H5366" s="77"/>
      <c r="I5366" s="74"/>
      <c r="J5366" s="155">
        <v>0</v>
      </c>
    </row>
    <row r="5367" spans="1:10" ht="15.75" hidden="1" thickBot="1" x14ac:dyDescent="0.3">
      <c r="A5367" s="189" t="s">
        <v>5134</v>
      </c>
      <c r="B5367" s="186" t="str">
        <f>INDEX(Orçamentária!A:B,MATCH(Composições!A5367,Orçamentária!A:A,0),2)</f>
        <v>Técnico em Eletrotécnica Planejador de Manutenção</v>
      </c>
      <c r="C5367" s="41"/>
      <c r="D5367" s="26" t="str">
        <f>TRIM(INDEX(Orçamentária!C:C,MATCH(Composições!A5367,Orçamentária!A:A,0),1))</f>
        <v>Profissional</v>
      </c>
      <c r="E5367" s="27"/>
      <c r="F5367" s="49" t="s">
        <v>558</v>
      </c>
      <c r="G5367" s="28" t="str">
        <f>IF(ISNUMBER(F5367),E5367*F5367,"")</f>
        <v/>
      </c>
      <c r="H5367" s="29"/>
      <c r="I5367" s="30"/>
      <c r="J5367" s="155">
        <v>0</v>
      </c>
    </row>
    <row r="5368" spans="1:10" hidden="1" x14ac:dyDescent="0.25">
      <c r="A5368" s="195"/>
      <c r="B5368" s="187"/>
      <c r="C5368" s="169"/>
      <c r="D5368" s="169"/>
      <c r="E5368" s="170"/>
      <c r="F5368" s="54" t="s">
        <v>558</v>
      </c>
      <c r="G5368" s="54" t="str">
        <f>IF(ISNUMBER(F5368),E5368*F5368,"")</f>
        <v/>
      </c>
      <c r="H5368" s="73"/>
      <c r="I5368" s="74"/>
      <c r="J5368" s="155">
        <v>0</v>
      </c>
    </row>
    <row r="5369" spans="1:10" hidden="1" x14ac:dyDescent="0.25">
      <c r="A5369" s="195"/>
      <c r="B5369" s="187"/>
      <c r="C5369" s="36" t="s">
        <v>3310</v>
      </c>
      <c r="D5369" s="162" t="s">
        <v>12</v>
      </c>
      <c r="E5369" s="163">
        <f>ROUND(220/(1+113.69%),4)</f>
        <v>102.9529</v>
      </c>
      <c r="F5369" s="31">
        <v>30.884499999999996</v>
      </c>
      <c r="G5369" s="54">
        <f>IF(ISNUMBER(F5369),E5369*F5369,"")</f>
        <v>3179.6488400499998</v>
      </c>
      <c r="H5369" s="39">
        <f>SUM(G5369:G5369)</f>
        <v>3179.6488400499998</v>
      </c>
      <c r="I5369" s="40"/>
      <c r="J5369" s="155">
        <v>0</v>
      </c>
    </row>
    <row r="5370" spans="1:10" hidden="1" x14ac:dyDescent="0.25">
      <c r="A5370" s="195"/>
      <c r="B5370" s="187"/>
      <c r="C5370" s="169"/>
      <c r="D5370" s="169"/>
      <c r="E5370" s="170"/>
      <c r="F5370" s="54" t="s">
        <v>558</v>
      </c>
      <c r="G5370" s="54" t="str">
        <f>IF(ISNUMBER(F5370),E5370*F5370,"")</f>
        <v/>
      </c>
      <c r="H5370" s="73"/>
      <c r="I5370" s="74"/>
      <c r="J5370" s="155">
        <v>0</v>
      </c>
    </row>
    <row r="5371" spans="1:10" ht="25.5" hidden="1" x14ac:dyDescent="0.25">
      <c r="A5371" s="195"/>
      <c r="B5371" s="187"/>
      <c r="C5371" s="48" t="s">
        <v>820</v>
      </c>
      <c r="D5371" s="169"/>
      <c r="E5371" s="170"/>
      <c r="F5371" s="54" t="s">
        <v>558</v>
      </c>
      <c r="G5371" s="54" t="str">
        <f>IF(ISNUMBER(F5371),E5371*F5371,"")</f>
        <v/>
      </c>
      <c r="H5371" s="73"/>
      <c r="I5371" s="74"/>
      <c r="J5371" s="155">
        <v>0</v>
      </c>
    </row>
    <row r="5372" spans="1:10" ht="15.75" hidden="1" thickBot="1" x14ac:dyDescent="0.3">
      <c r="A5372" s="196"/>
      <c r="B5372" s="188"/>
      <c r="C5372" s="55"/>
      <c r="D5372" s="165"/>
      <c r="E5372" s="66"/>
      <c r="F5372" s="76" t="s">
        <v>558</v>
      </c>
      <c r="G5372" s="76" t="str">
        <f>IF(ISNUMBER(F5372),E5372*F5372,"")</f>
        <v/>
      </c>
      <c r="H5372" s="77"/>
      <c r="I5372" s="74"/>
      <c r="J5372" s="155">
        <v>0</v>
      </c>
    </row>
    <row r="5373" spans="1:10" ht="15.75" hidden="1" thickBot="1" x14ac:dyDescent="0.3">
      <c r="A5373" s="189" t="s">
        <v>5135</v>
      </c>
      <c r="B5373" s="186" t="str">
        <f>INDEX(Orçamentária!A:B,MATCH(Composições!A5373,Orçamentária!A:A,0),2)</f>
        <v>Técnico em Eletrotécnica Termografista</v>
      </c>
      <c r="C5373" s="41"/>
      <c r="D5373" s="26" t="str">
        <f>TRIM(INDEX(Orçamentária!C:C,MATCH(Composições!A5373,Orçamentária!A:A,0),1))</f>
        <v>Profissional</v>
      </c>
      <c r="E5373" s="27"/>
      <c r="F5373" s="49" t="s">
        <v>558</v>
      </c>
      <c r="G5373" s="28" t="str">
        <f>IF(ISNUMBER(F5373),E5373*F5373,"")</f>
        <v/>
      </c>
      <c r="H5373" s="29"/>
      <c r="I5373" s="30"/>
      <c r="J5373" s="155">
        <v>0</v>
      </c>
    </row>
    <row r="5374" spans="1:10" hidden="1" x14ac:dyDescent="0.25">
      <c r="A5374" s="195"/>
      <c r="B5374" s="187"/>
      <c r="C5374" s="169"/>
      <c r="D5374" s="169"/>
      <c r="E5374" s="170"/>
      <c r="F5374" s="54" t="s">
        <v>558</v>
      </c>
      <c r="G5374" s="54" t="str">
        <f>IF(ISNUMBER(F5374),E5374*F5374,"")</f>
        <v/>
      </c>
      <c r="H5374" s="73"/>
      <c r="I5374" s="74"/>
      <c r="J5374" s="155">
        <v>0</v>
      </c>
    </row>
    <row r="5375" spans="1:10" hidden="1" x14ac:dyDescent="0.25">
      <c r="A5375" s="195"/>
      <c r="B5375" s="187"/>
      <c r="C5375" s="36" t="s">
        <v>3310</v>
      </c>
      <c r="D5375" s="162" t="s">
        <v>12</v>
      </c>
      <c r="E5375" s="163">
        <f>ROUND(220/(1+113.69%),4)</f>
        <v>102.9529</v>
      </c>
      <c r="F5375" s="31">
        <v>30.884499999999996</v>
      </c>
      <c r="G5375" s="54">
        <f>IF(ISNUMBER(F5375),E5375*F5375,"")</f>
        <v>3179.6488400499998</v>
      </c>
      <c r="H5375" s="39">
        <f>SUM(G5375:G5375)</f>
        <v>3179.6488400499998</v>
      </c>
      <c r="I5375" s="40"/>
      <c r="J5375" s="155">
        <v>0</v>
      </c>
    </row>
    <row r="5376" spans="1:10" hidden="1" x14ac:dyDescent="0.25">
      <c r="A5376" s="195"/>
      <c r="B5376" s="187"/>
      <c r="C5376" s="169"/>
      <c r="D5376" s="169"/>
      <c r="E5376" s="170"/>
      <c r="F5376" s="54" t="s">
        <v>558</v>
      </c>
      <c r="G5376" s="54" t="str">
        <f>IF(ISNUMBER(F5376),E5376*F5376,"")</f>
        <v/>
      </c>
      <c r="H5376" s="73"/>
      <c r="I5376" s="74"/>
      <c r="J5376" s="155">
        <v>0</v>
      </c>
    </row>
    <row r="5377" spans="1:10" ht="25.5" hidden="1" x14ac:dyDescent="0.25">
      <c r="A5377" s="195"/>
      <c r="B5377" s="187"/>
      <c r="C5377" s="48" t="s">
        <v>820</v>
      </c>
      <c r="D5377" s="169"/>
      <c r="E5377" s="170"/>
      <c r="F5377" s="54" t="s">
        <v>558</v>
      </c>
      <c r="G5377" s="54" t="str">
        <f>IF(ISNUMBER(F5377),E5377*F5377,"")</f>
        <v/>
      </c>
      <c r="H5377" s="73"/>
      <c r="I5377" s="74"/>
      <c r="J5377" s="155">
        <v>0</v>
      </c>
    </row>
    <row r="5378" spans="1:10" ht="15.75" hidden="1" thickBot="1" x14ac:dyDescent="0.3">
      <c r="A5378" s="196"/>
      <c r="B5378" s="188"/>
      <c r="C5378" s="55"/>
      <c r="D5378" s="165"/>
      <c r="E5378" s="66"/>
      <c r="F5378" s="76" t="s">
        <v>558</v>
      </c>
      <c r="G5378" s="76" t="str">
        <f>IF(ISNUMBER(F5378),E5378*F5378,"")</f>
        <v/>
      </c>
      <c r="H5378" s="77"/>
      <c r="I5378" s="74"/>
      <c r="J5378" s="155">
        <v>0</v>
      </c>
    </row>
    <row r="5379" spans="1:10" ht="15.75" hidden="1" thickBot="1" x14ac:dyDescent="0.3">
      <c r="A5379" s="189" t="s">
        <v>5136</v>
      </c>
      <c r="B5379" s="186" t="str">
        <f>INDEX(Orçamentária!A:B,MATCH(Composições!A5379,Orçamentária!A:A,0),2)</f>
        <v>Técnico em Eletrotécnica</v>
      </c>
      <c r="C5379" s="41"/>
      <c r="D5379" s="26" t="str">
        <f>TRIM(INDEX(Orçamentária!C:C,MATCH(Composições!A5379,Orçamentária!A:A,0),1))</f>
        <v>Profissional</v>
      </c>
      <c r="E5379" s="27"/>
      <c r="F5379" s="49" t="s">
        <v>558</v>
      </c>
      <c r="G5379" s="28" t="str">
        <f>IF(ISNUMBER(F5379),E5379*F5379,"")</f>
        <v/>
      </c>
      <c r="H5379" s="29"/>
      <c r="I5379" s="30"/>
      <c r="J5379" s="155">
        <v>0</v>
      </c>
    </row>
    <row r="5380" spans="1:10" hidden="1" x14ac:dyDescent="0.25">
      <c r="A5380" s="195"/>
      <c r="B5380" s="187"/>
      <c r="C5380" s="169"/>
      <c r="D5380" s="169"/>
      <c r="E5380" s="170"/>
      <c r="F5380" s="54" t="s">
        <v>558</v>
      </c>
      <c r="G5380" s="54" t="str">
        <f>IF(ISNUMBER(F5380),E5380*F5380,"")</f>
        <v/>
      </c>
      <c r="H5380" s="73"/>
      <c r="I5380" s="74"/>
      <c r="J5380" s="155">
        <v>0</v>
      </c>
    </row>
    <row r="5381" spans="1:10" hidden="1" x14ac:dyDescent="0.25">
      <c r="A5381" s="195"/>
      <c r="B5381" s="187"/>
      <c r="C5381" s="36" t="s">
        <v>3310</v>
      </c>
      <c r="D5381" s="162" t="s">
        <v>12</v>
      </c>
      <c r="E5381" s="163">
        <f>ROUND(220/(1+113.69%),4)</f>
        <v>102.9529</v>
      </c>
      <c r="F5381" s="31">
        <v>30.884499999999996</v>
      </c>
      <c r="G5381" s="54">
        <f>IF(ISNUMBER(F5381),E5381*F5381,"")</f>
        <v>3179.6488400499998</v>
      </c>
      <c r="H5381" s="39">
        <f>SUM(G5381:G5381)</f>
        <v>3179.6488400499998</v>
      </c>
      <c r="I5381" s="40"/>
      <c r="J5381" s="155">
        <v>0</v>
      </c>
    </row>
    <row r="5382" spans="1:10" hidden="1" x14ac:dyDescent="0.25">
      <c r="A5382" s="195"/>
      <c r="B5382" s="187"/>
      <c r="C5382" s="169"/>
      <c r="D5382" s="169"/>
      <c r="E5382" s="170"/>
      <c r="F5382" s="54" t="s">
        <v>558</v>
      </c>
      <c r="G5382" s="54" t="str">
        <f>IF(ISNUMBER(F5382),E5382*F5382,"")</f>
        <v/>
      </c>
      <c r="H5382" s="73"/>
      <c r="I5382" s="74"/>
      <c r="J5382" s="155">
        <v>0</v>
      </c>
    </row>
    <row r="5383" spans="1:10" ht="25.5" hidden="1" x14ac:dyDescent="0.25">
      <c r="A5383" s="195"/>
      <c r="B5383" s="187"/>
      <c r="C5383" s="48" t="s">
        <v>820</v>
      </c>
      <c r="D5383" s="169"/>
      <c r="E5383" s="170"/>
      <c r="F5383" s="54" t="s">
        <v>558</v>
      </c>
      <c r="G5383" s="54" t="str">
        <f>IF(ISNUMBER(F5383),E5383*F5383,"")</f>
        <v/>
      </c>
      <c r="H5383" s="73"/>
      <c r="I5383" s="74"/>
      <c r="J5383" s="155">
        <v>0</v>
      </c>
    </row>
    <row r="5384" spans="1:10" ht="15.75" hidden="1" thickBot="1" x14ac:dyDescent="0.3">
      <c r="A5384" s="196"/>
      <c r="B5384" s="188"/>
      <c r="C5384" s="55"/>
      <c r="D5384" s="165"/>
      <c r="E5384" s="66"/>
      <c r="F5384" s="76" t="s">
        <v>558</v>
      </c>
      <c r="G5384" s="76" t="str">
        <f>IF(ISNUMBER(F5384),E5384*F5384,"")</f>
        <v/>
      </c>
      <c r="H5384" s="77"/>
      <c r="I5384" s="74"/>
      <c r="J5384" s="155">
        <v>0</v>
      </c>
    </row>
    <row r="5385" spans="1:10" ht="15.75" hidden="1" thickBot="1" x14ac:dyDescent="0.3">
      <c r="A5385" s="189" t="s">
        <v>5137</v>
      </c>
      <c r="B5385" s="186" t="str">
        <f>INDEX(Orçamentária!A:B,MATCH(Composições!A5385,Orçamentária!A:A,0),2)</f>
        <v>Eletricista</v>
      </c>
      <c r="C5385" s="41"/>
      <c r="D5385" s="26" t="str">
        <f>TRIM(INDEX(Orçamentária!C:C,MATCH(Composições!A5385,Orçamentária!A:A,0),1))</f>
        <v>Profissional</v>
      </c>
      <c r="E5385" s="27"/>
      <c r="F5385" s="49" t="s">
        <v>558</v>
      </c>
      <c r="G5385" s="28" t="str">
        <f>IF(ISNUMBER(F5385),E5385*F5385,"")</f>
        <v/>
      </c>
      <c r="H5385" s="29"/>
      <c r="I5385" s="30"/>
      <c r="J5385" s="155">
        <v>0</v>
      </c>
    </row>
    <row r="5386" spans="1:10" hidden="1" x14ac:dyDescent="0.25">
      <c r="A5386" s="195"/>
      <c r="B5386" s="187"/>
      <c r="C5386" s="169"/>
      <c r="D5386" s="169"/>
      <c r="E5386" s="170"/>
      <c r="F5386" s="54" t="s">
        <v>558</v>
      </c>
      <c r="G5386" s="54" t="str">
        <f>IF(ISNUMBER(F5386),E5386*F5386,"")</f>
        <v/>
      </c>
      <c r="H5386" s="73"/>
      <c r="I5386" s="74"/>
      <c r="J5386" s="155">
        <v>0</v>
      </c>
    </row>
    <row r="5387" spans="1:10" hidden="1" x14ac:dyDescent="0.25">
      <c r="A5387" s="195"/>
      <c r="B5387" s="187"/>
      <c r="C5387" s="36" t="s">
        <v>1214</v>
      </c>
      <c r="D5387" s="162" t="s">
        <v>12</v>
      </c>
      <c r="E5387" s="163">
        <f>ROUND(220/(1+113.69%),4)</f>
        <v>102.9529</v>
      </c>
      <c r="F5387" s="31">
        <v>22.895</v>
      </c>
      <c r="G5387" s="54">
        <f>IF(ISNUMBER(F5387),E5387*F5387,"")</f>
        <v>2357.1066455</v>
      </c>
      <c r="H5387" s="39">
        <f>SUM(G5387:G5387)</f>
        <v>2357.1066455</v>
      </c>
      <c r="I5387" s="40"/>
      <c r="J5387" s="155">
        <v>0</v>
      </c>
    </row>
    <row r="5388" spans="1:10" hidden="1" x14ac:dyDescent="0.25">
      <c r="A5388" s="195"/>
      <c r="B5388" s="187"/>
      <c r="C5388" s="169"/>
      <c r="D5388" s="169"/>
      <c r="E5388" s="170"/>
      <c r="F5388" s="54" t="s">
        <v>558</v>
      </c>
      <c r="G5388" s="54" t="str">
        <f>IF(ISNUMBER(F5388),E5388*F5388,"")</f>
        <v/>
      </c>
      <c r="H5388" s="73"/>
      <c r="I5388" s="74"/>
      <c r="J5388" s="155">
        <v>0</v>
      </c>
    </row>
    <row r="5389" spans="1:10" ht="25.5" hidden="1" x14ac:dyDescent="0.25">
      <c r="A5389" s="195"/>
      <c r="B5389" s="187"/>
      <c r="C5389" s="48" t="s">
        <v>820</v>
      </c>
      <c r="D5389" s="169"/>
      <c r="E5389" s="170"/>
      <c r="F5389" s="54" t="s">
        <v>558</v>
      </c>
      <c r="G5389" s="54" t="str">
        <f>IF(ISNUMBER(F5389),E5389*F5389,"")</f>
        <v/>
      </c>
      <c r="H5389" s="73"/>
      <c r="I5389" s="74"/>
      <c r="J5389" s="155">
        <v>0</v>
      </c>
    </row>
    <row r="5390" spans="1:10" ht="15.75" hidden="1" thickBot="1" x14ac:dyDescent="0.3">
      <c r="A5390" s="196"/>
      <c r="B5390" s="188"/>
      <c r="C5390" s="55"/>
      <c r="D5390" s="165"/>
      <c r="E5390" s="66"/>
      <c r="F5390" s="76" t="s">
        <v>558</v>
      </c>
      <c r="G5390" s="76" t="str">
        <f>IF(ISNUMBER(F5390),E5390*F5390,"")</f>
        <v/>
      </c>
      <c r="H5390" s="77"/>
      <c r="I5390" s="74"/>
      <c r="J5390" s="155">
        <v>0</v>
      </c>
    </row>
    <row r="5391" spans="1:10" ht="15.75" hidden="1" thickBot="1" x14ac:dyDescent="0.3">
      <c r="A5391" s="189" t="s">
        <v>5138</v>
      </c>
      <c r="B5391" s="186" t="str">
        <f>INDEX(Orçamentária!A:B,MATCH(Composições!A5391,Orçamentária!A:A,0),2)</f>
        <v>Auxiliar de Eletricista</v>
      </c>
      <c r="C5391" s="41"/>
      <c r="D5391" s="26" t="str">
        <f>TRIM(INDEX(Orçamentária!C:C,MATCH(Composições!A5391,Orçamentária!A:A,0),1))</f>
        <v>Profissional</v>
      </c>
      <c r="E5391" s="27"/>
      <c r="F5391" s="49" t="s">
        <v>558</v>
      </c>
      <c r="G5391" s="28" t="str">
        <f>IF(ISNUMBER(F5391),E5391*F5391,"")</f>
        <v/>
      </c>
      <c r="H5391" s="29"/>
      <c r="I5391" s="30"/>
      <c r="J5391" s="155">
        <v>0</v>
      </c>
    </row>
    <row r="5392" spans="1:10" hidden="1" x14ac:dyDescent="0.25">
      <c r="A5392" s="195"/>
      <c r="B5392" s="187"/>
      <c r="C5392" s="169"/>
      <c r="D5392" s="169"/>
      <c r="E5392" s="170"/>
      <c r="F5392" s="54" t="s">
        <v>558</v>
      </c>
      <c r="G5392" s="54" t="str">
        <f>IF(ISNUMBER(F5392),E5392*F5392,"")</f>
        <v/>
      </c>
      <c r="H5392" s="73"/>
      <c r="I5392" s="74"/>
      <c r="J5392" s="155">
        <v>0</v>
      </c>
    </row>
    <row r="5393" spans="1:10" hidden="1" x14ac:dyDescent="0.25">
      <c r="A5393" s="195"/>
      <c r="B5393" s="187"/>
      <c r="C5393" s="36" t="s">
        <v>1213</v>
      </c>
      <c r="D5393" s="162" t="s">
        <v>12</v>
      </c>
      <c r="E5393" s="163">
        <f>ROUND(220/(1+113.69%),4)</f>
        <v>102.9529</v>
      </c>
      <c r="F5393" s="31">
        <v>17.802999999999997</v>
      </c>
      <c r="G5393" s="54">
        <f>IF(ISNUMBER(F5393),E5393*F5393,"")</f>
        <v>1832.8704786999997</v>
      </c>
      <c r="H5393" s="39">
        <f>SUM(G5393:G5393)</f>
        <v>1832.8704786999997</v>
      </c>
      <c r="I5393" s="40"/>
      <c r="J5393" s="155">
        <v>0</v>
      </c>
    </row>
    <row r="5394" spans="1:10" hidden="1" x14ac:dyDescent="0.25">
      <c r="A5394" s="195"/>
      <c r="B5394" s="187"/>
      <c r="C5394" s="169"/>
      <c r="D5394" s="169"/>
      <c r="E5394" s="170"/>
      <c r="F5394" s="54" t="s">
        <v>558</v>
      </c>
      <c r="G5394" s="54" t="str">
        <f>IF(ISNUMBER(F5394),E5394*F5394,"")</f>
        <v/>
      </c>
      <c r="H5394" s="73"/>
      <c r="I5394" s="74"/>
      <c r="J5394" s="155">
        <v>0</v>
      </c>
    </row>
    <row r="5395" spans="1:10" ht="25.5" hidden="1" x14ac:dyDescent="0.25">
      <c r="A5395" s="195"/>
      <c r="B5395" s="187"/>
      <c r="C5395" s="48" t="s">
        <v>820</v>
      </c>
      <c r="D5395" s="169"/>
      <c r="E5395" s="170"/>
      <c r="F5395" s="54" t="s">
        <v>558</v>
      </c>
      <c r="G5395" s="54" t="str">
        <f>IF(ISNUMBER(F5395),E5395*F5395,"")</f>
        <v/>
      </c>
      <c r="H5395" s="73"/>
      <c r="I5395" s="74"/>
      <c r="J5395" s="155">
        <v>0</v>
      </c>
    </row>
    <row r="5396" spans="1:10" ht="15.75" hidden="1" thickBot="1" x14ac:dyDescent="0.3">
      <c r="A5396" s="196"/>
      <c r="B5396" s="188"/>
      <c r="C5396" s="55"/>
      <c r="D5396" s="165"/>
      <c r="E5396" s="66"/>
      <c r="F5396" s="76" t="s">
        <v>558</v>
      </c>
      <c r="G5396" s="76" t="str">
        <f>IF(ISNUMBER(F5396),E5396*F5396,"")</f>
        <v/>
      </c>
      <c r="H5396" s="77"/>
      <c r="I5396" s="74"/>
      <c r="J5396" s="155">
        <v>0</v>
      </c>
    </row>
    <row r="5397" spans="1:10" ht="15.75" hidden="1" thickBot="1" x14ac:dyDescent="0.3">
      <c r="A5397" s="189" t="s">
        <v>5139</v>
      </c>
      <c r="B5397" s="186" t="str">
        <f>INDEX(Orçamentária!A:B,MATCH(Composições!A5397,Orçamentária!A:A,0),2)</f>
        <v>Técnico em Eletromecânica</v>
      </c>
      <c r="C5397" s="41"/>
      <c r="D5397" s="26" t="str">
        <f>TRIM(INDEX(Orçamentária!C:C,MATCH(Composições!A5397,Orçamentária!A:A,0),1))</f>
        <v>Profissional</v>
      </c>
      <c r="E5397" s="27"/>
      <c r="F5397" s="49" t="s">
        <v>558</v>
      </c>
      <c r="G5397" s="28" t="str">
        <f>IF(ISNUMBER(F5397),E5397*F5397,"")</f>
        <v/>
      </c>
      <c r="H5397" s="29"/>
      <c r="I5397" s="30"/>
      <c r="J5397" s="155">
        <v>0</v>
      </c>
    </row>
    <row r="5398" spans="1:10" hidden="1" x14ac:dyDescent="0.25">
      <c r="A5398" s="195"/>
      <c r="B5398" s="187"/>
      <c r="C5398" s="169"/>
      <c r="D5398" s="169"/>
      <c r="E5398" s="170"/>
      <c r="F5398" s="54" t="s">
        <v>558</v>
      </c>
      <c r="G5398" s="54" t="str">
        <f>IF(ISNUMBER(F5398),E5398*F5398,"")</f>
        <v/>
      </c>
      <c r="H5398" s="73"/>
      <c r="I5398" s="74"/>
      <c r="J5398" s="155">
        <v>0</v>
      </c>
    </row>
    <row r="5399" spans="1:10" hidden="1" x14ac:dyDescent="0.25">
      <c r="A5399" s="195"/>
      <c r="B5399" s="187"/>
      <c r="C5399" s="36" t="s">
        <v>3310</v>
      </c>
      <c r="D5399" s="162" t="s">
        <v>12</v>
      </c>
      <c r="E5399" s="163">
        <f>ROUND(220/(1+113.69%),4)</f>
        <v>102.9529</v>
      </c>
      <c r="F5399" s="31">
        <v>30.884499999999996</v>
      </c>
      <c r="G5399" s="54">
        <f>IF(ISNUMBER(F5399),E5399*F5399,"")</f>
        <v>3179.6488400499998</v>
      </c>
      <c r="H5399" s="39">
        <f>SUM(G5399:G5399)</f>
        <v>3179.6488400499998</v>
      </c>
      <c r="I5399" s="40"/>
      <c r="J5399" s="155">
        <v>0</v>
      </c>
    </row>
    <row r="5400" spans="1:10" hidden="1" x14ac:dyDescent="0.25">
      <c r="A5400" s="195"/>
      <c r="B5400" s="187"/>
      <c r="C5400" s="169"/>
      <c r="D5400" s="169"/>
      <c r="E5400" s="170"/>
      <c r="F5400" s="54" t="s">
        <v>558</v>
      </c>
      <c r="G5400" s="54" t="str">
        <f>IF(ISNUMBER(F5400),E5400*F5400,"")</f>
        <v/>
      </c>
      <c r="H5400" s="73"/>
      <c r="I5400" s="74"/>
      <c r="J5400" s="155">
        <v>0</v>
      </c>
    </row>
    <row r="5401" spans="1:10" ht="25.5" hidden="1" x14ac:dyDescent="0.25">
      <c r="A5401" s="195"/>
      <c r="B5401" s="187"/>
      <c r="C5401" s="48" t="s">
        <v>820</v>
      </c>
      <c r="D5401" s="169"/>
      <c r="E5401" s="170"/>
      <c r="F5401" s="54" t="s">
        <v>558</v>
      </c>
      <c r="G5401" s="54" t="str">
        <f>IF(ISNUMBER(F5401),E5401*F5401,"")</f>
        <v/>
      </c>
      <c r="H5401" s="73"/>
      <c r="I5401" s="74"/>
      <c r="J5401" s="155">
        <v>0</v>
      </c>
    </row>
    <row r="5402" spans="1:10" ht="15.75" hidden="1" thickBot="1" x14ac:dyDescent="0.3">
      <c r="A5402" s="196"/>
      <c r="B5402" s="188"/>
      <c r="C5402" s="55"/>
      <c r="D5402" s="165"/>
      <c r="E5402" s="66"/>
      <c r="F5402" s="76" t="s">
        <v>558</v>
      </c>
      <c r="G5402" s="76" t="str">
        <f>IF(ISNUMBER(F5402),E5402*F5402,"")</f>
        <v/>
      </c>
      <c r="H5402" s="77"/>
      <c r="I5402" s="74"/>
      <c r="J5402" s="155">
        <v>0</v>
      </c>
    </row>
    <row r="5403" spans="1:10" ht="15.75" hidden="1" thickBot="1" x14ac:dyDescent="0.3">
      <c r="A5403" s="189" t="s">
        <v>5140</v>
      </c>
      <c r="B5403" s="186" t="str">
        <f>INDEX(Orçamentária!A:B,MATCH(Composições!A5403,Orçamentária!A:A,0),2)</f>
        <v>Técnico em Automação</v>
      </c>
      <c r="C5403" s="41"/>
      <c r="D5403" s="26" t="str">
        <f>TRIM(INDEX(Orçamentária!C:C,MATCH(Composições!A5403,Orçamentária!A:A,0),1))</f>
        <v>Profissional</v>
      </c>
      <c r="E5403" s="27"/>
      <c r="F5403" s="49" t="s">
        <v>558</v>
      </c>
      <c r="G5403" s="28" t="str">
        <f>IF(ISNUMBER(F5403),E5403*F5403,"")</f>
        <v/>
      </c>
      <c r="H5403" s="29"/>
      <c r="I5403" s="30"/>
      <c r="J5403" s="155">
        <v>0</v>
      </c>
    </row>
    <row r="5404" spans="1:10" hidden="1" x14ac:dyDescent="0.25">
      <c r="A5404" s="195"/>
      <c r="B5404" s="187"/>
      <c r="C5404" s="169"/>
      <c r="D5404" s="169"/>
      <c r="E5404" s="170"/>
      <c r="F5404" s="54" t="s">
        <v>558</v>
      </c>
      <c r="G5404" s="54" t="str">
        <f>IF(ISNUMBER(F5404),E5404*F5404,"")</f>
        <v/>
      </c>
      <c r="H5404" s="73"/>
      <c r="I5404" s="74"/>
      <c r="J5404" s="155">
        <v>0</v>
      </c>
    </row>
    <row r="5405" spans="1:10" hidden="1" x14ac:dyDescent="0.25">
      <c r="A5405" s="195"/>
      <c r="B5405" s="187"/>
      <c r="C5405" s="36" t="s">
        <v>3310</v>
      </c>
      <c r="D5405" s="162" t="s">
        <v>12</v>
      </c>
      <c r="E5405" s="163">
        <f>ROUND(220/(1+113.69%),4)</f>
        <v>102.9529</v>
      </c>
      <c r="F5405" s="31">
        <v>30.884499999999996</v>
      </c>
      <c r="G5405" s="54">
        <f>IF(ISNUMBER(F5405),E5405*F5405,"")</f>
        <v>3179.6488400499998</v>
      </c>
      <c r="H5405" s="39">
        <f>SUM(G5405:G5405)</f>
        <v>3179.6488400499998</v>
      </c>
      <c r="I5405" s="40"/>
      <c r="J5405" s="155">
        <v>0</v>
      </c>
    </row>
    <row r="5406" spans="1:10" hidden="1" x14ac:dyDescent="0.25">
      <c r="A5406" s="195"/>
      <c r="B5406" s="187"/>
      <c r="C5406" s="169"/>
      <c r="D5406" s="169"/>
      <c r="E5406" s="170"/>
      <c r="F5406" s="54" t="s">
        <v>558</v>
      </c>
      <c r="G5406" s="54" t="str">
        <f>IF(ISNUMBER(F5406),E5406*F5406,"")</f>
        <v/>
      </c>
      <c r="H5406" s="73"/>
      <c r="I5406" s="74"/>
      <c r="J5406" s="155">
        <v>0</v>
      </c>
    </row>
    <row r="5407" spans="1:10" ht="25.5" hidden="1" x14ac:dyDescent="0.25">
      <c r="A5407" s="195"/>
      <c r="B5407" s="187"/>
      <c r="C5407" s="48" t="s">
        <v>820</v>
      </c>
      <c r="D5407" s="169"/>
      <c r="E5407" s="170"/>
      <c r="F5407" s="54" t="s">
        <v>558</v>
      </c>
      <c r="G5407" s="54" t="str">
        <f>IF(ISNUMBER(F5407),E5407*F5407,"")</f>
        <v/>
      </c>
      <c r="H5407" s="73"/>
      <c r="I5407" s="74"/>
      <c r="J5407" s="155">
        <v>0</v>
      </c>
    </row>
    <row r="5408" spans="1:10" ht="15.75" hidden="1" thickBot="1" x14ac:dyDescent="0.3">
      <c r="A5408" s="196"/>
      <c r="B5408" s="188"/>
      <c r="C5408" s="55"/>
      <c r="D5408" s="165"/>
      <c r="E5408" s="66"/>
      <c r="F5408" s="76" t="s">
        <v>558</v>
      </c>
      <c r="G5408" s="76" t="str">
        <f>IF(ISNUMBER(F5408),E5408*F5408,"")</f>
        <v/>
      </c>
      <c r="H5408" s="77"/>
      <c r="I5408" s="74"/>
      <c r="J5408" s="155">
        <v>0</v>
      </c>
    </row>
    <row r="5409" spans="1:10" ht="15.75" hidden="1" thickBot="1" x14ac:dyDescent="0.3">
      <c r="A5409" s="189" t="s">
        <v>5141</v>
      </c>
      <c r="B5409" s="186" t="str">
        <f>INDEX(Orçamentária!A:B,MATCH(Composições!A5409,Orçamentária!A:A,0),2)</f>
        <v>Técnico em Eletrotécnica Plantonista (diurno)</v>
      </c>
      <c r="C5409" s="41"/>
      <c r="D5409" s="26" t="str">
        <f>TRIM(INDEX(Orçamentária!C:C,MATCH(Composições!A5409,Orçamentária!A:A,0),1))</f>
        <v>Profissional</v>
      </c>
      <c r="E5409" s="27"/>
      <c r="F5409" s="49" t="s">
        <v>558</v>
      </c>
      <c r="G5409" s="28" t="str">
        <f>IF(ISNUMBER(F5409),E5409*F5409,"")</f>
        <v/>
      </c>
      <c r="H5409" s="29"/>
      <c r="I5409" s="30"/>
      <c r="J5409" s="155">
        <v>0</v>
      </c>
    </row>
    <row r="5410" spans="1:10" hidden="1" x14ac:dyDescent="0.25">
      <c r="A5410" s="195"/>
      <c r="B5410" s="187"/>
      <c r="C5410" s="169"/>
      <c r="D5410" s="169"/>
      <c r="E5410" s="170"/>
      <c r="F5410" s="54" t="s">
        <v>558</v>
      </c>
      <c r="G5410" s="54" t="str">
        <f>IF(ISNUMBER(F5410),E5410*F5410,"")</f>
        <v/>
      </c>
      <c r="H5410" s="73"/>
      <c r="I5410" s="74"/>
      <c r="J5410" s="155">
        <v>0</v>
      </c>
    </row>
    <row r="5411" spans="1:10" hidden="1" x14ac:dyDescent="0.25">
      <c r="A5411" s="195"/>
      <c r="B5411" s="187"/>
      <c r="C5411" s="36" t="s">
        <v>3310</v>
      </c>
      <c r="D5411" s="162" t="s">
        <v>12</v>
      </c>
      <c r="E5411" s="163">
        <f>ROUND(220/(1+113.69%),4)</f>
        <v>102.9529</v>
      </c>
      <c r="F5411" s="31">
        <v>30.884499999999996</v>
      </c>
      <c r="G5411" s="54">
        <f>IF(ISNUMBER(F5411),E5411*F5411,"")</f>
        <v>3179.6488400499998</v>
      </c>
      <c r="H5411" s="39">
        <f>SUM(G5411:G5411)</f>
        <v>3179.6488400499998</v>
      </c>
      <c r="I5411" s="40"/>
      <c r="J5411" s="155">
        <v>0</v>
      </c>
    </row>
    <row r="5412" spans="1:10" hidden="1" x14ac:dyDescent="0.25">
      <c r="A5412" s="195"/>
      <c r="B5412" s="187"/>
      <c r="C5412" s="169"/>
      <c r="D5412" s="169"/>
      <c r="E5412" s="170"/>
      <c r="F5412" s="54" t="s">
        <v>558</v>
      </c>
      <c r="G5412" s="54" t="str">
        <f>IF(ISNUMBER(F5412),E5412*F5412,"")</f>
        <v/>
      </c>
      <c r="H5412" s="73"/>
      <c r="I5412" s="74"/>
      <c r="J5412" s="155">
        <v>0</v>
      </c>
    </row>
    <row r="5413" spans="1:10" ht="25.5" hidden="1" x14ac:dyDescent="0.25">
      <c r="A5413" s="195"/>
      <c r="B5413" s="187"/>
      <c r="C5413" s="48" t="s">
        <v>820</v>
      </c>
      <c r="D5413" s="169"/>
      <c r="E5413" s="170"/>
      <c r="F5413" s="54" t="s">
        <v>558</v>
      </c>
      <c r="G5413" s="54" t="str">
        <f>IF(ISNUMBER(F5413),E5413*F5413,"")</f>
        <v/>
      </c>
      <c r="H5413" s="73"/>
      <c r="I5413" s="74"/>
      <c r="J5413" s="155">
        <v>0</v>
      </c>
    </row>
    <row r="5414" spans="1:10" ht="15.75" hidden="1" thickBot="1" x14ac:dyDescent="0.3">
      <c r="A5414" s="196"/>
      <c r="B5414" s="188"/>
      <c r="C5414" s="55"/>
      <c r="D5414" s="165"/>
      <c r="E5414" s="66"/>
      <c r="F5414" s="76" t="s">
        <v>558</v>
      </c>
      <c r="G5414" s="76" t="str">
        <f>IF(ISNUMBER(F5414),E5414*F5414,"")</f>
        <v/>
      </c>
      <c r="H5414" s="77"/>
      <c r="I5414" s="74"/>
      <c r="J5414" s="155">
        <v>0</v>
      </c>
    </row>
    <row r="5415" spans="1:10" ht="15.75" hidden="1" thickBot="1" x14ac:dyDescent="0.3">
      <c r="A5415" s="189" t="s">
        <v>5142</v>
      </c>
      <c r="B5415" s="186" t="str">
        <f>INDEX(Orçamentária!A:B,MATCH(Composições!A5415,Orçamentária!A:A,0),2)</f>
        <v>Técnico em Eletrotécnica Plantonista (noturno)</v>
      </c>
      <c r="C5415" s="41"/>
      <c r="D5415" s="26" t="str">
        <f>TRIM(INDEX(Orçamentária!C:C,MATCH(Composições!A5415,Orçamentária!A:A,0),1))</f>
        <v>Profissional</v>
      </c>
      <c r="E5415" s="27"/>
      <c r="F5415" s="49" t="s">
        <v>558</v>
      </c>
      <c r="G5415" s="28" t="str">
        <f>IF(ISNUMBER(F5415),E5415*F5415,"")</f>
        <v/>
      </c>
      <c r="H5415" s="29"/>
      <c r="I5415" s="30"/>
      <c r="J5415" s="155">
        <v>0</v>
      </c>
    </row>
    <row r="5416" spans="1:10" hidden="1" x14ac:dyDescent="0.25">
      <c r="A5416" s="195"/>
      <c r="B5416" s="187"/>
      <c r="C5416" s="169"/>
      <c r="D5416" s="169"/>
      <c r="E5416" s="170"/>
      <c r="F5416" s="54" t="s">
        <v>558</v>
      </c>
      <c r="G5416" s="54" t="str">
        <f>IF(ISNUMBER(F5416),E5416*F5416,"")</f>
        <v/>
      </c>
      <c r="H5416" s="73"/>
      <c r="I5416" s="74"/>
      <c r="J5416" s="155">
        <v>0</v>
      </c>
    </row>
    <row r="5417" spans="1:10" hidden="1" x14ac:dyDescent="0.25">
      <c r="A5417" s="195"/>
      <c r="B5417" s="187"/>
      <c r="C5417" s="36" t="s">
        <v>3310</v>
      </c>
      <c r="D5417" s="162" t="s">
        <v>12</v>
      </c>
      <c r="E5417" s="163">
        <f>ROUND(220/(1+113.69%),4)</f>
        <v>102.9529</v>
      </c>
      <c r="F5417" s="31">
        <v>30.884499999999996</v>
      </c>
      <c r="G5417" s="54">
        <f>IF(ISNUMBER(F5417),E5417*F5417,"")</f>
        <v>3179.6488400499998</v>
      </c>
      <c r="H5417" s="39">
        <f>SUM(G5417:G5417)</f>
        <v>3179.6488400499998</v>
      </c>
      <c r="I5417" s="40"/>
      <c r="J5417" s="155">
        <v>0</v>
      </c>
    </row>
    <row r="5418" spans="1:10" hidden="1" x14ac:dyDescent="0.25">
      <c r="A5418" s="195"/>
      <c r="B5418" s="187"/>
      <c r="C5418" s="169"/>
      <c r="D5418" s="169"/>
      <c r="E5418" s="170"/>
      <c r="F5418" s="54" t="s">
        <v>558</v>
      </c>
      <c r="G5418" s="54" t="str">
        <f>IF(ISNUMBER(F5418),E5418*F5418,"")</f>
        <v/>
      </c>
      <c r="H5418" s="73"/>
      <c r="I5418" s="74"/>
      <c r="J5418" s="155">
        <v>0</v>
      </c>
    </row>
    <row r="5419" spans="1:10" ht="25.5" hidden="1" x14ac:dyDescent="0.25">
      <c r="A5419" s="195"/>
      <c r="B5419" s="187"/>
      <c r="C5419" s="48" t="s">
        <v>820</v>
      </c>
      <c r="D5419" s="169"/>
      <c r="E5419" s="170"/>
      <c r="F5419" s="54" t="s">
        <v>558</v>
      </c>
      <c r="G5419" s="54" t="str">
        <f>IF(ISNUMBER(F5419),E5419*F5419,"")</f>
        <v/>
      </c>
      <c r="H5419" s="73"/>
      <c r="I5419" s="74"/>
      <c r="J5419" s="155">
        <v>0</v>
      </c>
    </row>
    <row r="5420" spans="1:10" ht="15.75" hidden="1" thickBot="1" x14ac:dyDescent="0.3">
      <c r="A5420" s="196"/>
      <c r="B5420" s="188"/>
      <c r="C5420" s="55"/>
      <c r="D5420" s="165"/>
      <c r="E5420" s="66"/>
      <c r="F5420" s="76" t="s">
        <v>558</v>
      </c>
      <c r="G5420" s="76" t="str">
        <f>IF(ISNUMBER(F5420),E5420*F5420,"")</f>
        <v/>
      </c>
      <c r="H5420" s="77"/>
      <c r="I5420" s="74"/>
      <c r="J5420" s="155">
        <v>0</v>
      </c>
    </row>
    <row r="5421" spans="1:10" ht="15.75" hidden="1" thickBot="1" x14ac:dyDescent="0.3">
      <c r="A5421" s="189" t="s">
        <v>5143</v>
      </c>
      <c r="B5421" s="186" t="str">
        <f>INDEX(Orçamentária!A:B,MATCH(Composições!A5421,Orçamentária!A:A,0),2)</f>
        <v>Eletricista Plantonista (diurno)</v>
      </c>
      <c r="C5421" s="41"/>
      <c r="D5421" s="26" t="str">
        <f>TRIM(INDEX(Orçamentária!C:C,MATCH(Composições!A5421,Orçamentária!A:A,0),1))</f>
        <v>Profissional</v>
      </c>
      <c r="E5421" s="27"/>
      <c r="F5421" s="49" t="s">
        <v>558</v>
      </c>
      <c r="G5421" s="28" t="str">
        <f>IF(ISNUMBER(F5421),E5421*F5421,"")</f>
        <v/>
      </c>
      <c r="H5421" s="29"/>
      <c r="I5421" s="30"/>
      <c r="J5421" s="155">
        <v>0</v>
      </c>
    </row>
    <row r="5422" spans="1:10" hidden="1" x14ac:dyDescent="0.25">
      <c r="A5422" s="195"/>
      <c r="B5422" s="187"/>
      <c r="C5422" s="169"/>
      <c r="D5422" s="169"/>
      <c r="E5422" s="170"/>
      <c r="F5422" s="54" t="s">
        <v>558</v>
      </c>
      <c r="G5422" s="54" t="str">
        <f>IF(ISNUMBER(F5422),E5422*F5422,"")</f>
        <v/>
      </c>
      <c r="H5422" s="73"/>
      <c r="I5422" s="74"/>
      <c r="J5422" s="155">
        <v>0</v>
      </c>
    </row>
    <row r="5423" spans="1:10" hidden="1" x14ac:dyDescent="0.25">
      <c r="A5423" s="195"/>
      <c r="B5423" s="187"/>
      <c r="C5423" s="36" t="s">
        <v>1214</v>
      </c>
      <c r="D5423" s="162" t="s">
        <v>12</v>
      </c>
      <c r="E5423" s="163">
        <f>ROUND(220/(1+113.69%),4)</f>
        <v>102.9529</v>
      </c>
      <c r="F5423" s="31">
        <v>22.895</v>
      </c>
      <c r="G5423" s="54">
        <f>IF(ISNUMBER(F5423),E5423*F5423,"")</f>
        <v>2357.1066455</v>
      </c>
      <c r="H5423" s="39">
        <f>SUM(G5423:G5423)</f>
        <v>2357.1066455</v>
      </c>
      <c r="I5423" s="40"/>
      <c r="J5423" s="155">
        <v>0</v>
      </c>
    </row>
    <row r="5424" spans="1:10" hidden="1" x14ac:dyDescent="0.25">
      <c r="A5424" s="195"/>
      <c r="B5424" s="187"/>
      <c r="C5424" s="169"/>
      <c r="D5424" s="169"/>
      <c r="E5424" s="170"/>
      <c r="F5424" s="54" t="s">
        <v>558</v>
      </c>
      <c r="G5424" s="54" t="str">
        <f>IF(ISNUMBER(F5424),E5424*F5424,"")</f>
        <v/>
      </c>
      <c r="H5424" s="73"/>
      <c r="I5424" s="74"/>
      <c r="J5424" s="155">
        <v>0</v>
      </c>
    </row>
    <row r="5425" spans="1:10" ht="25.5" hidden="1" x14ac:dyDescent="0.25">
      <c r="A5425" s="195"/>
      <c r="B5425" s="187"/>
      <c r="C5425" s="48" t="s">
        <v>820</v>
      </c>
      <c r="D5425" s="169"/>
      <c r="E5425" s="170"/>
      <c r="F5425" s="54" t="s">
        <v>558</v>
      </c>
      <c r="G5425" s="54" t="str">
        <f>IF(ISNUMBER(F5425),E5425*F5425,"")</f>
        <v/>
      </c>
      <c r="H5425" s="73"/>
      <c r="I5425" s="74"/>
      <c r="J5425" s="155">
        <v>0</v>
      </c>
    </row>
    <row r="5426" spans="1:10" ht="15.75" hidden="1" thickBot="1" x14ac:dyDescent="0.3">
      <c r="A5426" s="196"/>
      <c r="B5426" s="188"/>
      <c r="C5426" s="55"/>
      <c r="D5426" s="165"/>
      <c r="E5426" s="66"/>
      <c r="F5426" s="76" t="s">
        <v>558</v>
      </c>
      <c r="G5426" s="76" t="str">
        <f>IF(ISNUMBER(F5426),E5426*F5426,"")</f>
        <v/>
      </c>
      <c r="H5426" s="77"/>
      <c r="I5426" s="74"/>
      <c r="J5426" s="155">
        <v>0</v>
      </c>
    </row>
    <row r="5427" spans="1:10" ht="15.75" hidden="1" thickBot="1" x14ac:dyDescent="0.3">
      <c r="A5427" s="189" t="s">
        <v>5144</v>
      </c>
      <c r="B5427" s="186" t="str">
        <f>INDEX(Orçamentária!A:B,MATCH(Composições!A5427,Orçamentária!A:A,0),2)</f>
        <v>Eletricista Plantonista (noturno)</v>
      </c>
      <c r="C5427" s="41"/>
      <c r="D5427" s="26" t="str">
        <f>TRIM(INDEX(Orçamentária!C:C,MATCH(Composições!A5427,Orçamentária!A:A,0),1))</f>
        <v>Profissional</v>
      </c>
      <c r="E5427" s="27"/>
      <c r="F5427" s="49" t="s">
        <v>558</v>
      </c>
      <c r="G5427" s="28" t="str">
        <f>IF(ISNUMBER(F5427),E5427*F5427,"")</f>
        <v/>
      </c>
      <c r="H5427" s="29"/>
      <c r="I5427" s="30"/>
      <c r="J5427" s="155">
        <v>0</v>
      </c>
    </row>
    <row r="5428" spans="1:10" hidden="1" x14ac:dyDescent="0.25">
      <c r="A5428" s="195"/>
      <c r="B5428" s="187"/>
      <c r="C5428" s="169"/>
      <c r="D5428" s="169"/>
      <c r="E5428" s="170"/>
      <c r="F5428" s="54" t="s">
        <v>558</v>
      </c>
      <c r="G5428" s="54" t="str">
        <f>IF(ISNUMBER(F5428),E5428*F5428,"")</f>
        <v/>
      </c>
      <c r="H5428" s="73"/>
      <c r="I5428" s="74"/>
      <c r="J5428" s="155">
        <v>0</v>
      </c>
    </row>
    <row r="5429" spans="1:10" hidden="1" x14ac:dyDescent="0.25">
      <c r="A5429" s="195"/>
      <c r="B5429" s="187"/>
      <c r="C5429" s="36" t="s">
        <v>1214</v>
      </c>
      <c r="D5429" s="162" t="s">
        <v>12</v>
      </c>
      <c r="E5429" s="163">
        <f>ROUND(220/(1+113.69%),4)</f>
        <v>102.9529</v>
      </c>
      <c r="F5429" s="31">
        <v>22.895</v>
      </c>
      <c r="G5429" s="54">
        <f>IF(ISNUMBER(F5429),E5429*F5429,"")</f>
        <v>2357.1066455</v>
      </c>
      <c r="H5429" s="39">
        <f>SUM(G5429:G5429)</f>
        <v>2357.1066455</v>
      </c>
      <c r="I5429" s="40"/>
      <c r="J5429" s="155">
        <v>0</v>
      </c>
    </row>
    <row r="5430" spans="1:10" hidden="1" x14ac:dyDescent="0.25">
      <c r="A5430" s="195"/>
      <c r="B5430" s="187"/>
      <c r="C5430" s="169"/>
      <c r="D5430" s="169"/>
      <c r="E5430" s="170"/>
      <c r="F5430" s="54" t="s">
        <v>558</v>
      </c>
      <c r="G5430" s="54" t="str">
        <f>IF(ISNUMBER(F5430),E5430*F5430,"")</f>
        <v/>
      </c>
      <c r="H5430" s="73"/>
      <c r="I5430" s="74"/>
      <c r="J5430" s="155">
        <v>0</v>
      </c>
    </row>
    <row r="5431" spans="1:10" ht="25.5" hidden="1" x14ac:dyDescent="0.25">
      <c r="A5431" s="195"/>
      <c r="B5431" s="187"/>
      <c r="C5431" s="48" t="s">
        <v>820</v>
      </c>
      <c r="D5431" s="169"/>
      <c r="E5431" s="170"/>
      <c r="F5431" s="54" t="s">
        <v>558</v>
      </c>
      <c r="G5431" s="54" t="str">
        <f>IF(ISNUMBER(F5431),E5431*F5431,"")</f>
        <v/>
      </c>
      <c r="H5431" s="73"/>
      <c r="I5431" s="74"/>
      <c r="J5431" s="155">
        <v>0</v>
      </c>
    </row>
    <row r="5432" spans="1:10" ht="15.75" hidden="1" thickBot="1" x14ac:dyDescent="0.3">
      <c r="A5432" s="196"/>
      <c r="B5432" s="188"/>
      <c r="C5432" s="55"/>
      <c r="D5432" s="165"/>
      <c r="E5432" s="66"/>
      <c r="F5432" s="76" t="s">
        <v>558</v>
      </c>
      <c r="G5432" s="76" t="str">
        <f>IF(ISNUMBER(F5432),E5432*F5432,"")</f>
        <v/>
      </c>
      <c r="H5432" s="77"/>
      <c r="I5432" s="74"/>
      <c r="J5432" s="155">
        <v>0</v>
      </c>
    </row>
    <row r="5433" spans="1:10" ht="15.75" hidden="1" thickBot="1" x14ac:dyDescent="0.3">
      <c r="A5433" s="189" t="s">
        <v>5145</v>
      </c>
      <c r="B5433" s="186" t="str">
        <f>INDEX(Orçamentária!A:B,MATCH(Composições!A5433,Orçamentária!A:A,0),2)</f>
        <v>Eletricista Plantonista – Áreas Restritas (diurno)</v>
      </c>
      <c r="C5433" s="41"/>
      <c r="D5433" s="26" t="str">
        <f>TRIM(INDEX(Orçamentária!C:C,MATCH(Composições!A5433,Orçamentária!A:A,0),1))</f>
        <v>Profissional</v>
      </c>
      <c r="E5433" s="27"/>
      <c r="F5433" s="49" t="s">
        <v>558</v>
      </c>
      <c r="G5433" s="28" t="str">
        <f>IF(ISNUMBER(F5433),E5433*F5433,"")</f>
        <v/>
      </c>
      <c r="H5433" s="29"/>
      <c r="I5433" s="30"/>
      <c r="J5433" s="155">
        <v>0</v>
      </c>
    </row>
    <row r="5434" spans="1:10" hidden="1" x14ac:dyDescent="0.25">
      <c r="A5434" s="195"/>
      <c r="B5434" s="187"/>
      <c r="C5434" s="169"/>
      <c r="D5434" s="169"/>
      <c r="E5434" s="170"/>
      <c r="F5434" s="54" t="s">
        <v>558</v>
      </c>
      <c r="G5434" s="54" t="str">
        <f>IF(ISNUMBER(F5434),E5434*F5434,"")</f>
        <v/>
      </c>
      <c r="H5434" s="73"/>
      <c r="I5434" s="74"/>
      <c r="J5434" s="155">
        <v>0</v>
      </c>
    </row>
    <row r="5435" spans="1:10" hidden="1" x14ac:dyDescent="0.25">
      <c r="A5435" s="195"/>
      <c r="B5435" s="187"/>
      <c r="C5435" s="36" t="s">
        <v>1214</v>
      </c>
      <c r="D5435" s="162" t="s">
        <v>12</v>
      </c>
      <c r="E5435" s="163">
        <f>ROUND(220/(1+113.69%),4)</f>
        <v>102.9529</v>
      </c>
      <c r="F5435" s="31">
        <v>22.895</v>
      </c>
      <c r="G5435" s="54">
        <f>IF(ISNUMBER(F5435),E5435*F5435,"")</f>
        <v>2357.1066455</v>
      </c>
      <c r="H5435" s="39">
        <f>SUM(G5435:G5435)</f>
        <v>2357.1066455</v>
      </c>
      <c r="I5435" s="40"/>
      <c r="J5435" s="155">
        <v>0</v>
      </c>
    </row>
    <row r="5436" spans="1:10" hidden="1" x14ac:dyDescent="0.25">
      <c r="A5436" s="195"/>
      <c r="B5436" s="187"/>
      <c r="C5436" s="169"/>
      <c r="D5436" s="169"/>
      <c r="E5436" s="170"/>
      <c r="F5436" s="54" t="s">
        <v>558</v>
      </c>
      <c r="G5436" s="54" t="str">
        <f>IF(ISNUMBER(F5436),E5436*F5436,"")</f>
        <v/>
      </c>
      <c r="H5436" s="73"/>
      <c r="I5436" s="74"/>
      <c r="J5436" s="155">
        <v>0</v>
      </c>
    </row>
    <row r="5437" spans="1:10" ht="25.5" hidden="1" x14ac:dyDescent="0.25">
      <c r="A5437" s="195"/>
      <c r="B5437" s="187"/>
      <c r="C5437" s="48" t="s">
        <v>820</v>
      </c>
      <c r="D5437" s="169"/>
      <c r="E5437" s="170"/>
      <c r="F5437" s="54" t="s">
        <v>558</v>
      </c>
      <c r="G5437" s="54" t="str">
        <f>IF(ISNUMBER(F5437),E5437*F5437,"")</f>
        <v/>
      </c>
      <c r="H5437" s="73"/>
      <c r="I5437" s="74"/>
      <c r="J5437" s="155">
        <v>0</v>
      </c>
    </row>
    <row r="5438" spans="1:10" ht="15.75" hidden="1" thickBot="1" x14ac:dyDescent="0.3">
      <c r="A5438" s="196"/>
      <c r="B5438" s="188"/>
      <c r="C5438" s="55"/>
      <c r="D5438" s="165"/>
      <c r="E5438" s="66"/>
      <c r="F5438" s="76" t="s">
        <v>558</v>
      </c>
      <c r="G5438" s="76" t="str">
        <f>IF(ISNUMBER(F5438),E5438*F5438,"")</f>
        <v/>
      </c>
      <c r="H5438" s="77"/>
      <c r="I5438" s="74"/>
      <c r="J5438" s="155">
        <v>0</v>
      </c>
    </row>
    <row r="5439" spans="1:10" ht="15.75" hidden="1" thickBot="1" x14ac:dyDescent="0.3">
      <c r="A5439" s="189" t="s">
        <v>5146</v>
      </c>
      <c r="B5439" s="186" t="str">
        <f>INDEX(Orçamentária!A:B,MATCH(Composições!A5439,Orçamentária!A:A,0),2)</f>
        <v>Eletricista Plantonista – Áreas Restritas (noturno)</v>
      </c>
      <c r="C5439" s="41"/>
      <c r="D5439" s="26" t="str">
        <f>TRIM(INDEX(Orçamentária!C:C,MATCH(Composições!A5439,Orçamentária!A:A,0),1))</f>
        <v>Profissional</v>
      </c>
      <c r="E5439" s="27"/>
      <c r="F5439" s="49" t="s">
        <v>558</v>
      </c>
      <c r="G5439" s="28" t="str">
        <f>IF(ISNUMBER(F5439),E5439*F5439,"")</f>
        <v/>
      </c>
      <c r="H5439" s="29"/>
      <c r="I5439" s="30"/>
      <c r="J5439" s="155">
        <v>0</v>
      </c>
    </row>
    <row r="5440" spans="1:10" hidden="1" x14ac:dyDescent="0.25">
      <c r="A5440" s="195"/>
      <c r="B5440" s="187"/>
      <c r="C5440" s="169"/>
      <c r="D5440" s="169"/>
      <c r="E5440" s="170"/>
      <c r="F5440" s="54" t="s">
        <v>558</v>
      </c>
      <c r="G5440" s="54" t="str">
        <f>IF(ISNUMBER(F5440),E5440*F5440,"")</f>
        <v/>
      </c>
      <c r="H5440" s="73"/>
      <c r="I5440" s="74"/>
      <c r="J5440" s="155">
        <v>0</v>
      </c>
    </row>
    <row r="5441" spans="1:10" hidden="1" x14ac:dyDescent="0.25">
      <c r="A5441" s="195"/>
      <c r="B5441" s="187"/>
      <c r="C5441" s="36" t="s">
        <v>1214</v>
      </c>
      <c r="D5441" s="162" t="s">
        <v>12</v>
      </c>
      <c r="E5441" s="163">
        <f>ROUND(220/(1+113.69%),4)</f>
        <v>102.9529</v>
      </c>
      <c r="F5441" s="31">
        <v>22.895</v>
      </c>
      <c r="G5441" s="54">
        <f>IF(ISNUMBER(F5441),E5441*F5441,"")</f>
        <v>2357.1066455</v>
      </c>
      <c r="H5441" s="39">
        <f>SUM(G5441:G5441)</f>
        <v>2357.1066455</v>
      </c>
      <c r="I5441" s="40"/>
      <c r="J5441" s="155">
        <v>0</v>
      </c>
    </row>
    <row r="5442" spans="1:10" hidden="1" x14ac:dyDescent="0.25">
      <c r="A5442" s="195"/>
      <c r="B5442" s="187"/>
      <c r="C5442" s="169"/>
      <c r="D5442" s="169"/>
      <c r="E5442" s="170"/>
      <c r="F5442" s="54" t="s">
        <v>558</v>
      </c>
      <c r="G5442" s="54" t="str">
        <f>IF(ISNUMBER(F5442),E5442*F5442,"")</f>
        <v/>
      </c>
      <c r="H5442" s="73"/>
      <c r="I5442" s="74"/>
      <c r="J5442" s="155">
        <v>0</v>
      </c>
    </row>
    <row r="5443" spans="1:10" ht="25.5" hidden="1" x14ac:dyDescent="0.25">
      <c r="A5443" s="195"/>
      <c r="B5443" s="187"/>
      <c r="C5443" s="48" t="s">
        <v>820</v>
      </c>
      <c r="D5443" s="169"/>
      <c r="E5443" s="170"/>
      <c r="F5443" s="54" t="s">
        <v>558</v>
      </c>
      <c r="G5443" s="54" t="str">
        <f>IF(ISNUMBER(F5443),E5443*F5443,"")</f>
        <v/>
      </c>
      <c r="H5443" s="73"/>
      <c r="I5443" s="74"/>
      <c r="J5443" s="155">
        <v>0</v>
      </c>
    </row>
    <row r="5444" spans="1:10" ht="15.75" hidden="1" thickBot="1" x14ac:dyDescent="0.3">
      <c r="A5444" s="196"/>
      <c r="B5444" s="188"/>
      <c r="C5444" s="55"/>
      <c r="D5444" s="165"/>
      <c r="E5444" s="66"/>
      <c r="F5444" s="76" t="s">
        <v>558</v>
      </c>
      <c r="G5444" s="76" t="str">
        <f>IF(ISNUMBER(F5444),E5444*F5444,"")</f>
        <v/>
      </c>
      <c r="H5444" s="77"/>
      <c r="I5444" s="74"/>
      <c r="J5444" s="155">
        <v>0</v>
      </c>
    </row>
    <row r="5445" spans="1:10" ht="15.75" hidden="1" thickBot="1" x14ac:dyDescent="0.3">
      <c r="A5445" s="180" t="s">
        <v>5212</v>
      </c>
      <c r="B5445" s="186" t="str">
        <f>INDEX(Orçamentária!A:B,MATCH(Composições!A5445,Orçamentária!A:A,0),2)</f>
        <v>Chapa de aço galvanizado</v>
      </c>
      <c r="C5445" s="41"/>
      <c r="D5445" s="26" t="str">
        <f>TRIM(INDEX(Orçamentária!C:C,MATCH(Composições!A5445,Orçamentária!A:A,0),1))</f>
        <v>kg</v>
      </c>
      <c r="E5445" s="27"/>
      <c r="F5445" s="49" t="s">
        <v>558</v>
      </c>
      <c r="G5445" s="28" t="str">
        <f>IF(ISNUMBER(F5445),E5445*F5445,"")</f>
        <v/>
      </c>
      <c r="H5445" s="29"/>
      <c r="I5445" s="30"/>
      <c r="J5445" s="155">
        <v>0</v>
      </c>
    </row>
    <row r="5446" spans="1:10" hidden="1" x14ac:dyDescent="0.25">
      <c r="A5446" s="181"/>
      <c r="B5446" s="187"/>
      <c r="C5446" s="169"/>
      <c r="D5446" s="169"/>
      <c r="E5446" s="170"/>
      <c r="F5446" s="54" t="s">
        <v>558</v>
      </c>
      <c r="G5446" s="54" t="str">
        <f>IF(ISNUMBER(F5446),E5446*F5446,"")</f>
        <v/>
      </c>
      <c r="H5446" s="73"/>
      <c r="I5446" s="74"/>
      <c r="J5446" s="155">
        <v>0</v>
      </c>
    </row>
    <row r="5447" spans="1:10" ht="25.5" hidden="1" x14ac:dyDescent="0.25">
      <c r="A5447" s="181"/>
      <c r="B5447" s="187"/>
      <c r="C5447" s="36" t="s">
        <v>3338</v>
      </c>
      <c r="D5447" s="162" t="s">
        <v>42</v>
      </c>
      <c r="E5447" s="163">
        <v>1</v>
      </c>
      <c r="F5447" s="31">
        <v>14.25</v>
      </c>
      <c r="G5447" s="54">
        <f>IF(ISNUMBER(F5447),E5447*F5447,"")</f>
        <v>14.25</v>
      </c>
      <c r="H5447" s="39">
        <f>SUM(G5447:G5447)</f>
        <v>14.25</v>
      </c>
      <c r="I5447" s="40"/>
      <c r="J5447" s="155">
        <v>0</v>
      </c>
    </row>
    <row r="5448" spans="1:10" ht="15.75" hidden="1" thickBot="1" x14ac:dyDescent="0.3">
      <c r="A5448" s="182"/>
      <c r="B5448" s="188"/>
      <c r="C5448" s="55"/>
      <c r="D5448" s="165"/>
      <c r="E5448" s="66"/>
      <c r="F5448" s="76" t="s">
        <v>558</v>
      </c>
      <c r="G5448" s="76" t="str">
        <f>IF(ISNUMBER(F5448),E5448*F5448,"")</f>
        <v/>
      </c>
      <c r="H5448" s="77"/>
      <c r="I5448" s="74"/>
      <c r="J5448" s="155">
        <v>0</v>
      </c>
    </row>
    <row r="5449" spans="1:10" ht="15.75" hidden="1" thickBot="1" x14ac:dyDescent="0.3">
      <c r="A5449" s="180" t="s">
        <v>5218</v>
      </c>
      <c r="B5449" s="186" t="str">
        <f>INDEX(Orçamentária!A:B,MATCH(Composições!A5449,Orçamentária!A:A,0),2)</f>
        <v>Perfil de aço</v>
      </c>
      <c r="C5449" s="41"/>
      <c r="D5449" s="26" t="str">
        <f>TRIM(INDEX(Orçamentária!C:C,MATCH(Composições!A5449,Orçamentária!A:A,0),1))</f>
        <v>kg</v>
      </c>
      <c r="E5449" s="27"/>
      <c r="F5449" s="49" t="s">
        <v>558</v>
      </c>
      <c r="G5449" s="28" t="str">
        <f>IF(ISNUMBER(F5449),E5449*F5449,"")</f>
        <v/>
      </c>
      <c r="H5449" s="29"/>
      <c r="I5449" s="30"/>
      <c r="J5449" s="155">
        <v>0</v>
      </c>
    </row>
    <row r="5450" spans="1:10" hidden="1" x14ac:dyDescent="0.25">
      <c r="A5450" s="181"/>
      <c r="B5450" s="187"/>
      <c r="C5450" s="169"/>
      <c r="D5450" s="169"/>
      <c r="E5450" s="170"/>
      <c r="F5450" s="54" t="s">
        <v>558</v>
      </c>
      <c r="G5450" s="54" t="str">
        <f>IF(ISNUMBER(F5450),E5450*F5450,"")</f>
        <v/>
      </c>
      <c r="H5450" s="73"/>
      <c r="I5450" s="74"/>
      <c r="J5450" s="155">
        <v>0</v>
      </c>
    </row>
    <row r="5451" spans="1:10" ht="25.5" hidden="1" x14ac:dyDescent="0.25">
      <c r="A5451" s="181"/>
      <c r="B5451" s="187"/>
      <c r="C5451" s="36" t="s">
        <v>3784</v>
      </c>
      <c r="D5451" s="162" t="s">
        <v>42</v>
      </c>
      <c r="E5451" s="163">
        <v>1</v>
      </c>
      <c r="F5451" s="31" t="s">
        <v>558</v>
      </c>
      <c r="G5451" s="54" t="str">
        <f>IF(ISNUMBER(F5451),E5451*F5451,"")</f>
        <v/>
      </c>
      <c r="H5451" s="39">
        <f>SUM(G5451:G5451)</f>
        <v>0</v>
      </c>
      <c r="I5451" s="40"/>
      <c r="J5451" s="155">
        <v>0</v>
      </c>
    </row>
    <row r="5452" spans="1:10" ht="15.75" hidden="1" thickBot="1" x14ac:dyDescent="0.3">
      <c r="A5452" s="182"/>
      <c r="B5452" s="188"/>
      <c r="C5452" s="55"/>
      <c r="D5452" s="165"/>
      <c r="E5452" s="66"/>
      <c r="F5452" s="76" t="s">
        <v>558</v>
      </c>
      <c r="G5452" s="76" t="str">
        <f>IF(ISNUMBER(F5452),E5452*F5452,"")</f>
        <v/>
      </c>
      <c r="H5452" s="77"/>
      <c r="I5452" s="74"/>
      <c r="J5452" s="155">
        <v>0</v>
      </c>
    </row>
    <row r="5453" spans="1:10" ht="15.75" hidden="1" thickBot="1" x14ac:dyDescent="0.3">
      <c r="A5453" s="180" t="s">
        <v>5264</v>
      </c>
      <c r="B5453" s="186" t="str">
        <f>INDEX(Orçamentária!A:B,MATCH(Composições!A5453,Orçamentária!A:A,0),2)</f>
        <v>Condulete de alumínio de 3/4”</v>
      </c>
      <c r="C5453" s="41"/>
      <c r="D5453" s="26" t="str">
        <f>TRIM(INDEX(Orçamentária!C:C,MATCH(Composições!A5453,Orçamentária!A:A,0),1))</f>
        <v>un</v>
      </c>
      <c r="E5453" s="27"/>
      <c r="F5453" s="49" t="s">
        <v>558</v>
      </c>
      <c r="G5453" s="28" t="str">
        <f>IF(ISNUMBER(F5453),E5453*F5453,"")</f>
        <v/>
      </c>
      <c r="H5453" s="29"/>
      <c r="I5453" s="30"/>
      <c r="J5453" s="155">
        <v>0</v>
      </c>
    </row>
    <row r="5454" spans="1:10" hidden="1" x14ac:dyDescent="0.25">
      <c r="A5454" s="181"/>
      <c r="B5454" s="187"/>
      <c r="C5454" s="169"/>
      <c r="D5454" s="169"/>
      <c r="E5454" s="170"/>
      <c r="F5454" s="54" t="s">
        <v>558</v>
      </c>
      <c r="G5454" s="54" t="str">
        <f>IF(ISNUMBER(F5454),E5454*F5454,"")</f>
        <v/>
      </c>
      <c r="H5454" s="73"/>
      <c r="I5454" s="74"/>
      <c r="J5454" s="155">
        <v>0</v>
      </c>
    </row>
    <row r="5455" spans="1:10" ht="25.5" hidden="1" x14ac:dyDescent="0.25">
      <c r="A5455" s="181"/>
      <c r="B5455" s="187"/>
      <c r="C5455" s="36" t="s">
        <v>3352</v>
      </c>
      <c r="D5455" s="162" t="s">
        <v>20</v>
      </c>
      <c r="E5455" s="163">
        <v>1</v>
      </c>
      <c r="F5455" s="31">
        <v>6.08</v>
      </c>
      <c r="G5455" s="54">
        <f>IF(ISNUMBER(F5455),E5455*F5455,"")</f>
        <v>6.08</v>
      </c>
      <c r="H5455" s="39">
        <f>SUM(G5455:G5455)</f>
        <v>6.08</v>
      </c>
      <c r="I5455" s="40"/>
      <c r="J5455" s="155">
        <v>0</v>
      </c>
    </row>
    <row r="5456" spans="1:10" ht="15.75" hidden="1" thickBot="1" x14ac:dyDescent="0.3">
      <c r="A5456" s="182"/>
      <c r="B5456" s="188"/>
      <c r="C5456" s="55"/>
      <c r="D5456" s="165"/>
      <c r="E5456" s="66"/>
      <c r="F5456" s="76" t="s">
        <v>558</v>
      </c>
      <c r="G5456" s="76" t="str">
        <f>IF(ISNUMBER(F5456),E5456*F5456,"")</f>
        <v/>
      </c>
      <c r="H5456" s="77"/>
      <c r="I5456" s="74"/>
      <c r="J5456" s="155">
        <v>0</v>
      </c>
    </row>
    <row r="5457" spans="1:10" ht="15.75" hidden="1" thickBot="1" x14ac:dyDescent="0.3">
      <c r="A5457" s="180" t="s">
        <v>5265</v>
      </c>
      <c r="B5457" s="186" t="str">
        <f>INDEX(Orçamentária!A:B,MATCH(Composições!A5457,Orçamentária!A:A,0),2)</f>
        <v>Condulete de alumínio de 1”</v>
      </c>
      <c r="C5457" s="41"/>
      <c r="D5457" s="26" t="str">
        <f>TRIM(INDEX(Orçamentária!C:C,MATCH(Composições!A5457,Orçamentária!A:A,0),1))</f>
        <v>un</v>
      </c>
      <c r="E5457" s="27"/>
      <c r="F5457" s="49" t="s">
        <v>558</v>
      </c>
      <c r="G5457" s="28" t="str">
        <f>IF(ISNUMBER(F5457),E5457*F5457,"")</f>
        <v/>
      </c>
      <c r="H5457" s="29"/>
      <c r="I5457" s="30"/>
      <c r="J5457" s="155">
        <v>0</v>
      </c>
    </row>
    <row r="5458" spans="1:10" hidden="1" x14ac:dyDescent="0.25">
      <c r="A5458" s="181"/>
      <c r="B5458" s="187"/>
      <c r="C5458" s="169"/>
      <c r="D5458" s="169"/>
      <c r="E5458" s="170"/>
      <c r="F5458" s="54" t="s">
        <v>558</v>
      </c>
      <c r="G5458" s="54" t="str">
        <f>IF(ISNUMBER(F5458),E5458*F5458,"")</f>
        <v/>
      </c>
      <c r="H5458" s="73"/>
      <c r="I5458" s="74"/>
      <c r="J5458" s="155">
        <v>0</v>
      </c>
    </row>
    <row r="5459" spans="1:10" ht="25.5" hidden="1" x14ac:dyDescent="0.25">
      <c r="A5459" s="181"/>
      <c r="B5459" s="187"/>
      <c r="C5459" s="36" t="s">
        <v>3350</v>
      </c>
      <c r="D5459" s="162" t="s">
        <v>20</v>
      </c>
      <c r="E5459" s="163">
        <v>1</v>
      </c>
      <c r="F5459" s="31">
        <v>10.2125</v>
      </c>
      <c r="G5459" s="54">
        <f>IF(ISNUMBER(F5459),E5459*F5459,"")</f>
        <v>10.2125</v>
      </c>
      <c r="H5459" s="39">
        <f>SUM(G5459:G5459)</f>
        <v>10.2125</v>
      </c>
      <c r="I5459" s="40"/>
      <c r="J5459" s="155">
        <v>0</v>
      </c>
    </row>
    <row r="5460" spans="1:10" ht="15.75" hidden="1" thickBot="1" x14ac:dyDescent="0.3">
      <c r="A5460" s="182"/>
      <c r="B5460" s="188"/>
      <c r="C5460" s="55"/>
      <c r="D5460" s="165"/>
      <c r="E5460" s="66"/>
      <c r="F5460" s="76" t="s">
        <v>558</v>
      </c>
      <c r="G5460" s="76" t="str">
        <f>IF(ISNUMBER(F5460),E5460*F5460,"")</f>
        <v/>
      </c>
      <c r="H5460" s="77"/>
      <c r="I5460" s="74"/>
      <c r="J5460" s="155">
        <v>0</v>
      </c>
    </row>
    <row r="5461" spans="1:10" ht="15.75" hidden="1" thickBot="1" x14ac:dyDescent="0.3">
      <c r="A5461" s="180" t="s">
        <v>5266</v>
      </c>
      <c r="B5461" s="186" t="str">
        <f>INDEX(Orçamentária!A:B,MATCH(Composições!A5461,Orçamentária!A:A,0),2)</f>
        <v>Condulete de alumínio de 1 1/4”</v>
      </c>
      <c r="C5461" s="41"/>
      <c r="D5461" s="26" t="str">
        <f>TRIM(INDEX(Orçamentária!C:C,MATCH(Composições!A5461,Orçamentária!A:A,0),1))</f>
        <v>un</v>
      </c>
      <c r="E5461" s="27"/>
      <c r="F5461" s="49" t="s">
        <v>558</v>
      </c>
      <c r="G5461" s="28" t="str">
        <f>IF(ISNUMBER(F5461),E5461*F5461,"")</f>
        <v/>
      </c>
      <c r="H5461" s="29"/>
      <c r="I5461" s="30"/>
      <c r="J5461" s="155">
        <v>0</v>
      </c>
    </row>
    <row r="5462" spans="1:10" hidden="1" x14ac:dyDescent="0.25">
      <c r="A5462" s="181"/>
      <c r="B5462" s="187"/>
      <c r="C5462" s="169"/>
      <c r="D5462" s="169"/>
      <c r="E5462" s="170"/>
      <c r="F5462" s="54" t="s">
        <v>558</v>
      </c>
      <c r="G5462" s="54" t="str">
        <f>IF(ISNUMBER(F5462),E5462*F5462,"")</f>
        <v/>
      </c>
      <c r="H5462" s="73"/>
      <c r="I5462" s="74"/>
      <c r="J5462" s="155">
        <v>0</v>
      </c>
    </row>
    <row r="5463" spans="1:10" ht="25.5" hidden="1" x14ac:dyDescent="0.25">
      <c r="A5463" s="181"/>
      <c r="B5463" s="187"/>
      <c r="C5463" s="36" t="s">
        <v>3348</v>
      </c>
      <c r="D5463" s="162" t="s">
        <v>20</v>
      </c>
      <c r="E5463" s="163">
        <v>1</v>
      </c>
      <c r="F5463" s="31">
        <v>12.520999999999999</v>
      </c>
      <c r="G5463" s="54">
        <f>IF(ISNUMBER(F5463),E5463*F5463,"")</f>
        <v>12.520999999999999</v>
      </c>
      <c r="H5463" s="39">
        <f>SUM(G5463:G5463)</f>
        <v>12.520999999999999</v>
      </c>
      <c r="I5463" s="40"/>
      <c r="J5463" s="155">
        <v>0</v>
      </c>
    </row>
    <row r="5464" spans="1:10" ht="15.75" hidden="1" thickBot="1" x14ac:dyDescent="0.3">
      <c r="A5464" s="182"/>
      <c r="B5464" s="188"/>
      <c r="C5464" s="55"/>
      <c r="D5464" s="165"/>
      <c r="E5464" s="66"/>
      <c r="F5464" s="76" t="s">
        <v>558</v>
      </c>
      <c r="G5464" s="76" t="str">
        <f>IF(ISNUMBER(F5464),E5464*F5464,"")</f>
        <v/>
      </c>
      <c r="H5464" s="77"/>
      <c r="I5464" s="74"/>
      <c r="J5464" s="155">
        <v>0</v>
      </c>
    </row>
    <row r="5465" spans="1:10" ht="15.75" hidden="1" thickBot="1" x14ac:dyDescent="0.3">
      <c r="A5465" s="180" t="s">
        <v>5267</v>
      </c>
      <c r="B5465" s="186" t="str">
        <f>INDEX(Orçamentária!A:B,MATCH(Composições!A5465,Orçamentária!A:A,0),2)</f>
        <v>Condulete de alumínio de 1 1/2”</v>
      </c>
      <c r="C5465" s="41"/>
      <c r="D5465" s="26" t="str">
        <f>TRIM(INDEX(Orçamentária!C:C,MATCH(Composições!A5465,Orçamentária!A:A,0),1))</f>
        <v>un</v>
      </c>
      <c r="E5465" s="27"/>
      <c r="F5465" s="49" t="s">
        <v>558</v>
      </c>
      <c r="G5465" s="28" t="str">
        <f>IF(ISNUMBER(F5465),E5465*F5465,"")</f>
        <v/>
      </c>
      <c r="H5465" s="29"/>
      <c r="I5465" s="30"/>
      <c r="J5465" s="155">
        <v>0</v>
      </c>
    </row>
    <row r="5466" spans="1:10" hidden="1" x14ac:dyDescent="0.25">
      <c r="A5466" s="181"/>
      <c r="B5466" s="187"/>
      <c r="C5466" s="169"/>
      <c r="D5466" s="169"/>
      <c r="E5466" s="170"/>
      <c r="F5466" s="54" t="s">
        <v>558</v>
      </c>
      <c r="G5466" s="54" t="str">
        <f>IF(ISNUMBER(F5466),E5466*F5466,"")</f>
        <v/>
      </c>
      <c r="H5466" s="73"/>
      <c r="I5466" s="74"/>
      <c r="J5466" s="155">
        <v>0</v>
      </c>
    </row>
    <row r="5467" spans="1:10" ht="25.5" hidden="1" x14ac:dyDescent="0.25">
      <c r="A5467" s="181"/>
      <c r="B5467" s="187"/>
      <c r="C5467" s="36" t="s">
        <v>3349</v>
      </c>
      <c r="D5467" s="162" t="s">
        <v>20</v>
      </c>
      <c r="E5467" s="163">
        <v>1</v>
      </c>
      <c r="F5467" s="31">
        <v>16.634499999999999</v>
      </c>
      <c r="G5467" s="54">
        <f>IF(ISNUMBER(F5467),E5467*F5467,"")</f>
        <v>16.634499999999999</v>
      </c>
      <c r="H5467" s="39">
        <f>SUM(G5467:G5467)</f>
        <v>16.634499999999999</v>
      </c>
      <c r="I5467" s="40"/>
      <c r="J5467" s="155">
        <v>0</v>
      </c>
    </row>
    <row r="5468" spans="1:10" ht="15.75" hidden="1" thickBot="1" x14ac:dyDescent="0.3">
      <c r="A5468" s="182"/>
      <c r="B5468" s="188"/>
      <c r="C5468" s="55"/>
      <c r="D5468" s="165"/>
      <c r="E5468" s="66"/>
      <c r="F5468" s="76" t="s">
        <v>558</v>
      </c>
      <c r="G5468" s="76" t="str">
        <f>IF(ISNUMBER(F5468),E5468*F5468,"")</f>
        <v/>
      </c>
      <c r="H5468" s="77"/>
      <c r="I5468" s="74"/>
      <c r="J5468" s="155">
        <v>0</v>
      </c>
    </row>
    <row r="5469" spans="1:10" ht="15.75" hidden="1" thickBot="1" x14ac:dyDescent="0.3">
      <c r="A5469" s="180" t="s">
        <v>5268</v>
      </c>
      <c r="B5469" s="186" t="str">
        <f>INDEX(Orçamentária!A:B,MATCH(Composições!A5469,Orçamentária!A:A,0),2)</f>
        <v xml:space="preserve">Condulete de alumínio de 2” </v>
      </c>
      <c r="C5469" s="41"/>
      <c r="D5469" s="26" t="str">
        <f>TRIM(INDEX(Orçamentária!C:C,MATCH(Composições!A5469,Orçamentária!A:A,0),1))</f>
        <v>un</v>
      </c>
      <c r="E5469" s="27"/>
      <c r="F5469" s="49" t="s">
        <v>558</v>
      </c>
      <c r="G5469" s="28" t="str">
        <f>IF(ISNUMBER(F5469),E5469*F5469,"")</f>
        <v/>
      </c>
      <c r="H5469" s="29"/>
      <c r="I5469" s="30"/>
      <c r="J5469" s="155">
        <v>0</v>
      </c>
    </row>
    <row r="5470" spans="1:10" hidden="1" x14ac:dyDescent="0.25">
      <c r="A5470" s="181"/>
      <c r="B5470" s="187"/>
      <c r="C5470" s="169"/>
      <c r="D5470" s="169"/>
      <c r="E5470" s="170"/>
      <c r="F5470" s="54" t="s">
        <v>558</v>
      </c>
      <c r="G5470" s="54" t="str">
        <f>IF(ISNUMBER(F5470),E5470*F5470,"")</f>
        <v/>
      </c>
      <c r="H5470" s="73"/>
      <c r="I5470" s="74"/>
      <c r="J5470" s="155">
        <v>0</v>
      </c>
    </row>
    <row r="5471" spans="1:10" ht="25.5" hidden="1" x14ac:dyDescent="0.25">
      <c r="A5471" s="181"/>
      <c r="B5471" s="187"/>
      <c r="C5471" s="36" t="s">
        <v>3351</v>
      </c>
      <c r="D5471" s="162" t="s">
        <v>20</v>
      </c>
      <c r="E5471" s="163">
        <v>1</v>
      </c>
      <c r="F5471" s="31">
        <v>24.4055</v>
      </c>
      <c r="G5471" s="54">
        <f>IF(ISNUMBER(F5471),E5471*F5471,"")</f>
        <v>24.4055</v>
      </c>
      <c r="H5471" s="39">
        <f>SUM(G5471:G5471)</f>
        <v>24.4055</v>
      </c>
      <c r="I5471" s="40"/>
      <c r="J5471" s="155">
        <v>0</v>
      </c>
    </row>
    <row r="5472" spans="1:10" ht="15.75" hidden="1" thickBot="1" x14ac:dyDescent="0.3">
      <c r="A5472" s="182"/>
      <c r="B5472" s="188"/>
      <c r="C5472" s="55"/>
      <c r="D5472" s="165"/>
      <c r="E5472" s="66"/>
      <c r="F5472" s="76" t="s">
        <v>558</v>
      </c>
      <c r="G5472" s="76" t="str">
        <f>IF(ISNUMBER(F5472),E5472*F5472,"")</f>
        <v/>
      </c>
      <c r="H5472" s="77"/>
      <c r="I5472" s="74"/>
      <c r="J5472" s="155">
        <v>0</v>
      </c>
    </row>
    <row r="5473" spans="1:10" ht="15.75" hidden="1" thickBot="1" x14ac:dyDescent="0.3">
      <c r="A5473" s="180" t="s">
        <v>5270</v>
      </c>
      <c r="B5473" s="186" t="str">
        <f>INDEX(Orçamentária!A:B,MATCH(Composições!A5473,Orçamentária!A:A,0),2)</f>
        <v>Condulete de alumínio de 3”</v>
      </c>
      <c r="C5473" s="41"/>
      <c r="D5473" s="26" t="str">
        <f>TRIM(INDEX(Orçamentária!C:C,MATCH(Composições!A5473,Orçamentária!A:A,0),1))</f>
        <v>un</v>
      </c>
      <c r="E5473" s="27"/>
      <c r="F5473" s="49" t="s">
        <v>558</v>
      </c>
      <c r="G5473" s="28" t="str">
        <f>IF(ISNUMBER(F5473),E5473*F5473,"")</f>
        <v/>
      </c>
      <c r="H5473" s="29"/>
      <c r="I5473" s="30"/>
      <c r="J5473" s="155">
        <v>0</v>
      </c>
    </row>
    <row r="5474" spans="1:10" hidden="1" x14ac:dyDescent="0.25">
      <c r="A5474" s="181"/>
      <c r="B5474" s="187"/>
      <c r="C5474" s="169"/>
      <c r="D5474" s="169"/>
      <c r="E5474" s="170"/>
      <c r="F5474" s="54" t="s">
        <v>558</v>
      </c>
      <c r="G5474" s="54" t="str">
        <f>IF(ISNUMBER(F5474),E5474*F5474,"")</f>
        <v/>
      </c>
      <c r="H5474" s="73"/>
      <c r="I5474" s="74"/>
      <c r="J5474" s="155">
        <v>0</v>
      </c>
    </row>
    <row r="5475" spans="1:10" ht="25.5" hidden="1" x14ac:dyDescent="0.25">
      <c r="A5475" s="181"/>
      <c r="B5475" s="187"/>
      <c r="C5475" s="36" t="s">
        <v>3353</v>
      </c>
      <c r="D5475" s="162" t="s">
        <v>20</v>
      </c>
      <c r="E5475" s="163">
        <v>1</v>
      </c>
      <c r="F5475" s="31">
        <v>67.782499999999985</v>
      </c>
      <c r="G5475" s="54">
        <f>IF(ISNUMBER(F5475),E5475*F5475,"")</f>
        <v>67.782499999999985</v>
      </c>
      <c r="H5475" s="39">
        <f>SUM(G5475:G5475)</f>
        <v>67.782499999999985</v>
      </c>
      <c r="I5475" s="40"/>
      <c r="J5475" s="155">
        <v>0</v>
      </c>
    </row>
    <row r="5476" spans="1:10" ht="15.75" hidden="1" thickBot="1" x14ac:dyDescent="0.3">
      <c r="A5476" s="182"/>
      <c r="B5476" s="188"/>
      <c r="C5476" s="55"/>
      <c r="D5476" s="165"/>
      <c r="E5476" s="66"/>
      <c r="F5476" s="76" t="s">
        <v>558</v>
      </c>
      <c r="G5476" s="76" t="str">
        <f>IF(ISNUMBER(F5476),E5476*F5476,"")</f>
        <v/>
      </c>
      <c r="H5476" s="77"/>
      <c r="I5476" s="74"/>
      <c r="J5476" s="155">
        <v>0</v>
      </c>
    </row>
    <row r="5477" spans="1:10" ht="15.75" hidden="1" thickBot="1" x14ac:dyDescent="0.3">
      <c r="A5477" s="180" t="s">
        <v>5271</v>
      </c>
      <c r="B5477" s="186" t="str">
        <f>INDEX(Orçamentária!A:B,MATCH(Composições!A5477,Orçamentária!A:A,0),2)</f>
        <v>Condulete de alumínio de 4”</v>
      </c>
      <c r="C5477" s="41"/>
      <c r="D5477" s="26" t="str">
        <f>TRIM(INDEX(Orçamentária!C:C,MATCH(Composições!A5477,Orçamentária!A:A,0),1))</f>
        <v>un</v>
      </c>
      <c r="E5477" s="27"/>
      <c r="F5477" s="49" t="s">
        <v>558</v>
      </c>
      <c r="G5477" s="28" t="str">
        <f>IF(ISNUMBER(F5477),E5477*F5477,"")</f>
        <v/>
      </c>
      <c r="H5477" s="29"/>
      <c r="I5477" s="30"/>
      <c r="J5477" s="155">
        <v>0</v>
      </c>
    </row>
    <row r="5478" spans="1:10" hidden="1" x14ac:dyDescent="0.25">
      <c r="A5478" s="181"/>
      <c r="B5478" s="187"/>
      <c r="C5478" s="169"/>
      <c r="D5478" s="169"/>
      <c r="E5478" s="170"/>
      <c r="F5478" s="54" t="s">
        <v>558</v>
      </c>
      <c r="G5478" s="54" t="str">
        <f>IF(ISNUMBER(F5478),E5478*F5478,"")</f>
        <v/>
      </c>
      <c r="H5478" s="73"/>
      <c r="I5478" s="74"/>
      <c r="J5478" s="155">
        <v>0</v>
      </c>
    </row>
    <row r="5479" spans="1:10" ht="25.5" hidden="1" x14ac:dyDescent="0.25">
      <c r="A5479" s="181"/>
      <c r="B5479" s="187"/>
      <c r="C5479" s="36" t="s">
        <v>3347</v>
      </c>
      <c r="D5479" s="162" t="s">
        <v>20</v>
      </c>
      <c r="E5479" s="163">
        <v>1</v>
      </c>
      <c r="F5479" s="31">
        <v>124.41200000000001</v>
      </c>
      <c r="G5479" s="54">
        <f>IF(ISNUMBER(F5479),E5479*F5479,"")</f>
        <v>124.41200000000001</v>
      </c>
      <c r="H5479" s="39">
        <f>SUM(G5479:G5479)</f>
        <v>124.41200000000001</v>
      </c>
      <c r="I5479" s="40"/>
      <c r="J5479" s="155">
        <v>0</v>
      </c>
    </row>
    <row r="5480" spans="1:10" ht="15.75" hidden="1" thickBot="1" x14ac:dyDescent="0.3">
      <c r="A5480" s="182"/>
      <c r="B5480" s="188"/>
      <c r="C5480" s="55"/>
      <c r="D5480" s="165"/>
      <c r="E5480" s="66"/>
      <c r="F5480" s="76" t="s">
        <v>558</v>
      </c>
      <c r="G5480" s="76" t="str">
        <f>IF(ISNUMBER(F5480),E5480*F5480,"")</f>
        <v/>
      </c>
      <c r="H5480" s="77"/>
      <c r="I5480" s="74"/>
      <c r="J5480" s="155">
        <v>0</v>
      </c>
    </row>
    <row r="5481" spans="1:10" ht="15.75" hidden="1" thickBot="1" x14ac:dyDescent="0.3">
      <c r="A5481" s="180" t="s">
        <v>5285</v>
      </c>
      <c r="B5481" s="186" t="str">
        <f>INDEX(Orçamentária!A:B,MATCH(Composições!A5481,Orçamentária!A:A,0),2)</f>
        <v>Tampa para condulete de PVC</v>
      </c>
      <c r="C5481" s="41"/>
      <c r="D5481" s="26" t="str">
        <f>TRIM(INDEX(Orçamentária!C:C,MATCH(Composições!A5481,Orçamentária!A:A,0),1))</f>
        <v>un</v>
      </c>
      <c r="E5481" s="27"/>
      <c r="F5481" s="49" t="s">
        <v>558</v>
      </c>
      <c r="G5481" s="28" t="str">
        <f>IF(ISNUMBER(F5481),E5481*F5481,"")</f>
        <v/>
      </c>
      <c r="H5481" s="29"/>
      <c r="I5481" s="30"/>
      <c r="J5481" s="155">
        <v>0</v>
      </c>
    </row>
    <row r="5482" spans="1:10" hidden="1" x14ac:dyDescent="0.25">
      <c r="A5482" s="181"/>
      <c r="B5482" s="187"/>
      <c r="C5482" s="169"/>
      <c r="D5482" s="169"/>
      <c r="E5482" s="170"/>
      <c r="F5482" s="54" t="s">
        <v>558</v>
      </c>
      <c r="G5482" s="54" t="str">
        <f>IF(ISNUMBER(F5482),E5482*F5482,"")</f>
        <v/>
      </c>
      <c r="H5482" s="73"/>
      <c r="I5482" s="74"/>
      <c r="J5482" s="155">
        <v>0</v>
      </c>
    </row>
    <row r="5483" spans="1:10" hidden="1" x14ac:dyDescent="0.25">
      <c r="A5483" s="181"/>
      <c r="B5483" s="187"/>
      <c r="C5483" s="36" t="s">
        <v>3450</v>
      </c>
      <c r="D5483" s="162" t="s">
        <v>20</v>
      </c>
      <c r="E5483" s="163">
        <v>1</v>
      </c>
      <c r="F5483" s="31">
        <v>2.9830000000000001</v>
      </c>
      <c r="G5483" s="54">
        <f>IF(ISNUMBER(F5483),E5483*F5483,"")</f>
        <v>2.9830000000000001</v>
      </c>
      <c r="H5483" s="39">
        <f>SUM(G5483:G5483)</f>
        <v>2.9830000000000001</v>
      </c>
      <c r="I5483" s="40"/>
      <c r="J5483" s="155">
        <v>0</v>
      </c>
    </row>
    <row r="5484" spans="1:10" ht="15.75" hidden="1" thickBot="1" x14ac:dyDescent="0.3">
      <c r="A5484" s="182"/>
      <c r="B5484" s="188"/>
      <c r="C5484" s="55"/>
      <c r="D5484" s="165"/>
      <c r="E5484" s="66"/>
      <c r="F5484" s="76" t="s">
        <v>558</v>
      </c>
      <c r="G5484" s="76" t="str">
        <f>IF(ISNUMBER(F5484),E5484*F5484,"")</f>
        <v/>
      </c>
      <c r="H5484" s="77"/>
      <c r="I5484" s="74"/>
      <c r="J5484" s="155">
        <v>0</v>
      </c>
    </row>
    <row r="5485" spans="1:10" ht="15.75" hidden="1" thickBot="1" x14ac:dyDescent="0.3">
      <c r="A5485" s="180" t="s">
        <v>5287</v>
      </c>
      <c r="B5485" s="186" t="str">
        <f>INDEX(Orçamentária!A:B,MATCH(Composições!A5485,Orçamentária!A:A,0),2)</f>
        <v>Terminal de compressão 25 mm²</v>
      </c>
      <c r="C5485" s="41"/>
      <c r="D5485" s="26" t="str">
        <f>TRIM(INDEX(Orçamentária!C:C,MATCH(Composições!A5485,Orçamentária!A:A,0),1))</f>
        <v>un</v>
      </c>
      <c r="E5485" s="27"/>
      <c r="F5485" s="49" t="s">
        <v>558</v>
      </c>
      <c r="G5485" s="28" t="str">
        <f>IF(ISNUMBER(F5485),E5485*F5485,"")</f>
        <v/>
      </c>
      <c r="H5485" s="29"/>
      <c r="I5485" s="30"/>
      <c r="J5485" s="155">
        <v>0</v>
      </c>
    </row>
    <row r="5486" spans="1:10" hidden="1" x14ac:dyDescent="0.25">
      <c r="A5486" s="181"/>
      <c r="B5486" s="187"/>
      <c r="C5486" s="169"/>
      <c r="D5486" s="169"/>
      <c r="E5486" s="170"/>
      <c r="F5486" s="54" t="s">
        <v>558</v>
      </c>
      <c r="G5486" s="54" t="str">
        <f>IF(ISNUMBER(F5486),E5486*F5486,"")</f>
        <v/>
      </c>
      <c r="H5486" s="73"/>
      <c r="I5486" s="74"/>
      <c r="J5486" s="155">
        <v>0</v>
      </c>
    </row>
    <row r="5487" spans="1:10" ht="25.5" hidden="1" x14ac:dyDescent="0.25">
      <c r="A5487" s="181"/>
      <c r="B5487" s="187"/>
      <c r="C5487" s="36" t="s">
        <v>3463</v>
      </c>
      <c r="D5487" s="162" t="s">
        <v>20</v>
      </c>
      <c r="E5487" s="163">
        <v>1</v>
      </c>
      <c r="F5487" s="31">
        <v>2.2705000000000002</v>
      </c>
      <c r="G5487" s="54">
        <f>IF(ISNUMBER(F5487),E5487*F5487,"")</f>
        <v>2.2705000000000002</v>
      </c>
      <c r="H5487" s="39">
        <f>SUM(G5487:G5487)</f>
        <v>2.2705000000000002</v>
      </c>
      <c r="I5487" s="40"/>
      <c r="J5487" s="155">
        <v>0</v>
      </c>
    </row>
    <row r="5488" spans="1:10" ht="15.75" hidden="1" thickBot="1" x14ac:dyDescent="0.3">
      <c r="A5488" s="182"/>
      <c r="B5488" s="188"/>
      <c r="C5488" s="55"/>
      <c r="D5488" s="165"/>
      <c r="E5488" s="66"/>
      <c r="F5488" s="76" t="s">
        <v>558</v>
      </c>
      <c r="G5488" s="76" t="str">
        <f>IF(ISNUMBER(F5488),E5488*F5488,"")</f>
        <v/>
      </c>
      <c r="H5488" s="77"/>
      <c r="I5488" s="74"/>
      <c r="J5488" s="155">
        <v>0</v>
      </c>
    </row>
    <row r="5489" spans="1:10" ht="15.75" hidden="1" thickBot="1" x14ac:dyDescent="0.3">
      <c r="A5489" s="180" t="s">
        <v>5288</v>
      </c>
      <c r="B5489" s="186" t="str">
        <f>INDEX(Orçamentária!A:B,MATCH(Composições!A5489,Orçamentária!A:A,0),2)</f>
        <v>Terminal de compressão 35 mm²</v>
      </c>
      <c r="C5489" s="41"/>
      <c r="D5489" s="26" t="str">
        <f>TRIM(INDEX(Orçamentária!C:C,MATCH(Composições!A5489,Orçamentária!A:A,0),1))</f>
        <v>un</v>
      </c>
      <c r="E5489" s="27"/>
      <c r="F5489" s="49" t="s">
        <v>558</v>
      </c>
      <c r="G5489" s="28" t="str">
        <f>IF(ISNUMBER(F5489),E5489*F5489,"")</f>
        <v/>
      </c>
      <c r="H5489" s="29"/>
      <c r="I5489" s="30"/>
      <c r="J5489" s="155">
        <v>0</v>
      </c>
    </row>
    <row r="5490" spans="1:10" hidden="1" x14ac:dyDescent="0.25">
      <c r="A5490" s="181"/>
      <c r="B5490" s="187"/>
      <c r="C5490" s="169"/>
      <c r="D5490" s="169"/>
      <c r="E5490" s="170"/>
      <c r="F5490" s="54" t="s">
        <v>558</v>
      </c>
      <c r="G5490" s="54" t="str">
        <f>IF(ISNUMBER(F5490),E5490*F5490,"")</f>
        <v/>
      </c>
      <c r="H5490" s="73"/>
      <c r="I5490" s="74"/>
      <c r="J5490" s="155">
        <v>0</v>
      </c>
    </row>
    <row r="5491" spans="1:10" ht="25.5" hidden="1" x14ac:dyDescent="0.25">
      <c r="A5491" s="181"/>
      <c r="B5491" s="187"/>
      <c r="C5491" s="36" t="s">
        <v>3464</v>
      </c>
      <c r="D5491" s="162" t="s">
        <v>20</v>
      </c>
      <c r="E5491" s="163">
        <v>1</v>
      </c>
      <c r="F5491" s="31">
        <v>2.5649999999999999</v>
      </c>
      <c r="G5491" s="54">
        <f>IF(ISNUMBER(F5491),E5491*F5491,"")</f>
        <v>2.5649999999999999</v>
      </c>
      <c r="H5491" s="39">
        <f>SUM(G5491:G5491)</f>
        <v>2.5649999999999999</v>
      </c>
      <c r="I5491" s="40"/>
      <c r="J5491" s="155">
        <v>0</v>
      </c>
    </row>
    <row r="5492" spans="1:10" ht="15.75" hidden="1" thickBot="1" x14ac:dyDescent="0.3">
      <c r="A5492" s="182"/>
      <c r="B5492" s="188"/>
      <c r="C5492" s="55"/>
      <c r="D5492" s="165"/>
      <c r="E5492" s="66"/>
      <c r="F5492" s="76" t="s">
        <v>558</v>
      </c>
      <c r="G5492" s="76" t="str">
        <f>IF(ISNUMBER(F5492),E5492*F5492,"")</f>
        <v/>
      </c>
      <c r="H5492" s="77"/>
      <c r="I5492" s="74"/>
      <c r="J5492" s="155">
        <v>0</v>
      </c>
    </row>
    <row r="5493" spans="1:10" ht="15.75" hidden="1" thickBot="1" x14ac:dyDescent="0.3">
      <c r="A5493" s="180" t="s">
        <v>5289</v>
      </c>
      <c r="B5493" s="186" t="str">
        <f>INDEX(Orçamentária!A:B,MATCH(Composições!A5493,Orçamentária!A:A,0),2)</f>
        <v>Terminal de compressão 50 mm²</v>
      </c>
      <c r="C5493" s="41"/>
      <c r="D5493" s="26" t="str">
        <f>TRIM(INDEX(Orçamentária!C:C,MATCH(Composições!A5493,Orçamentária!A:A,0),1))</f>
        <v>un</v>
      </c>
      <c r="E5493" s="27"/>
      <c r="F5493" s="49" t="s">
        <v>558</v>
      </c>
      <c r="G5493" s="28" t="str">
        <f>IF(ISNUMBER(F5493),E5493*F5493,"")</f>
        <v/>
      </c>
      <c r="H5493" s="29"/>
      <c r="I5493" s="30"/>
      <c r="J5493" s="155">
        <v>0</v>
      </c>
    </row>
    <row r="5494" spans="1:10" hidden="1" x14ac:dyDescent="0.25">
      <c r="A5494" s="181"/>
      <c r="B5494" s="187"/>
      <c r="C5494" s="169"/>
      <c r="D5494" s="169"/>
      <c r="E5494" s="170"/>
      <c r="F5494" s="54" t="s">
        <v>558</v>
      </c>
      <c r="G5494" s="54" t="str">
        <f>IF(ISNUMBER(F5494),E5494*F5494,"")</f>
        <v/>
      </c>
      <c r="H5494" s="73"/>
      <c r="I5494" s="74"/>
      <c r="J5494" s="155">
        <v>0</v>
      </c>
    </row>
    <row r="5495" spans="1:10" ht="25.5" hidden="1" x14ac:dyDescent="0.25">
      <c r="A5495" s="181"/>
      <c r="B5495" s="187"/>
      <c r="C5495" s="36" t="s">
        <v>3465</v>
      </c>
      <c r="D5495" s="162" t="s">
        <v>20</v>
      </c>
      <c r="E5495" s="163">
        <v>1</v>
      </c>
      <c r="F5495" s="31">
        <v>4.4459999999999997</v>
      </c>
      <c r="G5495" s="54">
        <f>IF(ISNUMBER(F5495),E5495*F5495,"")</f>
        <v>4.4459999999999997</v>
      </c>
      <c r="H5495" s="39">
        <f>SUM(G5495:G5495)</f>
        <v>4.4459999999999997</v>
      </c>
      <c r="I5495" s="40"/>
      <c r="J5495" s="155">
        <v>0</v>
      </c>
    </row>
    <row r="5496" spans="1:10" ht="15.75" hidden="1" thickBot="1" x14ac:dyDescent="0.3">
      <c r="A5496" s="182"/>
      <c r="B5496" s="188"/>
      <c r="C5496" s="55"/>
      <c r="D5496" s="165"/>
      <c r="E5496" s="66"/>
      <c r="F5496" s="76" t="s">
        <v>558</v>
      </c>
      <c r="G5496" s="76" t="str">
        <f>IF(ISNUMBER(F5496),E5496*F5496,"")</f>
        <v/>
      </c>
      <c r="H5496" s="77"/>
      <c r="I5496" s="74"/>
      <c r="J5496" s="155">
        <v>0</v>
      </c>
    </row>
    <row r="5497" spans="1:10" ht="15.75" hidden="1" thickBot="1" x14ac:dyDescent="0.3">
      <c r="A5497" s="180" t="s">
        <v>5290</v>
      </c>
      <c r="B5497" s="186" t="str">
        <f>INDEX(Orçamentária!A:B,MATCH(Composições!A5497,Orçamentária!A:A,0),2)</f>
        <v>Terminal de compressão 70 mm²</v>
      </c>
      <c r="C5497" s="41"/>
      <c r="D5497" s="26" t="str">
        <f>TRIM(INDEX(Orçamentária!C:C,MATCH(Composições!A5497,Orçamentária!A:A,0),1))</f>
        <v>un</v>
      </c>
      <c r="E5497" s="27"/>
      <c r="F5497" s="49" t="s">
        <v>558</v>
      </c>
      <c r="G5497" s="28" t="str">
        <f>IF(ISNUMBER(F5497),E5497*F5497,"")</f>
        <v/>
      </c>
      <c r="H5497" s="29"/>
      <c r="I5497" s="30"/>
      <c r="J5497" s="155">
        <v>0</v>
      </c>
    </row>
    <row r="5498" spans="1:10" hidden="1" x14ac:dyDescent="0.25">
      <c r="A5498" s="181"/>
      <c r="B5498" s="187"/>
      <c r="C5498" s="169"/>
      <c r="D5498" s="169"/>
      <c r="E5498" s="170"/>
      <c r="F5498" s="54" t="s">
        <v>558</v>
      </c>
      <c r="G5498" s="54" t="str">
        <f>IF(ISNUMBER(F5498),E5498*F5498,"")</f>
        <v/>
      </c>
      <c r="H5498" s="73"/>
      <c r="I5498" s="74"/>
      <c r="J5498" s="155">
        <v>0</v>
      </c>
    </row>
    <row r="5499" spans="1:10" ht="25.5" hidden="1" x14ac:dyDescent="0.25">
      <c r="A5499" s="181"/>
      <c r="B5499" s="187"/>
      <c r="C5499" s="36" t="s">
        <v>3466</v>
      </c>
      <c r="D5499" s="162" t="s">
        <v>20</v>
      </c>
      <c r="E5499" s="163">
        <v>1</v>
      </c>
      <c r="F5499" s="31">
        <v>5.548</v>
      </c>
      <c r="G5499" s="54">
        <f>IF(ISNUMBER(F5499),E5499*F5499,"")</f>
        <v>5.548</v>
      </c>
      <c r="H5499" s="39">
        <f>SUM(G5499:G5499)</f>
        <v>5.548</v>
      </c>
      <c r="I5499" s="40"/>
      <c r="J5499" s="155">
        <v>0</v>
      </c>
    </row>
    <row r="5500" spans="1:10" ht="15.75" hidden="1" thickBot="1" x14ac:dyDescent="0.3">
      <c r="A5500" s="182"/>
      <c r="B5500" s="188"/>
      <c r="C5500" s="55"/>
      <c r="D5500" s="165"/>
      <c r="E5500" s="66"/>
      <c r="F5500" s="76" t="s">
        <v>558</v>
      </c>
      <c r="G5500" s="76" t="str">
        <f>IF(ISNUMBER(F5500),E5500*F5500,"")</f>
        <v/>
      </c>
      <c r="H5500" s="77"/>
      <c r="I5500" s="74"/>
      <c r="J5500" s="155">
        <v>0</v>
      </c>
    </row>
    <row r="5501" spans="1:10" ht="15.75" hidden="1" thickBot="1" x14ac:dyDescent="0.3">
      <c r="A5501" s="180" t="s">
        <v>5291</v>
      </c>
      <c r="B5501" s="186" t="str">
        <f>INDEX(Orçamentária!A:B,MATCH(Composições!A5501,Orçamentária!A:A,0),2)</f>
        <v>Terminal de compressão 95 mm²</v>
      </c>
      <c r="C5501" s="41"/>
      <c r="D5501" s="26" t="str">
        <f>TRIM(INDEX(Orçamentária!C:C,MATCH(Composições!A5501,Orçamentária!A:A,0),1))</f>
        <v>un</v>
      </c>
      <c r="E5501" s="27"/>
      <c r="F5501" s="49" t="s">
        <v>558</v>
      </c>
      <c r="G5501" s="28" t="str">
        <f>IF(ISNUMBER(F5501),E5501*F5501,"")</f>
        <v/>
      </c>
      <c r="H5501" s="29"/>
      <c r="I5501" s="30"/>
      <c r="J5501" s="155">
        <v>0</v>
      </c>
    </row>
    <row r="5502" spans="1:10" hidden="1" x14ac:dyDescent="0.25">
      <c r="A5502" s="181"/>
      <c r="B5502" s="187"/>
      <c r="C5502" s="169"/>
      <c r="D5502" s="169"/>
      <c r="E5502" s="170"/>
      <c r="F5502" s="54" t="s">
        <v>558</v>
      </c>
      <c r="G5502" s="54" t="str">
        <f>IF(ISNUMBER(F5502),E5502*F5502,"")</f>
        <v/>
      </c>
      <c r="H5502" s="73"/>
      <c r="I5502" s="74"/>
      <c r="J5502" s="155">
        <v>0</v>
      </c>
    </row>
    <row r="5503" spans="1:10" ht="25.5" hidden="1" x14ac:dyDescent="0.25">
      <c r="A5503" s="181"/>
      <c r="B5503" s="187"/>
      <c r="C5503" s="36" t="s">
        <v>3467</v>
      </c>
      <c r="D5503" s="162" t="s">
        <v>20</v>
      </c>
      <c r="E5503" s="163">
        <v>1</v>
      </c>
      <c r="F5503" s="31">
        <v>6.8304999999999998</v>
      </c>
      <c r="G5503" s="54">
        <f>IF(ISNUMBER(F5503),E5503*F5503,"")</f>
        <v>6.8304999999999998</v>
      </c>
      <c r="H5503" s="39">
        <f>SUM(G5503:G5503)</f>
        <v>6.8304999999999998</v>
      </c>
      <c r="I5503" s="40"/>
      <c r="J5503" s="155">
        <v>0</v>
      </c>
    </row>
    <row r="5504" spans="1:10" ht="15.75" hidden="1" thickBot="1" x14ac:dyDescent="0.3">
      <c r="A5504" s="182"/>
      <c r="B5504" s="188"/>
      <c r="C5504" s="55"/>
      <c r="D5504" s="165"/>
      <c r="E5504" s="66"/>
      <c r="F5504" s="76" t="s">
        <v>558</v>
      </c>
      <c r="G5504" s="76" t="str">
        <f>IF(ISNUMBER(F5504),E5504*F5504,"")</f>
        <v/>
      </c>
      <c r="H5504" s="77"/>
      <c r="I5504" s="74"/>
      <c r="J5504" s="155">
        <v>0</v>
      </c>
    </row>
    <row r="5505" spans="1:10" ht="15.75" hidden="1" thickBot="1" x14ac:dyDescent="0.3">
      <c r="A5505" s="180" t="s">
        <v>5292</v>
      </c>
      <c r="B5505" s="186" t="str">
        <f>INDEX(Orçamentária!A:B,MATCH(Composições!A5505,Orçamentária!A:A,0),2)</f>
        <v>Terminal de compressão 120 mm²</v>
      </c>
      <c r="C5505" s="41"/>
      <c r="D5505" s="26" t="str">
        <f>TRIM(INDEX(Orçamentária!C:C,MATCH(Composições!A5505,Orçamentária!A:A,0),1))</f>
        <v>un</v>
      </c>
      <c r="E5505" s="27"/>
      <c r="F5505" s="49" t="s">
        <v>558</v>
      </c>
      <c r="G5505" s="28" t="str">
        <f>IF(ISNUMBER(F5505),E5505*F5505,"")</f>
        <v/>
      </c>
      <c r="H5505" s="29"/>
      <c r="I5505" s="30"/>
      <c r="J5505" s="155">
        <v>0</v>
      </c>
    </row>
    <row r="5506" spans="1:10" hidden="1" x14ac:dyDescent="0.25">
      <c r="A5506" s="181"/>
      <c r="B5506" s="187"/>
      <c r="C5506" s="169"/>
      <c r="D5506" s="169"/>
      <c r="E5506" s="170"/>
      <c r="F5506" s="54" t="s">
        <v>558</v>
      </c>
      <c r="G5506" s="54" t="str">
        <f>IF(ISNUMBER(F5506),E5506*F5506,"")</f>
        <v/>
      </c>
      <c r="H5506" s="73"/>
      <c r="I5506" s="74"/>
      <c r="J5506" s="155">
        <v>0</v>
      </c>
    </row>
    <row r="5507" spans="1:10" ht="38.25" hidden="1" x14ac:dyDescent="0.25">
      <c r="A5507" s="181"/>
      <c r="B5507" s="187"/>
      <c r="C5507" s="36" t="s">
        <v>3462</v>
      </c>
      <c r="D5507" s="162" t="s">
        <v>20</v>
      </c>
      <c r="E5507" s="163">
        <v>1</v>
      </c>
      <c r="F5507" s="31">
        <v>9.6044999999999998</v>
      </c>
      <c r="G5507" s="54">
        <f>IF(ISNUMBER(F5507),E5507*F5507,"")</f>
        <v>9.6044999999999998</v>
      </c>
      <c r="H5507" s="39">
        <f>SUM(G5507:G5507)</f>
        <v>9.6044999999999998</v>
      </c>
      <c r="I5507" s="40"/>
      <c r="J5507" s="155">
        <v>0</v>
      </c>
    </row>
    <row r="5508" spans="1:10" ht="15.75" hidden="1" thickBot="1" x14ac:dyDescent="0.3">
      <c r="A5508" s="182"/>
      <c r="B5508" s="188"/>
      <c r="C5508" s="55"/>
      <c r="D5508" s="165"/>
      <c r="E5508" s="66"/>
      <c r="F5508" s="76" t="s">
        <v>558</v>
      </c>
      <c r="G5508" s="76" t="str">
        <f>IF(ISNUMBER(F5508),E5508*F5508,"")</f>
        <v/>
      </c>
      <c r="H5508" s="77"/>
      <c r="I5508" s="74"/>
      <c r="J5508" s="155">
        <v>0</v>
      </c>
    </row>
    <row r="5509" spans="1:10" ht="15.75" hidden="1" thickBot="1" x14ac:dyDescent="0.3">
      <c r="A5509" s="180" t="s">
        <v>5293</v>
      </c>
      <c r="B5509" s="186" t="str">
        <f>INDEX(Orçamentária!A:B,MATCH(Composições!A5509,Orçamentária!A:A,0),2)</f>
        <v>Terminal de compressão 150 mm²</v>
      </c>
      <c r="C5509" s="41"/>
      <c r="D5509" s="26" t="str">
        <f>TRIM(INDEX(Orçamentária!C:C,MATCH(Composições!A5509,Orçamentária!A:A,0),1))</f>
        <v>un</v>
      </c>
      <c r="E5509" s="27"/>
      <c r="F5509" s="49" t="s">
        <v>558</v>
      </c>
      <c r="G5509" s="28" t="str">
        <f>IF(ISNUMBER(F5509),E5509*F5509,"")</f>
        <v/>
      </c>
      <c r="H5509" s="29"/>
      <c r="I5509" s="30"/>
      <c r="J5509" s="155">
        <v>0</v>
      </c>
    </row>
    <row r="5510" spans="1:10" hidden="1" x14ac:dyDescent="0.25">
      <c r="A5510" s="181"/>
      <c r="B5510" s="187"/>
      <c r="C5510" s="169"/>
      <c r="D5510" s="169"/>
      <c r="E5510" s="170"/>
      <c r="F5510" s="54" t="s">
        <v>558</v>
      </c>
      <c r="G5510" s="54" t="str">
        <f>IF(ISNUMBER(F5510),E5510*F5510,"")</f>
        <v/>
      </c>
      <c r="H5510" s="73"/>
      <c r="I5510" s="74"/>
      <c r="J5510" s="155">
        <v>0</v>
      </c>
    </row>
    <row r="5511" spans="1:10" ht="25.5" hidden="1" x14ac:dyDescent="0.25">
      <c r="A5511" s="181"/>
      <c r="B5511" s="187"/>
      <c r="C5511" s="36" t="s">
        <v>3468</v>
      </c>
      <c r="D5511" s="162" t="s">
        <v>20</v>
      </c>
      <c r="E5511" s="163">
        <v>1</v>
      </c>
      <c r="F5511" s="31">
        <v>21.612500000000001</v>
      </c>
      <c r="G5511" s="54">
        <f>IF(ISNUMBER(F5511),E5511*F5511,"")</f>
        <v>21.612500000000001</v>
      </c>
      <c r="H5511" s="39">
        <f>SUM(G5511:G5511)</f>
        <v>21.612500000000001</v>
      </c>
      <c r="I5511" s="40"/>
      <c r="J5511" s="155">
        <v>0</v>
      </c>
    </row>
    <row r="5512" spans="1:10" ht="15.75" hidden="1" thickBot="1" x14ac:dyDescent="0.3">
      <c r="A5512" s="182"/>
      <c r="B5512" s="188"/>
      <c r="C5512" s="55"/>
      <c r="D5512" s="165"/>
      <c r="E5512" s="66"/>
      <c r="F5512" s="76" t="s">
        <v>558</v>
      </c>
      <c r="G5512" s="76" t="str">
        <f>IF(ISNUMBER(F5512),E5512*F5512,"")</f>
        <v/>
      </c>
      <c r="H5512" s="77"/>
      <c r="I5512" s="74"/>
      <c r="J5512" s="155">
        <v>0</v>
      </c>
    </row>
    <row r="5513" spans="1:10" ht="15.75" hidden="1" thickBot="1" x14ac:dyDescent="0.3">
      <c r="A5513" s="180" t="s">
        <v>5294</v>
      </c>
      <c r="B5513" s="186" t="str">
        <f>INDEX(Orçamentária!A:B,MATCH(Composições!A5513,Orçamentária!A:A,0),2)</f>
        <v>Terminal de compressão 185 mm²</v>
      </c>
      <c r="C5513" s="41"/>
      <c r="D5513" s="26" t="str">
        <f>TRIM(INDEX(Orçamentária!C:C,MATCH(Composições!A5513,Orçamentária!A:A,0),1))</f>
        <v>un</v>
      </c>
      <c r="E5513" s="27"/>
      <c r="F5513" s="49" t="s">
        <v>558</v>
      </c>
      <c r="G5513" s="28" t="str">
        <f>IF(ISNUMBER(F5513),E5513*F5513,"")</f>
        <v/>
      </c>
      <c r="H5513" s="29"/>
      <c r="I5513" s="30"/>
      <c r="J5513" s="155">
        <v>0</v>
      </c>
    </row>
    <row r="5514" spans="1:10" hidden="1" x14ac:dyDescent="0.25">
      <c r="A5514" s="181"/>
      <c r="B5514" s="187"/>
      <c r="C5514" s="169"/>
      <c r="D5514" s="169"/>
      <c r="E5514" s="170"/>
      <c r="F5514" s="54" t="s">
        <v>558</v>
      </c>
      <c r="G5514" s="54" t="str">
        <f>IF(ISNUMBER(F5514),E5514*F5514,"")</f>
        <v/>
      </c>
      <c r="H5514" s="73"/>
      <c r="I5514" s="74"/>
      <c r="J5514" s="155">
        <v>0</v>
      </c>
    </row>
    <row r="5515" spans="1:10" ht="25.5" hidden="1" x14ac:dyDescent="0.25">
      <c r="A5515" s="181"/>
      <c r="B5515" s="187"/>
      <c r="C5515" s="36" t="s">
        <v>3469</v>
      </c>
      <c r="D5515" s="162" t="s">
        <v>20</v>
      </c>
      <c r="E5515" s="163">
        <v>1</v>
      </c>
      <c r="F5515" s="31">
        <v>23.616999999999997</v>
      </c>
      <c r="G5515" s="54">
        <f>IF(ISNUMBER(F5515),E5515*F5515,"")</f>
        <v>23.616999999999997</v>
      </c>
      <c r="H5515" s="39">
        <f>SUM(G5515:G5515)</f>
        <v>23.616999999999997</v>
      </c>
      <c r="I5515" s="40"/>
      <c r="J5515" s="155">
        <v>0</v>
      </c>
    </row>
    <row r="5516" spans="1:10" ht="15.75" hidden="1" thickBot="1" x14ac:dyDescent="0.3">
      <c r="A5516" s="182"/>
      <c r="B5516" s="188"/>
      <c r="C5516" s="55"/>
      <c r="D5516" s="165"/>
      <c r="E5516" s="66"/>
      <c r="F5516" s="76" t="s">
        <v>558</v>
      </c>
      <c r="G5516" s="76" t="str">
        <f>IF(ISNUMBER(F5516),E5516*F5516,"")</f>
        <v/>
      </c>
      <c r="H5516" s="77"/>
      <c r="I5516" s="74"/>
      <c r="J5516" s="155">
        <v>0</v>
      </c>
    </row>
    <row r="5517" spans="1:10" ht="15.75" hidden="1" thickBot="1" x14ac:dyDescent="0.3">
      <c r="A5517" s="180" t="s">
        <v>5295</v>
      </c>
      <c r="B5517" s="186" t="str">
        <f>INDEX(Orçamentária!A:B,MATCH(Composições!A5517,Orçamentária!A:A,0),2)</f>
        <v>Terminal de compressão 240 mm²</v>
      </c>
      <c r="C5517" s="41"/>
      <c r="D5517" s="26" t="str">
        <f>TRIM(INDEX(Orçamentária!C:C,MATCH(Composições!A5517,Orçamentária!A:A,0),1))</f>
        <v>un</v>
      </c>
      <c r="E5517" s="27"/>
      <c r="F5517" s="49" t="s">
        <v>558</v>
      </c>
      <c r="G5517" s="28" t="str">
        <f>IF(ISNUMBER(F5517),E5517*F5517,"")</f>
        <v/>
      </c>
      <c r="H5517" s="29"/>
      <c r="I5517" s="30"/>
      <c r="J5517" s="155">
        <v>0</v>
      </c>
    </row>
    <row r="5518" spans="1:10" hidden="1" x14ac:dyDescent="0.25">
      <c r="A5518" s="181"/>
      <c r="B5518" s="187"/>
      <c r="C5518" s="169"/>
      <c r="D5518" s="169"/>
      <c r="E5518" s="170"/>
      <c r="F5518" s="54" t="s">
        <v>558</v>
      </c>
      <c r="G5518" s="54" t="str">
        <f>IF(ISNUMBER(F5518),E5518*F5518,"")</f>
        <v/>
      </c>
      <c r="H5518" s="73"/>
      <c r="I5518" s="74"/>
      <c r="J5518" s="155">
        <v>0</v>
      </c>
    </row>
    <row r="5519" spans="1:10" ht="25.5" hidden="1" x14ac:dyDescent="0.25">
      <c r="A5519" s="181"/>
      <c r="B5519" s="187"/>
      <c r="C5519" s="36" t="s">
        <v>3470</v>
      </c>
      <c r="D5519" s="162" t="s">
        <v>20</v>
      </c>
      <c r="E5519" s="163">
        <v>1</v>
      </c>
      <c r="F5519" s="31">
        <v>31.169499999999999</v>
      </c>
      <c r="G5519" s="54">
        <f>IF(ISNUMBER(F5519),E5519*F5519,"")</f>
        <v>31.169499999999999</v>
      </c>
      <c r="H5519" s="39">
        <f>SUM(G5519:G5519)</f>
        <v>31.169499999999999</v>
      </c>
      <c r="I5519" s="40"/>
      <c r="J5519" s="155">
        <v>0</v>
      </c>
    </row>
    <row r="5520" spans="1:10" ht="15.75" hidden="1" thickBot="1" x14ac:dyDescent="0.3">
      <c r="A5520" s="182"/>
      <c r="B5520" s="188"/>
      <c r="C5520" s="55"/>
      <c r="D5520" s="165"/>
      <c r="E5520" s="66"/>
      <c r="F5520" s="76" t="s">
        <v>558</v>
      </c>
      <c r="G5520" s="76" t="str">
        <f>IF(ISNUMBER(F5520),E5520*F5520,"")</f>
        <v/>
      </c>
      <c r="H5520" s="77"/>
      <c r="I5520" s="74"/>
      <c r="J5520" s="155">
        <v>0</v>
      </c>
    </row>
    <row r="5521" spans="1:10" ht="15.75" hidden="1" thickBot="1" x14ac:dyDescent="0.3">
      <c r="A5521" s="180" t="s">
        <v>5296</v>
      </c>
      <c r="B5521" s="186" t="str">
        <f>INDEX(Orçamentária!A:B,MATCH(Composições!A5521,Orçamentária!A:A,0),2)</f>
        <v>Terminal de compressão 300 mm²</v>
      </c>
      <c r="C5521" s="41"/>
      <c r="D5521" s="26" t="str">
        <f>TRIM(INDEX(Orçamentária!C:C,MATCH(Composições!A5521,Orçamentária!A:A,0),1))</f>
        <v>un</v>
      </c>
      <c r="E5521" s="27"/>
      <c r="F5521" s="49" t="s">
        <v>558</v>
      </c>
      <c r="G5521" s="28" t="str">
        <f>IF(ISNUMBER(F5521),E5521*F5521,"")</f>
        <v/>
      </c>
      <c r="H5521" s="29"/>
      <c r="I5521" s="30"/>
      <c r="J5521" s="155">
        <v>0</v>
      </c>
    </row>
    <row r="5522" spans="1:10" hidden="1" x14ac:dyDescent="0.25">
      <c r="A5522" s="181"/>
      <c r="B5522" s="187"/>
      <c r="C5522" s="169"/>
      <c r="D5522" s="169"/>
      <c r="E5522" s="170"/>
      <c r="F5522" s="54" t="s">
        <v>558</v>
      </c>
      <c r="G5522" s="54" t="str">
        <f>IF(ISNUMBER(F5522),E5522*F5522,"")</f>
        <v/>
      </c>
      <c r="H5522" s="73"/>
      <c r="I5522" s="74"/>
      <c r="J5522" s="155">
        <v>0</v>
      </c>
    </row>
    <row r="5523" spans="1:10" ht="25.5" hidden="1" x14ac:dyDescent="0.25">
      <c r="A5523" s="181"/>
      <c r="B5523" s="187"/>
      <c r="C5523" s="36" t="s">
        <v>3471</v>
      </c>
      <c r="D5523" s="162" t="s">
        <v>20</v>
      </c>
      <c r="E5523" s="163">
        <v>1</v>
      </c>
      <c r="F5523" s="31">
        <v>45.343499999999992</v>
      </c>
      <c r="G5523" s="54">
        <f>IF(ISNUMBER(F5523),E5523*F5523,"")</f>
        <v>45.343499999999992</v>
      </c>
      <c r="H5523" s="39">
        <f>SUM(G5523:G5523)</f>
        <v>45.343499999999992</v>
      </c>
      <c r="I5523" s="40"/>
      <c r="J5523" s="155">
        <v>0</v>
      </c>
    </row>
    <row r="5524" spans="1:10" ht="15.75" hidden="1" thickBot="1" x14ac:dyDescent="0.3">
      <c r="A5524" s="182"/>
      <c r="B5524" s="188"/>
      <c r="C5524" s="55"/>
      <c r="D5524" s="165"/>
      <c r="E5524" s="66"/>
      <c r="F5524" s="76" t="s">
        <v>558</v>
      </c>
      <c r="G5524" s="76" t="str">
        <f>IF(ISNUMBER(F5524),E5524*F5524,"")</f>
        <v/>
      </c>
      <c r="H5524" s="77"/>
      <c r="I5524" s="74"/>
      <c r="J5524" s="155">
        <v>0</v>
      </c>
    </row>
    <row r="5525" spans="1:10" ht="15.75" hidden="1" thickBot="1" x14ac:dyDescent="0.3">
      <c r="A5525" s="180" t="s">
        <v>5323</v>
      </c>
      <c r="B5525" s="186" t="str">
        <f>INDEX(Orçamentária!A:B,MATCH(Composições!A5525,Orçamentária!A:A,0),2)</f>
        <v>Cobre nu 16 mm²</v>
      </c>
      <c r="C5525" s="41"/>
      <c r="D5525" s="26" t="str">
        <f>TRIM(INDEX(Orçamentária!C:C,MATCH(Composições!A5525,Orçamentária!A:A,0),1))</f>
        <v>m</v>
      </c>
      <c r="E5525" s="27"/>
      <c r="F5525" s="49" t="s">
        <v>558</v>
      </c>
      <c r="G5525" s="28" t="str">
        <f>IF(ISNUMBER(F5525),E5525*F5525,"")</f>
        <v/>
      </c>
      <c r="H5525" s="29"/>
      <c r="I5525" s="30"/>
      <c r="J5525" s="155">
        <v>0</v>
      </c>
    </row>
    <row r="5526" spans="1:10" hidden="1" x14ac:dyDescent="0.25">
      <c r="A5526" s="181"/>
      <c r="B5526" s="187"/>
      <c r="C5526" s="169"/>
      <c r="D5526" s="169"/>
      <c r="E5526" s="170"/>
      <c r="F5526" s="54" t="s">
        <v>558</v>
      </c>
      <c r="G5526" s="54" t="str">
        <f>IF(ISNUMBER(F5526),E5526*F5526,"")</f>
        <v/>
      </c>
      <c r="H5526" s="73"/>
      <c r="I5526" s="74"/>
      <c r="J5526" s="155">
        <v>0</v>
      </c>
    </row>
    <row r="5527" spans="1:10" hidden="1" x14ac:dyDescent="0.25">
      <c r="A5527" s="181"/>
      <c r="B5527" s="187"/>
      <c r="C5527" s="36" t="s">
        <v>3328</v>
      </c>
      <c r="D5527" s="162" t="s">
        <v>93</v>
      </c>
      <c r="E5527" s="163">
        <v>1</v>
      </c>
      <c r="F5527" s="31">
        <v>11.969999999999999</v>
      </c>
      <c r="G5527" s="54">
        <f>IF(ISNUMBER(F5527),E5527*F5527,"")</f>
        <v>11.969999999999999</v>
      </c>
      <c r="H5527" s="39">
        <f>SUM(G5527:G5527)</f>
        <v>11.969999999999999</v>
      </c>
      <c r="I5527" s="40"/>
      <c r="J5527" s="155">
        <v>0</v>
      </c>
    </row>
    <row r="5528" spans="1:10" ht="15.75" hidden="1" thickBot="1" x14ac:dyDescent="0.3">
      <c r="A5528" s="182"/>
      <c r="B5528" s="188"/>
      <c r="C5528" s="55"/>
      <c r="D5528" s="165"/>
      <c r="E5528" s="66"/>
      <c r="F5528" s="76" t="s">
        <v>558</v>
      </c>
      <c r="G5528" s="76" t="str">
        <f>IF(ISNUMBER(F5528),E5528*F5528,"")</f>
        <v/>
      </c>
      <c r="H5528" s="77"/>
      <c r="I5528" s="74"/>
      <c r="J5528" s="155">
        <v>0</v>
      </c>
    </row>
    <row r="5529" spans="1:10" ht="15.75" hidden="1" thickBot="1" x14ac:dyDescent="0.3">
      <c r="A5529" s="180" t="s">
        <v>5324</v>
      </c>
      <c r="B5529" s="186" t="str">
        <f>INDEX(Orçamentária!A:B,MATCH(Composições!A5529,Orçamentária!A:A,0),2)</f>
        <v>Cobre nu 25 mm²</v>
      </c>
      <c r="C5529" s="41"/>
      <c r="D5529" s="26" t="str">
        <f>TRIM(INDEX(Orçamentária!C:C,MATCH(Composições!A5529,Orçamentária!A:A,0),1))</f>
        <v>m</v>
      </c>
      <c r="E5529" s="27"/>
      <c r="F5529" s="49" t="s">
        <v>558</v>
      </c>
      <c r="G5529" s="28" t="str">
        <f>IF(ISNUMBER(F5529),E5529*F5529,"")</f>
        <v/>
      </c>
      <c r="H5529" s="29"/>
      <c r="I5529" s="30"/>
      <c r="J5529" s="155">
        <v>0</v>
      </c>
    </row>
    <row r="5530" spans="1:10" hidden="1" x14ac:dyDescent="0.25">
      <c r="A5530" s="181"/>
      <c r="B5530" s="187"/>
      <c r="C5530" s="169"/>
      <c r="D5530" s="169"/>
      <c r="E5530" s="170"/>
      <c r="F5530" s="54" t="s">
        <v>558</v>
      </c>
      <c r="G5530" s="54" t="str">
        <f>IF(ISNUMBER(F5530),E5530*F5530,"")</f>
        <v/>
      </c>
      <c r="H5530" s="73"/>
      <c r="I5530" s="74"/>
      <c r="J5530" s="155">
        <v>0</v>
      </c>
    </row>
    <row r="5531" spans="1:10" hidden="1" x14ac:dyDescent="0.25">
      <c r="A5531" s="181"/>
      <c r="B5531" s="187"/>
      <c r="C5531" s="36" t="s">
        <v>3329</v>
      </c>
      <c r="D5531" s="162" t="s">
        <v>93</v>
      </c>
      <c r="E5531" s="163">
        <v>1</v>
      </c>
      <c r="F5531" s="31">
        <v>18.486999999999998</v>
      </c>
      <c r="G5531" s="54">
        <f>IF(ISNUMBER(F5531),E5531*F5531,"")</f>
        <v>18.486999999999998</v>
      </c>
      <c r="H5531" s="39">
        <f>SUM(G5531:G5531)</f>
        <v>18.486999999999998</v>
      </c>
      <c r="I5531" s="40"/>
      <c r="J5531" s="155">
        <v>0</v>
      </c>
    </row>
    <row r="5532" spans="1:10" ht="15.75" hidden="1" thickBot="1" x14ac:dyDescent="0.3">
      <c r="A5532" s="182"/>
      <c r="B5532" s="188"/>
      <c r="C5532" s="55"/>
      <c r="D5532" s="165"/>
      <c r="E5532" s="66"/>
      <c r="F5532" s="76" t="s">
        <v>558</v>
      </c>
      <c r="G5532" s="76" t="str">
        <f>IF(ISNUMBER(F5532),E5532*F5532,"")</f>
        <v/>
      </c>
      <c r="H5532" s="77"/>
      <c r="I5532" s="74"/>
      <c r="J5532" s="155">
        <v>0</v>
      </c>
    </row>
    <row r="5533" spans="1:10" ht="15.75" hidden="1" thickBot="1" x14ac:dyDescent="0.3">
      <c r="A5533" s="180" t="s">
        <v>5325</v>
      </c>
      <c r="B5533" s="186" t="str">
        <f>INDEX(Orçamentária!A:B,MATCH(Composições!A5533,Orçamentária!A:A,0),2)</f>
        <v>Cobre nu 35 mm²</v>
      </c>
      <c r="C5533" s="41"/>
      <c r="D5533" s="26" t="str">
        <f>TRIM(INDEX(Orçamentária!C:C,MATCH(Composições!A5533,Orçamentária!A:A,0),1))</f>
        <v>m</v>
      </c>
      <c r="E5533" s="27"/>
      <c r="F5533" s="49" t="s">
        <v>558</v>
      </c>
      <c r="G5533" s="28" t="str">
        <f>IF(ISNUMBER(F5533),E5533*F5533,"")</f>
        <v/>
      </c>
      <c r="H5533" s="29"/>
      <c r="I5533" s="30"/>
      <c r="J5533" s="155">
        <v>0</v>
      </c>
    </row>
    <row r="5534" spans="1:10" hidden="1" x14ac:dyDescent="0.25">
      <c r="A5534" s="181"/>
      <c r="B5534" s="187"/>
      <c r="C5534" s="169"/>
      <c r="D5534" s="169"/>
      <c r="E5534" s="170"/>
      <c r="F5534" s="54" t="s">
        <v>558</v>
      </c>
      <c r="G5534" s="54" t="str">
        <f>IF(ISNUMBER(F5534),E5534*F5534,"")</f>
        <v/>
      </c>
      <c r="H5534" s="73"/>
      <c r="I5534" s="74"/>
      <c r="J5534" s="155">
        <v>0</v>
      </c>
    </row>
    <row r="5535" spans="1:10" hidden="1" x14ac:dyDescent="0.25">
      <c r="A5535" s="181"/>
      <c r="B5535" s="187"/>
      <c r="C5535" s="36" t="s">
        <v>3330</v>
      </c>
      <c r="D5535" s="162" t="s">
        <v>93</v>
      </c>
      <c r="E5535" s="163">
        <v>1</v>
      </c>
      <c r="F5535" s="31">
        <v>25.535999999999998</v>
      </c>
      <c r="G5535" s="54">
        <f>IF(ISNUMBER(F5535),E5535*F5535,"")</f>
        <v>25.535999999999998</v>
      </c>
      <c r="H5535" s="39">
        <f>SUM(G5535:G5535)</f>
        <v>25.535999999999998</v>
      </c>
      <c r="I5535" s="40"/>
      <c r="J5535" s="155">
        <v>0</v>
      </c>
    </row>
    <row r="5536" spans="1:10" ht="15.75" hidden="1" thickBot="1" x14ac:dyDescent="0.3">
      <c r="A5536" s="182"/>
      <c r="B5536" s="188"/>
      <c r="C5536" s="55"/>
      <c r="D5536" s="165"/>
      <c r="E5536" s="66"/>
      <c r="F5536" s="76" t="s">
        <v>558</v>
      </c>
      <c r="G5536" s="76" t="str">
        <f>IF(ISNUMBER(F5536),E5536*F5536,"")</f>
        <v/>
      </c>
      <c r="H5536" s="77"/>
      <c r="I5536" s="74"/>
      <c r="J5536" s="155">
        <v>0</v>
      </c>
    </row>
    <row r="5537" spans="1:10" ht="15.75" hidden="1" thickBot="1" x14ac:dyDescent="0.3">
      <c r="A5537" s="180" t="s">
        <v>5326</v>
      </c>
      <c r="B5537" s="186" t="str">
        <f>INDEX(Orçamentária!A:B,MATCH(Composições!A5537,Orçamentária!A:A,0),2)</f>
        <v>Cobre nu 50 mm²</v>
      </c>
      <c r="C5537" s="41"/>
      <c r="D5537" s="26" t="str">
        <f>TRIM(INDEX(Orçamentária!C:C,MATCH(Composições!A5537,Orçamentária!A:A,0),1))</f>
        <v>m</v>
      </c>
      <c r="E5537" s="27"/>
      <c r="F5537" s="49" t="s">
        <v>558</v>
      </c>
      <c r="G5537" s="28" t="str">
        <f>IF(ISNUMBER(F5537),E5537*F5537,"")</f>
        <v/>
      </c>
      <c r="H5537" s="29"/>
      <c r="I5537" s="30"/>
      <c r="J5537" s="155">
        <v>0</v>
      </c>
    </row>
    <row r="5538" spans="1:10" hidden="1" x14ac:dyDescent="0.25">
      <c r="A5538" s="181"/>
      <c r="B5538" s="187"/>
      <c r="C5538" s="169"/>
      <c r="D5538" s="169"/>
      <c r="E5538" s="170"/>
      <c r="F5538" s="54" t="s">
        <v>558</v>
      </c>
      <c r="G5538" s="54" t="str">
        <f>IF(ISNUMBER(F5538),E5538*F5538,"")</f>
        <v/>
      </c>
      <c r="H5538" s="73"/>
      <c r="I5538" s="74"/>
      <c r="J5538" s="155">
        <v>0</v>
      </c>
    </row>
    <row r="5539" spans="1:10" hidden="1" x14ac:dyDescent="0.25">
      <c r="A5539" s="181"/>
      <c r="B5539" s="187"/>
      <c r="C5539" s="36" t="s">
        <v>3331</v>
      </c>
      <c r="D5539" s="162" t="s">
        <v>93</v>
      </c>
      <c r="E5539" s="163">
        <v>1</v>
      </c>
      <c r="F5539" s="31">
        <v>35.567999999999998</v>
      </c>
      <c r="G5539" s="54">
        <f>IF(ISNUMBER(F5539),E5539*F5539,"")</f>
        <v>35.567999999999998</v>
      </c>
      <c r="H5539" s="39">
        <f>SUM(G5539:G5539)</f>
        <v>35.567999999999998</v>
      </c>
      <c r="I5539" s="40"/>
      <c r="J5539" s="155">
        <v>0</v>
      </c>
    </row>
    <row r="5540" spans="1:10" ht="15.75" hidden="1" thickBot="1" x14ac:dyDescent="0.3">
      <c r="A5540" s="182"/>
      <c r="B5540" s="188"/>
      <c r="C5540" s="55"/>
      <c r="D5540" s="165"/>
      <c r="E5540" s="66"/>
      <c r="F5540" s="76" t="s">
        <v>558</v>
      </c>
      <c r="G5540" s="76" t="str">
        <f>IF(ISNUMBER(F5540),E5540*F5540,"")</f>
        <v/>
      </c>
      <c r="H5540" s="77"/>
      <c r="I5540" s="74"/>
      <c r="J5540" s="155">
        <v>0</v>
      </c>
    </row>
    <row r="5541" spans="1:10" ht="15.75" hidden="1" thickBot="1" x14ac:dyDescent="0.3">
      <c r="A5541" s="180" t="s">
        <v>5327</v>
      </c>
      <c r="B5541" s="186" t="str">
        <f>INDEX(Orçamentária!A:B,MATCH(Composições!A5541,Orçamentária!A:A,0),2)</f>
        <v>Cobre nu 70 mm²</v>
      </c>
      <c r="C5541" s="41"/>
      <c r="D5541" s="26" t="str">
        <f>TRIM(INDEX(Orçamentária!C:C,MATCH(Composições!A5541,Orçamentária!A:A,0),1))</f>
        <v>m</v>
      </c>
      <c r="E5541" s="27"/>
      <c r="F5541" s="49" t="s">
        <v>558</v>
      </c>
      <c r="G5541" s="28" t="str">
        <f>IF(ISNUMBER(F5541),E5541*F5541,"")</f>
        <v/>
      </c>
      <c r="H5541" s="29"/>
      <c r="I5541" s="30"/>
      <c r="J5541" s="155">
        <v>0</v>
      </c>
    </row>
    <row r="5542" spans="1:10" hidden="1" x14ac:dyDescent="0.25">
      <c r="A5542" s="181"/>
      <c r="B5542" s="187"/>
      <c r="C5542" s="169"/>
      <c r="D5542" s="169"/>
      <c r="E5542" s="170"/>
      <c r="F5542" s="54" t="s">
        <v>558</v>
      </c>
      <c r="G5542" s="54" t="str">
        <f>IF(ISNUMBER(F5542),E5542*F5542,"")</f>
        <v/>
      </c>
      <c r="H5542" s="73"/>
      <c r="I5542" s="74"/>
      <c r="J5542" s="155">
        <v>0</v>
      </c>
    </row>
    <row r="5543" spans="1:10" hidden="1" x14ac:dyDescent="0.25">
      <c r="A5543" s="181"/>
      <c r="B5543" s="187"/>
      <c r="C5543" s="36" t="s">
        <v>3332</v>
      </c>
      <c r="D5543" s="162" t="s">
        <v>93</v>
      </c>
      <c r="E5543" s="163">
        <v>1</v>
      </c>
      <c r="F5543" s="31">
        <v>50.112499999999997</v>
      </c>
      <c r="G5543" s="54">
        <f>IF(ISNUMBER(F5543),E5543*F5543,"")</f>
        <v>50.112499999999997</v>
      </c>
      <c r="H5543" s="39">
        <f>SUM(G5543:G5543)</f>
        <v>50.112499999999997</v>
      </c>
      <c r="I5543" s="40"/>
      <c r="J5543" s="155">
        <v>0</v>
      </c>
    </row>
    <row r="5544" spans="1:10" ht="15.75" hidden="1" thickBot="1" x14ac:dyDescent="0.3">
      <c r="A5544" s="182"/>
      <c r="B5544" s="188"/>
      <c r="C5544" s="55"/>
      <c r="D5544" s="165"/>
      <c r="E5544" s="66"/>
      <c r="F5544" s="76" t="s">
        <v>558</v>
      </c>
      <c r="G5544" s="76" t="str">
        <f>IF(ISNUMBER(F5544),E5544*F5544,"")</f>
        <v/>
      </c>
      <c r="H5544" s="77"/>
      <c r="I5544" s="74"/>
      <c r="J5544" s="155">
        <v>0</v>
      </c>
    </row>
    <row r="5545" spans="1:10" ht="15.75" hidden="1" thickBot="1" x14ac:dyDescent="0.3">
      <c r="A5545" s="189" t="s">
        <v>5531</v>
      </c>
      <c r="B5545" s="186" t="str">
        <f>INDEX(Orçamentária!A:B,MATCH(Composições!A5545,Orçamentária!A:A,0),2)</f>
        <v>Eletroduto de aço galvanizado de 3/4”</v>
      </c>
      <c r="C5545" s="41"/>
      <c r="D5545" s="26" t="str">
        <f>TRIM(INDEX(Orçamentária!C:C,MATCH(Composições!A5545,Orçamentária!A:A,0),1))</f>
        <v>m</v>
      </c>
      <c r="E5545" s="27"/>
      <c r="F5545" s="49" t="s">
        <v>558</v>
      </c>
      <c r="G5545" s="28" t="str">
        <f>IF(ISNUMBER(F5545),E5545*F5545,"")</f>
        <v/>
      </c>
      <c r="H5545" s="29"/>
      <c r="I5545" s="30"/>
      <c r="J5545" s="155">
        <v>0</v>
      </c>
    </row>
    <row r="5546" spans="1:10" hidden="1" x14ac:dyDescent="0.25">
      <c r="A5546" s="195"/>
      <c r="B5546" s="187"/>
      <c r="C5546" s="169"/>
      <c r="D5546" s="169"/>
      <c r="E5546" s="170"/>
      <c r="F5546" s="54" t="s">
        <v>558</v>
      </c>
      <c r="G5546" s="54" t="str">
        <f>IF(ISNUMBER(F5546),E5546*F5546,"")</f>
        <v/>
      </c>
      <c r="H5546" s="73"/>
      <c r="I5546" s="74"/>
      <c r="J5546" s="155">
        <v>0</v>
      </c>
    </row>
    <row r="5547" spans="1:10" ht="25.5" hidden="1" x14ac:dyDescent="0.25">
      <c r="A5547" s="195"/>
      <c r="B5547" s="187"/>
      <c r="C5547" s="36" t="s">
        <v>6468</v>
      </c>
      <c r="D5547" s="162" t="s">
        <v>93</v>
      </c>
      <c r="E5547" s="163">
        <v>1</v>
      </c>
      <c r="F5547" s="31">
        <v>0</v>
      </c>
      <c r="G5547" s="54">
        <f>IF(ISNUMBER(F5547),E5547*F5547,"")</f>
        <v>0</v>
      </c>
      <c r="H5547" s="39">
        <f>SUM(G5547:G5547)</f>
        <v>0</v>
      </c>
      <c r="I5547" s="40"/>
      <c r="J5547" s="155">
        <v>0</v>
      </c>
    </row>
    <row r="5548" spans="1:10" ht="15.75" hidden="1" thickBot="1" x14ac:dyDescent="0.3">
      <c r="A5548" s="196"/>
      <c r="B5548" s="188"/>
      <c r="C5548" s="55"/>
      <c r="D5548" s="165"/>
      <c r="E5548" s="66"/>
      <c r="F5548" s="76" t="s">
        <v>558</v>
      </c>
      <c r="G5548" s="76" t="str">
        <f>IF(ISNUMBER(F5548),E5548*F5548,"")</f>
        <v/>
      </c>
      <c r="H5548" s="77"/>
      <c r="I5548" s="74"/>
      <c r="J5548" s="155">
        <v>0</v>
      </c>
    </row>
    <row r="5549" spans="1:10" ht="15.75" hidden="1" thickBot="1" x14ac:dyDescent="0.3">
      <c r="A5549" s="189" t="s">
        <v>5532</v>
      </c>
      <c r="B5549" s="186" t="str">
        <f>INDEX(Orçamentária!A:B,MATCH(Composições!A5549,Orçamentária!A:A,0),2)</f>
        <v>Eletroduto de aço galvanizado de 1”</v>
      </c>
      <c r="C5549" s="41"/>
      <c r="D5549" s="26" t="str">
        <f>TRIM(INDEX(Orçamentária!C:C,MATCH(Composições!A5549,Orçamentária!A:A,0),1))</f>
        <v>m</v>
      </c>
      <c r="E5549" s="27"/>
      <c r="F5549" s="49" t="s">
        <v>558</v>
      </c>
      <c r="G5549" s="28" t="str">
        <f>IF(ISNUMBER(F5549),E5549*F5549,"")</f>
        <v/>
      </c>
      <c r="H5549" s="29"/>
      <c r="I5549" s="30"/>
      <c r="J5549" s="155">
        <v>0</v>
      </c>
    </row>
    <row r="5550" spans="1:10" hidden="1" x14ac:dyDescent="0.25">
      <c r="A5550" s="195"/>
      <c r="B5550" s="187"/>
      <c r="C5550" s="169"/>
      <c r="D5550" s="169"/>
      <c r="E5550" s="170"/>
      <c r="F5550" s="54" t="s">
        <v>558</v>
      </c>
      <c r="G5550" s="54" t="str">
        <f>IF(ISNUMBER(F5550),E5550*F5550,"")</f>
        <v/>
      </c>
      <c r="H5550" s="73"/>
      <c r="I5550" s="74"/>
      <c r="J5550" s="155">
        <v>0</v>
      </c>
    </row>
    <row r="5551" spans="1:10" ht="25.5" hidden="1" x14ac:dyDescent="0.25">
      <c r="A5551" s="195"/>
      <c r="B5551" s="187"/>
      <c r="C5551" s="36" t="s">
        <v>6469</v>
      </c>
      <c r="D5551" s="162" t="s">
        <v>93</v>
      </c>
      <c r="E5551" s="163">
        <v>1</v>
      </c>
      <c r="F5551" s="31">
        <v>0</v>
      </c>
      <c r="G5551" s="54">
        <f>IF(ISNUMBER(F5551),E5551*F5551,"")</f>
        <v>0</v>
      </c>
      <c r="H5551" s="39">
        <f>SUM(G5551:G5551)</f>
        <v>0</v>
      </c>
      <c r="I5551" s="40"/>
      <c r="J5551" s="155">
        <v>0</v>
      </c>
    </row>
    <row r="5552" spans="1:10" ht="15.75" hidden="1" thickBot="1" x14ac:dyDescent="0.3">
      <c r="A5552" s="196"/>
      <c r="B5552" s="188"/>
      <c r="C5552" s="55"/>
      <c r="D5552" s="165"/>
      <c r="E5552" s="66"/>
      <c r="F5552" s="76" t="s">
        <v>558</v>
      </c>
      <c r="G5552" s="76" t="str">
        <f>IF(ISNUMBER(F5552),E5552*F5552,"")</f>
        <v/>
      </c>
      <c r="H5552" s="77"/>
      <c r="I5552" s="74"/>
      <c r="J5552" s="155">
        <v>0</v>
      </c>
    </row>
    <row r="5553" spans="1:10" ht="15.75" hidden="1" thickBot="1" x14ac:dyDescent="0.3">
      <c r="A5553" s="189" t="s">
        <v>5533</v>
      </c>
      <c r="B5553" s="186" t="str">
        <f>INDEX(Orçamentária!A:B,MATCH(Composições!A5553,Orçamentária!A:A,0),2)</f>
        <v>Eletroduto de aço galvanizado de 1 1/4”</v>
      </c>
      <c r="C5553" s="41"/>
      <c r="D5553" s="26" t="str">
        <f>TRIM(INDEX(Orçamentária!C:C,MATCH(Composições!A5553,Orçamentária!A:A,0),1))</f>
        <v>m</v>
      </c>
      <c r="E5553" s="27"/>
      <c r="F5553" s="49" t="s">
        <v>558</v>
      </c>
      <c r="G5553" s="28" t="str">
        <f>IF(ISNUMBER(F5553),E5553*F5553,"")</f>
        <v/>
      </c>
      <c r="H5553" s="29"/>
      <c r="I5553" s="30"/>
      <c r="J5553" s="155">
        <v>0</v>
      </c>
    </row>
    <row r="5554" spans="1:10" hidden="1" x14ac:dyDescent="0.25">
      <c r="A5554" s="195"/>
      <c r="B5554" s="187"/>
      <c r="C5554" s="169"/>
      <c r="D5554" s="169"/>
      <c r="E5554" s="170"/>
      <c r="F5554" s="54" t="s">
        <v>558</v>
      </c>
      <c r="G5554" s="54" t="str">
        <f>IF(ISNUMBER(F5554),E5554*F5554,"")</f>
        <v/>
      </c>
      <c r="H5554" s="73"/>
      <c r="I5554" s="74"/>
      <c r="J5554" s="155">
        <v>0</v>
      </c>
    </row>
    <row r="5555" spans="1:10" ht="25.5" hidden="1" x14ac:dyDescent="0.25">
      <c r="A5555" s="195"/>
      <c r="B5555" s="187"/>
      <c r="C5555" s="36" t="s">
        <v>6470</v>
      </c>
      <c r="D5555" s="162" t="s">
        <v>93</v>
      </c>
      <c r="E5555" s="163">
        <v>1</v>
      </c>
      <c r="F5555" s="31">
        <v>0</v>
      </c>
      <c r="G5555" s="54">
        <f>IF(ISNUMBER(F5555),E5555*F5555,"")</f>
        <v>0</v>
      </c>
      <c r="H5555" s="39">
        <f>SUM(G5555:G5555)</f>
        <v>0</v>
      </c>
      <c r="I5555" s="40"/>
      <c r="J5555" s="155">
        <v>0</v>
      </c>
    </row>
    <row r="5556" spans="1:10" ht="15.75" hidden="1" thickBot="1" x14ac:dyDescent="0.3">
      <c r="A5556" s="196"/>
      <c r="B5556" s="188"/>
      <c r="C5556" s="55"/>
      <c r="D5556" s="165"/>
      <c r="E5556" s="66"/>
      <c r="F5556" s="76" t="s">
        <v>558</v>
      </c>
      <c r="G5556" s="76" t="str">
        <f>IF(ISNUMBER(F5556),E5556*F5556,"")</f>
        <v/>
      </c>
      <c r="H5556" s="77"/>
      <c r="I5556" s="74"/>
      <c r="J5556" s="155">
        <v>0</v>
      </c>
    </row>
    <row r="5557" spans="1:10" ht="15.75" hidden="1" thickBot="1" x14ac:dyDescent="0.3">
      <c r="A5557" s="189" t="s">
        <v>5534</v>
      </c>
      <c r="B5557" s="186" t="str">
        <f>INDEX(Orçamentária!A:B,MATCH(Composições!A5557,Orçamentária!A:A,0),2)</f>
        <v>Eletroduto de aço galvanizado de 1 1/2”</v>
      </c>
      <c r="C5557" s="41"/>
      <c r="D5557" s="26" t="str">
        <f>TRIM(INDEX(Orçamentária!C:C,MATCH(Composições!A5557,Orçamentária!A:A,0),1))</f>
        <v>m</v>
      </c>
      <c r="E5557" s="27"/>
      <c r="F5557" s="49" t="s">
        <v>558</v>
      </c>
      <c r="G5557" s="28" t="str">
        <f>IF(ISNUMBER(F5557),E5557*F5557,"")</f>
        <v/>
      </c>
      <c r="H5557" s="29"/>
      <c r="I5557" s="30"/>
      <c r="J5557" s="155">
        <v>0</v>
      </c>
    </row>
    <row r="5558" spans="1:10" hidden="1" x14ac:dyDescent="0.25">
      <c r="A5558" s="195"/>
      <c r="B5558" s="187"/>
      <c r="C5558" s="169"/>
      <c r="D5558" s="169"/>
      <c r="E5558" s="170"/>
      <c r="F5558" s="54" t="s">
        <v>558</v>
      </c>
      <c r="G5558" s="54" t="str">
        <f>IF(ISNUMBER(F5558),E5558*F5558,"")</f>
        <v/>
      </c>
      <c r="H5558" s="73"/>
      <c r="I5558" s="74"/>
      <c r="J5558" s="155">
        <v>0</v>
      </c>
    </row>
    <row r="5559" spans="1:10" ht="25.5" hidden="1" x14ac:dyDescent="0.25">
      <c r="A5559" s="195"/>
      <c r="B5559" s="187"/>
      <c r="C5559" s="36" t="s">
        <v>6471</v>
      </c>
      <c r="D5559" s="162" t="s">
        <v>93</v>
      </c>
      <c r="E5559" s="163">
        <v>1</v>
      </c>
      <c r="F5559" s="31">
        <v>0</v>
      </c>
      <c r="G5559" s="54">
        <f>IF(ISNUMBER(F5559),E5559*F5559,"")</f>
        <v>0</v>
      </c>
      <c r="H5559" s="39">
        <f>SUM(G5559:G5559)</f>
        <v>0</v>
      </c>
      <c r="I5559" s="40"/>
      <c r="J5559" s="155">
        <v>0</v>
      </c>
    </row>
    <row r="5560" spans="1:10" ht="15.75" hidden="1" thickBot="1" x14ac:dyDescent="0.3">
      <c r="A5560" s="196"/>
      <c r="B5560" s="188"/>
      <c r="C5560" s="55"/>
      <c r="D5560" s="165"/>
      <c r="E5560" s="66"/>
      <c r="F5560" s="76" t="s">
        <v>558</v>
      </c>
      <c r="G5560" s="76" t="str">
        <f>IF(ISNUMBER(F5560),E5560*F5560,"")</f>
        <v/>
      </c>
      <c r="H5560" s="77"/>
      <c r="I5560" s="74"/>
      <c r="J5560" s="155">
        <v>0</v>
      </c>
    </row>
    <row r="5561" spans="1:10" ht="15.75" hidden="1" thickBot="1" x14ac:dyDescent="0.3">
      <c r="A5561" s="189" t="s">
        <v>5535</v>
      </c>
      <c r="B5561" s="186" t="str">
        <f>INDEX(Orçamentária!A:B,MATCH(Composições!A5561,Orçamentária!A:A,0),2)</f>
        <v>Eletroduto de aço galvanizado de 2”</v>
      </c>
      <c r="C5561" s="41"/>
      <c r="D5561" s="26" t="str">
        <f>TRIM(INDEX(Orçamentária!C:C,MATCH(Composições!A5561,Orçamentária!A:A,0),1))</f>
        <v>m</v>
      </c>
      <c r="E5561" s="27"/>
      <c r="F5561" s="49" t="s">
        <v>558</v>
      </c>
      <c r="G5561" s="28" t="str">
        <f>IF(ISNUMBER(F5561),E5561*F5561,"")</f>
        <v/>
      </c>
      <c r="H5561" s="29"/>
      <c r="I5561" s="30"/>
      <c r="J5561" s="155">
        <v>0</v>
      </c>
    </row>
    <row r="5562" spans="1:10" hidden="1" x14ac:dyDescent="0.25">
      <c r="A5562" s="195"/>
      <c r="B5562" s="187"/>
      <c r="C5562" s="169"/>
      <c r="D5562" s="169"/>
      <c r="E5562" s="170"/>
      <c r="F5562" s="54" t="s">
        <v>558</v>
      </c>
      <c r="G5562" s="54" t="str">
        <f>IF(ISNUMBER(F5562),E5562*F5562,"")</f>
        <v/>
      </c>
      <c r="H5562" s="73"/>
      <c r="I5562" s="74"/>
      <c r="J5562" s="155">
        <v>0</v>
      </c>
    </row>
    <row r="5563" spans="1:10" ht="25.5" hidden="1" x14ac:dyDescent="0.25">
      <c r="A5563" s="195"/>
      <c r="B5563" s="187"/>
      <c r="C5563" s="36" t="s">
        <v>6472</v>
      </c>
      <c r="D5563" s="162" t="s">
        <v>93</v>
      </c>
      <c r="E5563" s="163">
        <v>1</v>
      </c>
      <c r="F5563" s="31">
        <v>0</v>
      </c>
      <c r="G5563" s="54">
        <f>IF(ISNUMBER(F5563),E5563*F5563,"")</f>
        <v>0</v>
      </c>
      <c r="H5563" s="39">
        <f>SUM(G5563:G5563)</f>
        <v>0</v>
      </c>
      <c r="I5563" s="40"/>
      <c r="J5563" s="155">
        <v>0</v>
      </c>
    </row>
    <row r="5564" spans="1:10" ht="15.75" hidden="1" thickBot="1" x14ac:dyDescent="0.3">
      <c r="A5564" s="196"/>
      <c r="B5564" s="188"/>
      <c r="C5564" s="55"/>
      <c r="D5564" s="165"/>
      <c r="E5564" s="66"/>
      <c r="F5564" s="76" t="s">
        <v>558</v>
      </c>
      <c r="G5564" s="76" t="str">
        <f>IF(ISNUMBER(F5564),E5564*F5564,"")</f>
        <v/>
      </c>
      <c r="H5564" s="77"/>
      <c r="I5564" s="74"/>
      <c r="J5564" s="155">
        <v>0</v>
      </c>
    </row>
    <row r="5565" spans="1:10" ht="15.75" hidden="1" thickBot="1" x14ac:dyDescent="0.3">
      <c r="A5565" s="189" t="s">
        <v>5536</v>
      </c>
      <c r="B5565" s="186" t="str">
        <f>INDEX(Orçamentária!A:B,MATCH(Composições!A5565,Orçamentária!A:A,0),2)</f>
        <v>Eletroduto de aço galvanizado de 2 1/2”</v>
      </c>
      <c r="C5565" s="41"/>
      <c r="D5565" s="26" t="str">
        <f>TRIM(INDEX(Orçamentária!C:C,MATCH(Composições!A5565,Orçamentária!A:A,0),1))</f>
        <v>m</v>
      </c>
      <c r="E5565" s="27"/>
      <c r="F5565" s="49" t="s">
        <v>558</v>
      </c>
      <c r="G5565" s="28" t="str">
        <f>IF(ISNUMBER(F5565),E5565*F5565,"")</f>
        <v/>
      </c>
      <c r="H5565" s="29"/>
      <c r="I5565" s="30"/>
      <c r="J5565" s="155">
        <v>0</v>
      </c>
    </row>
    <row r="5566" spans="1:10" hidden="1" x14ac:dyDescent="0.25">
      <c r="A5566" s="195"/>
      <c r="B5566" s="187"/>
      <c r="C5566" s="169"/>
      <c r="D5566" s="169"/>
      <c r="E5566" s="170"/>
      <c r="F5566" s="54" t="s">
        <v>558</v>
      </c>
      <c r="G5566" s="54" t="str">
        <f>IF(ISNUMBER(F5566),E5566*F5566,"")</f>
        <v/>
      </c>
      <c r="H5566" s="73"/>
      <c r="I5566" s="74"/>
      <c r="J5566" s="155">
        <v>0</v>
      </c>
    </row>
    <row r="5567" spans="1:10" ht="25.5" hidden="1" x14ac:dyDescent="0.25">
      <c r="A5567" s="195"/>
      <c r="B5567" s="187"/>
      <c r="C5567" s="36" t="s">
        <v>6473</v>
      </c>
      <c r="D5567" s="162" t="s">
        <v>93</v>
      </c>
      <c r="E5567" s="163">
        <v>1</v>
      </c>
      <c r="F5567" s="31">
        <v>0</v>
      </c>
      <c r="G5567" s="54">
        <f>IF(ISNUMBER(F5567),E5567*F5567,"")</f>
        <v>0</v>
      </c>
      <c r="H5567" s="39">
        <f>SUM(G5567:G5567)</f>
        <v>0</v>
      </c>
      <c r="I5567" s="40"/>
      <c r="J5567" s="155">
        <v>0</v>
      </c>
    </row>
    <row r="5568" spans="1:10" ht="15.75" hidden="1" thickBot="1" x14ac:dyDescent="0.3">
      <c r="A5568" s="196"/>
      <c r="B5568" s="188"/>
      <c r="C5568" s="55"/>
      <c r="D5568" s="165"/>
      <c r="E5568" s="66"/>
      <c r="F5568" s="76" t="s">
        <v>558</v>
      </c>
      <c r="G5568" s="76" t="str">
        <f>IF(ISNUMBER(F5568),E5568*F5568,"")</f>
        <v/>
      </c>
      <c r="H5568" s="77"/>
      <c r="I5568" s="74"/>
      <c r="J5568" s="155">
        <v>0</v>
      </c>
    </row>
    <row r="5569" spans="1:10" ht="15.75" hidden="1" thickBot="1" x14ac:dyDescent="0.3">
      <c r="A5569" s="189" t="s">
        <v>5537</v>
      </c>
      <c r="B5569" s="186" t="str">
        <f>INDEX(Orçamentária!A:B,MATCH(Composições!A5569,Orçamentária!A:A,0),2)</f>
        <v xml:space="preserve">Eletroduto de aço galvanizado de 3” </v>
      </c>
      <c r="C5569" s="41"/>
      <c r="D5569" s="26" t="str">
        <f>TRIM(INDEX(Orçamentária!C:C,MATCH(Composições!A5569,Orçamentária!A:A,0),1))</f>
        <v>m</v>
      </c>
      <c r="E5569" s="27"/>
      <c r="F5569" s="49" t="s">
        <v>558</v>
      </c>
      <c r="G5569" s="28" t="str">
        <f>IF(ISNUMBER(F5569),E5569*F5569,"")</f>
        <v/>
      </c>
      <c r="H5569" s="29"/>
      <c r="I5569" s="30"/>
      <c r="J5569" s="155">
        <v>0</v>
      </c>
    </row>
    <row r="5570" spans="1:10" hidden="1" x14ac:dyDescent="0.25">
      <c r="A5570" s="195"/>
      <c r="B5570" s="187"/>
      <c r="C5570" s="169"/>
      <c r="D5570" s="169"/>
      <c r="E5570" s="170"/>
      <c r="F5570" s="54" t="s">
        <v>558</v>
      </c>
      <c r="G5570" s="54" t="str">
        <f>IF(ISNUMBER(F5570),E5570*F5570,"")</f>
        <v/>
      </c>
      <c r="H5570" s="73"/>
      <c r="I5570" s="74"/>
      <c r="J5570" s="155">
        <v>0</v>
      </c>
    </row>
    <row r="5571" spans="1:10" ht="25.5" hidden="1" x14ac:dyDescent="0.25">
      <c r="A5571" s="195"/>
      <c r="B5571" s="187"/>
      <c r="C5571" s="36" t="s">
        <v>6474</v>
      </c>
      <c r="D5571" s="162" t="s">
        <v>93</v>
      </c>
      <c r="E5571" s="163">
        <v>1</v>
      </c>
      <c r="F5571" s="31">
        <v>0</v>
      </c>
      <c r="G5571" s="54">
        <f>IF(ISNUMBER(F5571),E5571*F5571,"")</f>
        <v>0</v>
      </c>
      <c r="H5571" s="39">
        <f>SUM(G5571:G5571)</f>
        <v>0</v>
      </c>
      <c r="I5571" s="40"/>
      <c r="J5571" s="155">
        <v>0</v>
      </c>
    </row>
    <row r="5572" spans="1:10" ht="15.75" hidden="1" thickBot="1" x14ac:dyDescent="0.3">
      <c r="A5572" s="196"/>
      <c r="B5572" s="188"/>
      <c r="C5572" s="55"/>
      <c r="D5572" s="165"/>
      <c r="E5572" s="66"/>
      <c r="F5572" s="76" t="s">
        <v>558</v>
      </c>
      <c r="G5572" s="76" t="str">
        <f>IF(ISNUMBER(F5572),E5572*F5572,"")</f>
        <v/>
      </c>
      <c r="H5572" s="77"/>
      <c r="I5572" s="74"/>
      <c r="J5572" s="155">
        <v>0</v>
      </c>
    </row>
    <row r="5573" spans="1:10" ht="15.75" hidden="1" thickBot="1" x14ac:dyDescent="0.3">
      <c r="A5573" s="189" t="s">
        <v>5538</v>
      </c>
      <c r="B5573" s="186" t="str">
        <f>INDEX(Orçamentária!A:B,MATCH(Composições!A5573,Orçamentária!A:A,0),2)</f>
        <v>Eletroduto de aço galvanizado de 4”</v>
      </c>
      <c r="C5573" s="41"/>
      <c r="D5573" s="26" t="str">
        <f>TRIM(INDEX(Orçamentária!C:C,MATCH(Composições!A5573,Orçamentária!A:A,0),1))</f>
        <v>m</v>
      </c>
      <c r="E5573" s="27"/>
      <c r="F5573" s="49" t="s">
        <v>558</v>
      </c>
      <c r="G5573" s="28" t="str">
        <f>IF(ISNUMBER(F5573),E5573*F5573,"")</f>
        <v/>
      </c>
      <c r="H5573" s="29"/>
      <c r="I5573" s="30"/>
      <c r="J5573" s="155">
        <v>0</v>
      </c>
    </row>
    <row r="5574" spans="1:10" hidden="1" x14ac:dyDescent="0.25">
      <c r="A5574" s="195"/>
      <c r="B5574" s="187"/>
      <c r="C5574" s="169"/>
      <c r="D5574" s="169"/>
      <c r="E5574" s="170"/>
      <c r="F5574" s="54" t="s">
        <v>558</v>
      </c>
      <c r="G5574" s="54" t="str">
        <f>IF(ISNUMBER(F5574),E5574*F5574,"")</f>
        <v/>
      </c>
      <c r="H5574" s="73"/>
      <c r="I5574" s="74"/>
      <c r="J5574" s="155">
        <v>0</v>
      </c>
    </row>
    <row r="5575" spans="1:10" ht="25.5" hidden="1" x14ac:dyDescent="0.25">
      <c r="A5575" s="195"/>
      <c r="B5575" s="187"/>
      <c r="C5575" s="36" t="s">
        <v>6475</v>
      </c>
      <c r="D5575" s="162" t="s">
        <v>147</v>
      </c>
      <c r="E5575" s="163">
        <v>1</v>
      </c>
      <c r="F5575" s="31">
        <v>0</v>
      </c>
      <c r="G5575" s="54">
        <f>IF(ISNUMBER(F5575),E5575*F5575,"")</f>
        <v>0</v>
      </c>
      <c r="H5575" s="39">
        <f>SUM(G5575:G5575)</f>
        <v>0</v>
      </c>
      <c r="I5575" s="40"/>
      <c r="J5575" s="155">
        <v>0</v>
      </c>
    </row>
    <row r="5576" spans="1:10" ht="15.75" hidden="1" thickBot="1" x14ac:dyDescent="0.3">
      <c r="A5576" s="196"/>
      <c r="B5576" s="188"/>
      <c r="C5576" s="55"/>
      <c r="D5576" s="165"/>
      <c r="E5576" s="66"/>
      <c r="F5576" s="76" t="s">
        <v>558</v>
      </c>
      <c r="G5576" s="76" t="str">
        <f>IF(ISNUMBER(F5576),E5576*F5576,"")</f>
        <v/>
      </c>
      <c r="H5576" s="77"/>
      <c r="I5576" s="74"/>
      <c r="J5576" s="155">
        <v>0</v>
      </c>
    </row>
    <row r="5577" spans="1:10" ht="15.75" hidden="1" thickBot="1" x14ac:dyDescent="0.3">
      <c r="A5577" s="189" t="s">
        <v>5548</v>
      </c>
      <c r="B5577" s="186" t="str">
        <f>INDEX(Orçamentária!A:B,MATCH(Composições!A5577,Orçamentária!A:A,0),2)</f>
        <v>Luva para eletroduto 1/2”</v>
      </c>
      <c r="C5577" s="41"/>
      <c r="D5577" s="26" t="str">
        <f>TRIM(INDEX(Orçamentária!C:C,MATCH(Composições!A5577,Orçamentária!A:A,0),1))</f>
        <v>un</v>
      </c>
      <c r="E5577" s="27"/>
      <c r="F5577" s="49" t="s">
        <v>558</v>
      </c>
      <c r="G5577" s="28" t="str">
        <f>IF(ISNUMBER(F5577),E5577*F5577,"")</f>
        <v/>
      </c>
      <c r="H5577" s="29"/>
      <c r="I5577" s="30"/>
      <c r="J5577" s="155">
        <v>0</v>
      </c>
    </row>
    <row r="5578" spans="1:10" hidden="1" x14ac:dyDescent="0.25">
      <c r="A5578" s="195"/>
      <c r="B5578" s="187"/>
      <c r="C5578" s="169"/>
      <c r="D5578" s="169"/>
      <c r="E5578" s="170"/>
      <c r="F5578" s="54" t="s">
        <v>558</v>
      </c>
      <c r="G5578" s="54" t="str">
        <f>IF(ISNUMBER(F5578),E5578*F5578,"")</f>
        <v/>
      </c>
      <c r="H5578" s="73"/>
      <c r="I5578" s="74"/>
      <c r="J5578" s="155">
        <v>0</v>
      </c>
    </row>
    <row r="5579" spans="1:10" ht="25.5" hidden="1" x14ac:dyDescent="0.25">
      <c r="A5579" s="195"/>
      <c r="B5579" s="187"/>
      <c r="C5579" s="36" t="s">
        <v>3420</v>
      </c>
      <c r="D5579" s="162" t="s">
        <v>20</v>
      </c>
      <c r="E5579" s="163">
        <v>1</v>
      </c>
      <c r="F5579" s="31">
        <v>1.5864999999999998</v>
      </c>
      <c r="G5579" s="54">
        <f>IF(ISNUMBER(F5579),E5579*F5579,"")</f>
        <v>1.5864999999999998</v>
      </c>
      <c r="H5579" s="39">
        <f>SUM(G5579:G5579)</f>
        <v>1.5864999999999998</v>
      </c>
      <c r="I5579" s="40"/>
      <c r="J5579" s="155">
        <v>0</v>
      </c>
    </row>
    <row r="5580" spans="1:10" ht="15.75" hidden="1" thickBot="1" x14ac:dyDescent="0.3">
      <c r="A5580" s="196"/>
      <c r="B5580" s="188"/>
      <c r="C5580" s="55"/>
      <c r="D5580" s="165"/>
      <c r="E5580" s="66"/>
      <c r="F5580" s="76" t="s">
        <v>558</v>
      </c>
      <c r="G5580" s="76" t="str">
        <f>IF(ISNUMBER(F5580),E5580*F5580,"")</f>
        <v/>
      </c>
      <c r="H5580" s="77"/>
      <c r="I5580" s="74"/>
      <c r="J5580" s="155">
        <v>0</v>
      </c>
    </row>
    <row r="5581" spans="1:10" ht="15.75" hidden="1" thickBot="1" x14ac:dyDescent="0.3">
      <c r="A5581" s="180" t="s">
        <v>5550</v>
      </c>
      <c r="B5581" s="186" t="str">
        <f>INDEX(Orçamentária!A:B,MATCH(Composições!A5581,Orçamentária!A:A,0),2)</f>
        <v>Curva para eletroduto 1/2”</v>
      </c>
      <c r="C5581" s="41"/>
      <c r="D5581" s="26" t="str">
        <f>TRIM(INDEX(Orçamentária!C:C,MATCH(Composições!A5581,Orçamentária!A:A,0),1))</f>
        <v>un</v>
      </c>
      <c r="E5581" s="27"/>
      <c r="F5581" s="49" t="s">
        <v>558</v>
      </c>
      <c r="G5581" s="28" t="str">
        <f>IF(ISNUMBER(F5581),E5581*F5581,"")</f>
        <v/>
      </c>
      <c r="H5581" s="29"/>
      <c r="I5581" s="30"/>
      <c r="J5581" s="155">
        <v>0</v>
      </c>
    </row>
    <row r="5582" spans="1:10" hidden="1" x14ac:dyDescent="0.25">
      <c r="A5582" s="181"/>
      <c r="B5582" s="187"/>
      <c r="C5582" s="169"/>
      <c r="D5582" s="169"/>
      <c r="E5582" s="170"/>
      <c r="F5582" s="54" t="s">
        <v>558</v>
      </c>
      <c r="G5582" s="54" t="str">
        <f>IF(ISNUMBER(F5582),E5582*F5582,"")</f>
        <v/>
      </c>
      <c r="H5582" s="73"/>
      <c r="I5582" s="74"/>
      <c r="J5582" s="155">
        <v>0</v>
      </c>
    </row>
    <row r="5583" spans="1:10" ht="25.5" hidden="1" x14ac:dyDescent="0.25">
      <c r="A5583" s="181"/>
      <c r="B5583" s="187"/>
      <c r="C5583" s="36" t="s">
        <v>3378</v>
      </c>
      <c r="D5583" s="162" t="s">
        <v>20</v>
      </c>
      <c r="E5583" s="163">
        <v>1</v>
      </c>
      <c r="F5583" s="31">
        <v>3.9614999999999996</v>
      </c>
      <c r="G5583" s="54">
        <f>IF(ISNUMBER(F5583),E5583*F5583,"")</f>
        <v>3.9614999999999996</v>
      </c>
      <c r="H5583" s="39">
        <f>SUM(G5583:G5583)</f>
        <v>3.9614999999999996</v>
      </c>
      <c r="I5583" s="40"/>
      <c r="J5583" s="155">
        <v>0</v>
      </c>
    </row>
    <row r="5584" spans="1:10" ht="15.75" hidden="1" thickBot="1" x14ac:dyDescent="0.3">
      <c r="A5584" s="182"/>
      <c r="B5584" s="188"/>
      <c r="C5584" s="55"/>
      <c r="D5584" s="165"/>
      <c r="E5584" s="66"/>
      <c r="F5584" s="76" t="s">
        <v>558</v>
      </c>
      <c r="G5584" s="76" t="str">
        <f>IF(ISNUMBER(F5584),E5584*F5584,"")</f>
        <v/>
      </c>
      <c r="H5584" s="77"/>
      <c r="I5584" s="74"/>
      <c r="J5584" s="155">
        <v>0</v>
      </c>
    </row>
    <row r="5585" spans="1:10" ht="15.75" hidden="1" thickBot="1" x14ac:dyDescent="0.3">
      <c r="A5585" s="180" t="s">
        <v>5551</v>
      </c>
      <c r="B5585" s="186" t="str">
        <f>INDEX(Orçamentária!A:B,MATCH(Composições!A5585,Orçamentária!A:A,0),2)</f>
        <v>Conector reto para eletroduto 3/4”</v>
      </c>
      <c r="C5585" s="41"/>
      <c r="D5585" s="26" t="str">
        <f>TRIM(INDEX(Orçamentária!C:C,MATCH(Composições!A5585,Orçamentária!A:A,0),1))</f>
        <v>un</v>
      </c>
      <c r="E5585" s="27"/>
      <c r="F5585" s="49" t="s">
        <v>558</v>
      </c>
      <c r="G5585" s="28" t="str">
        <f>IF(ISNUMBER(F5585),E5585*F5585,"")</f>
        <v/>
      </c>
      <c r="H5585" s="29"/>
      <c r="I5585" s="30"/>
      <c r="J5585" s="155">
        <v>0</v>
      </c>
    </row>
    <row r="5586" spans="1:10" hidden="1" x14ac:dyDescent="0.25">
      <c r="A5586" s="181"/>
      <c r="B5586" s="187"/>
      <c r="C5586" s="169"/>
      <c r="D5586" s="169"/>
      <c r="E5586" s="170"/>
      <c r="F5586" s="54" t="s">
        <v>558</v>
      </c>
      <c r="G5586" s="54" t="str">
        <f>IF(ISNUMBER(F5586),E5586*F5586,"")</f>
        <v/>
      </c>
      <c r="H5586" s="73"/>
      <c r="I5586" s="74"/>
      <c r="J5586" s="155">
        <v>0</v>
      </c>
    </row>
    <row r="5587" spans="1:10" ht="38.25" hidden="1" x14ac:dyDescent="0.25">
      <c r="A5587" s="181"/>
      <c r="B5587" s="187"/>
      <c r="C5587" s="36" t="s">
        <v>3368</v>
      </c>
      <c r="D5587" s="162" t="s">
        <v>20</v>
      </c>
      <c r="E5587" s="163">
        <v>1</v>
      </c>
      <c r="F5587" s="31">
        <v>1.216</v>
      </c>
      <c r="G5587" s="54">
        <f>IF(ISNUMBER(F5587),E5587*F5587,"")</f>
        <v>1.216</v>
      </c>
      <c r="H5587" s="39">
        <f>SUM(G5587:G5587)</f>
        <v>1.216</v>
      </c>
      <c r="I5587" s="40"/>
      <c r="J5587" s="155">
        <v>0</v>
      </c>
    </row>
    <row r="5588" spans="1:10" ht="15.75" hidden="1" thickBot="1" x14ac:dyDescent="0.3">
      <c r="A5588" s="182"/>
      <c r="B5588" s="188"/>
      <c r="C5588" s="55"/>
      <c r="D5588" s="165"/>
      <c r="E5588" s="66"/>
      <c r="F5588" s="76" t="s">
        <v>558</v>
      </c>
      <c r="G5588" s="76" t="str">
        <f>IF(ISNUMBER(F5588),E5588*F5588,"")</f>
        <v/>
      </c>
      <c r="H5588" s="77"/>
      <c r="I5588" s="74"/>
      <c r="J5588" s="155">
        <v>0</v>
      </c>
    </row>
    <row r="5589" spans="1:10" ht="15.75" hidden="1" thickBot="1" x14ac:dyDescent="0.3">
      <c r="A5589" s="180" t="s">
        <v>5552</v>
      </c>
      <c r="B5589" s="186" t="str">
        <f>INDEX(Orçamentária!A:B,MATCH(Composições!A5589,Orçamentária!A:A,0),2)</f>
        <v>Conector curvo para eletroduto 3/4”</v>
      </c>
      <c r="C5589" s="41"/>
      <c r="D5589" s="26" t="str">
        <f>TRIM(INDEX(Orçamentária!C:C,MATCH(Composições!A5589,Orçamentária!A:A,0),1))</f>
        <v>un</v>
      </c>
      <c r="E5589" s="27"/>
      <c r="F5589" s="49" t="s">
        <v>558</v>
      </c>
      <c r="G5589" s="28" t="str">
        <f>IF(ISNUMBER(F5589),E5589*F5589,"")</f>
        <v/>
      </c>
      <c r="H5589" s="29"/>
      <c r="I5589" s="30"/>
      <c r="J5589" s="155">
        <v>0</v>
      </c>
    </row>
    <row r="5590" spans="1:10" hidden="1" x14ac:dyDescent="0.25">
      <c r="A5590" s="181"/>
      <c r="B5590" s="187"/>
      <c r="C5590" s="169"/>
      <c r="D5590" s="169"/>
      <c r="E5590" s="170"/>
      <c r="F5590" s="54" t="s">
        <v>558</v>
      </c>
      <c r="G5590" s="54" t="str">
        <f>IF(ISNUMBER(F5590),E5590*F5590,"")</f>
        <v/>
      </c>
      <c r="H5590" s="73"/>
      <c r="I5590" s="74"/>
      <c r="J5590" s="155">
        <v>0</v>
      </c>
    </row>
    <row r="5591" spans="1:10" ht="38.25" hidden="1" x14ac:dyDescent="0.25">
      <c r="A5591" s="181"/>
      <c r="B5591" s="187"/>
      <c r="C5591" s="36" t="s">
        <v>3361</v>
      </c>
      <c r="D5591" s="162" t="s">
        <v>20</v>
      </c>
      <c r="E5591" s="163">
        <v>1</v>
      </c>
      <c r="F5591" s="31">
        <v>5.7474999999999996</v>
      </c>
      <c r="G5591" s="54">
        <f>IF(ISNUMBER(F5591),E5591*F5591,"")</f>
        <v>5.7474999999999996</v>
      </c>
      <c r="H5591" s="39">
        <f>SUM(G5591:G5591)</f>
        <v>5.7474999999999996</v>
      </c>
      <c r="I5591" s="40"/>
      <c r="J5591" s="155">
        <v>0</v>
      </c>
    </row>
    <row r="5592" spans="1:10" ht="15.75" hidden="1" thickBot="1" x14ac:dyDescent="0.3">
      <c r="A5592" s="182"/>
      <c r="B5592" s="188"/>
      <c r="C5592" s="55"/>
      <c r="D5592" s="165"/>
      <c r="E5592" s="66"/>
      <c r="F5592" s="76" t="s">
        <v>558</v>
      </c>
      <c r="G5592" s="76" t="str">
        <f>IF(ISNUMBER(F5592),E5592*F5592,"")</f>
        <v/>
      </c>
      <c r="H5592" s="77"/>
      <c r="I5592" s="74"/>
      <c r="J5592" s="155">
        <v>0</v>
      </c>
    </row>
    <row r="5593" spans="1:10" ht="15.75" hidden="1" thickBot="1" x14ac:dyDescent="0.3">
      <c r="A5593" s="189" t="s">
        <v>5553</v>
      </c>
      <c r="B5593" s="186" t="str">
        <f>INDEX(Orçamentária!A:B,MATCH(Composições!A5593,Orçamentária!A:A,0),2)</f>
        <v>Luva para eletroduto 3/4”</v>
      </c>
      <c r="C5593" s="41"/>
      <c r="D5593" s="26" t="str">
        <f>TRIM(INDEX(Orçamentária!C:C,MATCH(Composições!A5593,Orçamentária!A:A,0),1))</f>
        <v>un</v>
      </c>
      <c r="E5593" s="27"/>
      <c r="F5593" s="49" t="s">
        <v>558</v>
      </c>
      <c r="G5593" s="28" t="str">
        <f>IF(ISNUMBER(F5593),E5593*F5593,"")</f>
        <v/>
      </c>
      <c r="H5593" s="29"/>
      <c r="I5593" s="30"/>
      <c r="J5593" s="155">
        <v>0</v>
      </c>
    </row>
    <row r="5594" spans="1:10" hidden="1" x14ac:dyDescent="0.25">
      <c r="A5594" s="195"/>
      <c r="B5594" s="187"/>
      <c r="C5594" s="169"/>
      <c r="D5594" s="169"/>
      <c r="E5594" s="170"/>
      <c r="F5594" s="54" t="s">
        <v>558</v>
      </c>
      <c r="G5594" s="54" t="str">
        <f>IF(ISNUMBER(F5594),E5594*F5594,"")</f>
        <v/>
      </c>
      <c r="H5594" s="73"/>
      <c r="I5594" s="74"/>
      <c r="J5594" s="155">
        <v>0</v>
      </c>
    </row>
    <row r="5595" spans="1:10" ht="25.5" hidden="1" x14ac:dyDescent="0.25">
      <c r="A5595" s="195"/>
      <c r="B5595" s="187"/>
      <c r="C5595" s="36" t="s">
        <v>3421</v>
      </c>
      <c r="D5595" s="162" t="s">
        <v>20</v>
      </c>
      <c r="E5595" s="163">
        <v>1</v>
      </c>
      <c r="F5595" s="31">
        <v>1.6909999999999998</v>
      </c>
      <c r="G5595" s="54">
        <f>IF(ISNUMBER(F5595),E5595*F5595,"")</f>
        <v>1.6909999999999998</v>
      </c>
      <c r="H5595" s="39">
        <f>SUM(G5595:G5595)</f>
        <v>1.6909999999999998</v>
      </c>
      <c r="I5595" s="40"/>
      <c r="J5595" s="155">
        <v>0</v>
      </c>
    </row>
    <row r="5596" spans="1:10" ht="15.75" hidden="1" thickBot="1" x14ac:dyDescent="0.3">
      <c r="A5596" s="196"/>
      <c r="B5596" s="188"/>
      <c r="C5596" s="55"/>
      <c r="D5596" s="165"/>
      <c r="E5596" s="66"/>
      <c r="F5596" s="76" t="s">
        <v>558</v>
      </c>
      <c r="G5596" s="76" t="str">
        <f>IF(ISNUMBER(F5596),E5596*F5596,"")</f>
        <v/>
      </c>
      <c r="H5596" s="77"/>
      <c r="I5596" s="74"/>
      <c r="J5596" s="155">
        <v>0</v>
      </c>
    </row>
    <row r="5597" spans="1:10" ht="15.75" hidden="1" thickBot="1" x14ac:dyDescent="0.3">
      <c r="A5597" s="189" t="s">
        <v>5555</v>
      </c>
      <c r="B5597" s="186" t="str">
        <f>INDEX(Orçamentária!A:B,MATCH(Composições!A5597,Orçamentária!A:A,0),2)</f>
        <v>Curva para eletroduto 3/4”</v>
      </c>
      <c r="C5597" s="41"/>
      <c r="D5597" s="26" t="str">
        <f>TRIM(INDEX(Orçamentária!C:C,MATCH(Composições!A5597,Orçamentária!A:A,0),1))</f>
        <v>un</v>
      </c>
      <c r="E5597" s="27"/>
      <c r="F5597" s="49" t="s">
        <v>558</v>
      </c>
      <c r="G5597" s="28" t="str">
        <f>IF(ISNUMBER(F5597),E5597*F5597,"")</f>
        <v/>
      </c>
      <c r="H5597" s="29"/>
      <c r="I5597" s="30"/>
      <c r="J5597" s="155">
        <v>0</v>
      </c>
    </row>
    <row r="5598" spans="1:10" hidden="1" x14ac:dyDescent="0.25">
      <c r="A5598" s="195"/>
      <c r="B5598" s="187"/>
      <c r="C5598" s="169"/>
      <c r="D5598" s="169"/>
      <c r="E5598" s="170"/>
      <c r="F5598" s="54" t="s">
        <v>558</v>
      </c>
      <c r="G5598" s="54" t="str">
        <f>IF(ISNUMBER(F5598),E5598*F5598,"")</f>
        <v/>
      </c>
      <c r="H5598" s="73"/>
      <c r="I5598" s="74"/>
      <c r="J5598" s="155">
        <v>0</v>
      </c>
    </row>
    <row r="5599" spans="1:10" ht="25.5" hidden="1" x14ac:dyDescent="0.25">
      <c r="A5599" s="195"/>
      <c r="B5599" s="187"/>
      <c r="C5599" s="36" t="s">
        <v>3379</v>
      </c>
      <c r="D5599" s="162" t="s">
        <v>20</v>
      </c>
      <c r="E5599" s="163">
        <v>1</v>
      </c>
      <c r="F5599" s="31">
        <v>4.484</v>
      </c>
      <c r="G5599" s="54">
        <f>IF(ISNUMBER(F5599),E5599*F5599,"")</f>
        <v>4.484</v>
      </c>
      <c r="H5599" s="39">
        <f>SUM(G5599:G5599)</f>
        <v>4.484</v>
      </c>
      <c r="I5599" s="40"/>
      <c r="J5599" s="155">
        <v>0</v>
      </c>
    </row>
    <row r="5600" spans="1:10" ht="15.75" hidden="1" thickBot="1" x14ac:dyDescent="0.3">
      <c r="A5600" s="196"/>
      <c r="B5600" s="188"/>
      <c r="C5600" s="55"/>
      <c r="D5600" s="165"/>
      <c r="E5600" s="66"/>
      <c r="F5600" s="76" t="s">
        <v>558</v>
      </c>
      <c r="G5600" s="76" t="str">
        <f>IF(ISNUMBER(F5600),E5600*F5600,"")</f>
        <v/>
      </c>
      <c r="H5600" s="77"/>
      <c r="I5600" s="74"/>
      <c r="J5600" s="155">
        <v>0</v>
      </c>
    </row>
    <row r="5601" spans="1:10" ht="15.75" hidden="1" thickBot="1" x14ac:dyDescent="0.3">
      <c r="A5601" s="189" t="s">
        <v>5556</v>
      </c>
      <c r="B5601" s="186" t="str">
        <f>INDEX(Orçamentária!A:B,MATCH(Composições!A5601,Orçamentária!A:A,0),2)</f>
        <v>Conector reto para eletroduto 1”</v>
      </c>
      <c r="C5601" s="41"/>
      <c r="D5601" s="26" t="str">
        <f>TRIM(INDEX(Orçamentária!C:C,MATCH(Composições!A5601,Orçamentária!A:A,0),1))</f>
        <v>un</v>
      </c>
      <c r="E5601" s="27"/>
      <c r="F5601" s="49" t="s">
        <v>558</v>
      </c>
      <c r="G5601" s="28" t="str">
        <f>IF(ISNUMBER(F5601),E5601*F5601,"")</f>
        <v/>
      </c>
      <c r="H5601" s="29"/>
      <c r="I5601" s="30"/>
      <c r="J5601" s="155">
        <v>0</v>
      </c>
    </row>
    <row r="5602" spans="1:10" hidden="1" x14ac:dyDescent="0.25">
      <c r="A5602" s="195"/>
      <c r="B5602" s="187"/>
      <c r="C5602" s="169"/>
      <c r="D5602" s="169"/>
      <c r="E5602" s="170"/>
      <c r="F5602" s="54" t="s">
        <v>558</v>
      </c>
      <c r="G5602" s="54" t="str">
        <f>IF(ISNUMBER(F5602),E5602*F5602,"")</f>
        <v/>
      </c>
      <c r="H5602" s="73"/>
      <c r="I5602" s="74"/>
      <c r="J5602" s="155">
        <v>0</v>
      </c>
    </row>
    <row r="5603" spans="1:10" ht="38.25" hidden="1" x14ac:dyDescent="0.25">
      <c r="A5603" s="195"/>
      <c r="B5603" s="187"/>
      <c r="C5603" s="36" t="s">
        <v>3366</v>
      </c>
      <c r="D5603" s="162" t="s">
        <v>20</v>
      </c>
      <c r="E5603" s="163">
        <v>1</v>
      </c>
      <c r="F5603" s="31">
        <v>2.1755</v>
      </c>
      <c r="G5603" s="54">
        <f>IF(ISNUMBER(F5603),E5603*F5603,"")</f>
        <v>2.1755</v>
      </c>
      <c r="H5603" s="39">
        <f>SUM(G5603:G5603)</f>
        <v>2.1755</v>
      </c>
      <c r="I5603" s="40"/>
      <c r="J5603" s="155">
        <v>0</v>
      </c>
    </row>
    <row r="5604" spans="1:10" ht="15.75" hidden="1" thickBot="1" x14ac:dyDescent="0.3">
      <c r="A5604" s="196"/>
      <c r="B5604" s="188"/>
      <c r="C5604" s="55"/>
      <c r="D5604" s="165"/>
      <c r="E5604" s="66"/>
      <c r="F5604" s="76" t="s">
        <v>558</v>
      </c>
      <c r="G5604" s="76" t="str">
        <f>IF(ISNUMBER(F5604),E5604*F5604,"")</f>
        <v/>
      </c>
      <c r="H5604" s="77"/>
      <c r="I5604" s="74"/>
      <c r="J5604" s="155">
        <v>0</v>
      </c>
    </row>
    <row r="5605" spans="1:10" ht="15.75" hidden="1" thickBot="1" x14ac:dyDescent="0.3">
      <c r="A5605" s="189" t="s">
        <v>5557</v>
      </c>
      <c r="B5605" s="186" t="str">
        <f>INDEX(Orçamentária!A:B,MATCH(Composições!A5605,Orçamentária!A:A,0),2)</f>
        <v>Conector curvo para eletroduto 1”</v>
      </c>
      <c r="C5605" s="41"/>
      <c r="D5605" s="26" t="str">
        <f>TRIM(INDEX(Orçamentária!C:C,MATCH(Composições!A5605,Orçamentária!A:A,0),1))</f>
        <v>un</v>
      </c>
      <c r="E5605" s="27"/>
      <c r="F5605" s="49" t="s">
        <v>558</v>
      </c>
      <c r="G5605" s="28" t="str">
        <f>IF(ISNUMBER(F5605),E5605*F5605,"")</f>
        <v/>
      </c>
      <c r="H5605" s="29"/>
      <c r="I5605" s="30"/>
      <c r="J5605" s="155">
        <v>0</v>
      </c>
    </row>
    <row r="5606" spans="1:10" hidden="1" x14ac:dyDescent="0.25">
      <c r="A5606" s="195"/>
      <c r="B5606" s="187"/>
      <c r="C5606" s="169"/>
      <c r="D5606" s="169"/>
      <c r="E5606" s="170"/>
      <c r="F5606" s="54" t="s">
        <v>558</v>
      </c>
      <c r="G5606" s="54" t="str">
        <f>IF(ISNUMBER(F5606),E5606*F5606,"")</f>
        <v/>
      </c>
      <c r="H5606" s="73"/>
      <c r="I5606" s="74"/>
      <c r="J5606" s="155">
        <v>0</v>
      </c>
    </row>
    <row r="5607" spans="1:10" ht="38.25" hidden="1" x14ac:dyDescent="0.25">
      <c r="A5607" s="195"/>
      <c r="B5607" s="187"/>
      <c r="C5607" s="36" t="s">
        <v>3358</v>
      </c>
      <c r="D5607" s="162" t="s">
        <v>20</v>
      </c>
      <c r="E5607" s="163">
        <v>1</v>
      </c>
      <c r="F5607" s="31">
        <v>6.9064999999999994</v>
      </c>
      <c r="G5607" s="54">
        <f>IF(ISNUMBER(F5607),E5607*F5607,"")</f>
        <v>6.9064999999999994</v>
      </c>
      <c r="H5607" s="39">
        <f>SUM(G5607:G5607)</f>
        <v>6.9064999999999994</v>
      </c>
      <c r="I5607" s="40"/>
      <c r="J5607" s="155">
        <v>0</v>
      </c>
    </row>
    <row r="5608" spans="1:10" ht="15.75" hidden="1" thickBot="1" x14ac:dyDescent="0.3">
      <c r="A5608" s="196"/>
      <c r="B5608" s="188"/>
      <c r="C5608" s="55"/>
      <c r="D5608" s="165"/>
      <c r="E5608" s="66"/>
      <c r="F5608" s="76" t="s">
        <v>558</v>
      </c>
      <c r="G5608" s="76" t="str">
        <f>IF(ISNUMBER(F5608),E5608*F5608,"")</f>
        <v/>
      </c>
      <c r="H5608" s="77"/>
      <c r="I5608" s="74"/>
      <c r="J5608" s="155">
        <v>0</v>
      </c>
    </row>
    <row r="5609" spans="1:10" ht="15.75" hidden="1" thickBot="1" x14ac:dyDescent="0.3">
      <c r="A5609" s="189" t="s">
        <v>5558</v>
      </c>
      <c r="B5609" s="186" t="str">
        <f>INDEX(Orçamentária!A:B,MATCH(Composições!A5609,Orçamentária!A:A,0),2)</f>
        <v>Luva para eletroduto 1”</v>
      </c>
      <c r="C5609" s="41"/>
      <c r="D5609" s="26" t="str">
        <f>TRIM(INDEX(Orçamentária!C:C,MATCH(Composições!A5609,Orçamentária!A:A,0),1))</f>
        <v>un</v>
      </c>
      <c r="E5609" s="27"/>
      <c r="F5609" s="49" t="s">
        <v>558</v>
      </c>
      <c r="G5609" s="28" t="str">
        <f>IF(ISNUMBER(F5609),E5609*F5609,"")</f>
        <v/>
      </c>
      <c r="H5609" s="29"/>
      <c r="I5609" s="30"/>
      <c r="J5609" s="155">
        <v>0</v>
      </c>
    </row>
    <row r="5610" spans="1:10" hidden="1" x14ac:dyDescent="0.25">
      <c r="A5610" s="195"/>
      <c r="B5610" s="187"/>
      <c r="C5610" s="169"/>
      <c r="D5610" s="169"/>
      <c r="E5610" s="170"/>
      <c r="F5610" s="54" t="s">
        <v>558</v>
      </c>
      <c r="G5610" s="54" t="str">
        <f>IF(ISNUMBER(F5610),E5610*F5610,"")</f>
        <v/>
      </c>
      <c r="H5610" s="73"/>
      <c r="I5610" s="74"/>
      <c r="J5610" s="155">
        <v>0</v>
      </c>
    </row>
    <row r="5611" spans="1:10" ht="25.5" hidden="1" x14ac:dyDescent="0.25">
      <c r="A5611" s="195"/>
      <c r="B5611" s="187"/>
      <c r="C5611" s="36" t="s">
        <v>3422</v>
      </c>
      <c r="D5611" s="162" t="s">
        <v>20</v>
      </c>
      <c r="E5611" s="163">
        <v>1</v>
      </c>
      <c r="F5611" s="31">
        <v>1.9664999999999997</v>
      </c>
      <c r="G5611" s="54">
        <f>IF(ISNUMBER(F5611),E5611*F5611,"")</f>
        <v>1.9664999999999997</v>
      </c>
      <c r="H5611" s="39">
        <f>SUM(G5611:G5611)</f>
        <v>1.9664999999999997</v>
      </c>
      <c r="I5611" s="40"/>
      <c r="J5611" s="155">
        <v>0</v>
      </c>
    </row>
    <row r="5612" spans="1:10" ht="15.75" hidden="1" thickBot="1" x14ac:dyDescent="0.3">
      <c r="A5612" s="196"/>
      <c r="B5612" s="188"/>
      <c r="C5612" s="55"/>
      <c r="D5612" s="165"/>
      <c r="E5612" s="66"/>
      <c r="F5612" s="76" t="s">
        <v>558</v>
      </c>
      <c r="G5612" s="76" t="str">
        <f>IF(ISNUMBER(F5612),E5612*F5612,"")</f>
        <v/>
      </c>
      <c r="H5612" s="77"/>
      <c r="I5612" s="74"/>
      <c r="J5612" s="155">
        <v>0</v>
      </c>
    </row>
    <row r="5613" spans="1:10" ht="15.75" hidden="1" thickBot="1" x14ac:dyDescent="0.3">
      <c r="A5613" s="189" t="s">
        <v>5560</v>
      </c>
      <c r="B5613" s="186" t="str">
        <f>INDEX(Orçamentária!A:B,MATCH(Composições!A5613,Orçamentária!A:A,0),2)</f>
        <v>Curva para eletroduto 1”</v>
      </c>
      <c r="C5613" s="41"/>
      <c r="D5613" s="26" t="str">
        <f>TRIM(INDEX(Orçamentária!C:C,MATCH(Composições!A5613,Orçamentária!A:A,0),1))</f>
        <v>un</v>
      </c>
      <c r="E5613" s="27"/>
      <c r="F5613" s="49" t="s">
        <v>558</v>
      </c>
      <c r="G5613" s="28" t="str">
        <f>IF(ISNUMBER(F5613),E5613*F5613,"")</f>
        <v/>
      </c>
      <c r="H5613" s="29"/>
      <c r="I5613" s="30"/>
      <c r="J5613" s="155">
        <v>0</v>
      </c>
    </row>
    <row r="5614" spans="1:10" hidden="1" x14ac:dyDescent="0.25">
      <c r="A5614" s="195"/>
      <c r="B5614" s="187"/>
      <c r="C5614" s="169"/>
      <c r="D5614" s="169"/>
      <c r="E5614" s="170"/>
      <c r="F5614" s="54" t="s">
        <v>558</v>
      </c>
      <c r="G5614" s="54" t="str">
        <f>IF(ISNUMBER(F5614),E5614*F5614,"")</f>
        <v/>
      </c>
      <c r="H5614" s="73"/>
      <c r="I5614" s="74"/>
      <c r="J5614" s="155">
        <v>0</v>
      </c>
    </row>
    <row r="5615" spans="1:10" ht="25.5" hidden="1" x14ac:dyDescent="0.25">
      <c r="A5615" s="195"/>
      <c r="B5615" s="187"/>
      <c r="C5615" s="36" t="s">
        <v>3380</v>
      </c>
      <c r="D5615" s="162" t="s">
        <v>20</v>
      </c>
      <c r="E5615" s="163">
        <v>1</v>
      </c>
      <c r="F5615" s="31">
        <v>6.0895000000000001</v>
      </c>
      <c r="G5615" s="54">
        <f>IF(ISNUMBER(F5615),E5615*F5615,"")</f>
        <v>6.0895000000000001</v>
      </c>
      <c r="H5615" s="39">
        <f>SUM(G5615:G5615)</f>
        <v>6.0895000000000001</v>
      </c>
      <c r="I5615" s="40"/>
      <c r="J5615" s="155">
        <v>0</v>
      </c>
    </row>
    <row r="5616" spans="1:10" ht="15.75" hidden="1" thickBot="1" x14ac:dyDescent="0.3">
      <c r="A5616" s="196"/>
      <c r="B5616" s="188"/>
      <c r="C5616" s="55"/>
      <c r="D5616" s="165"/>
      <c r="E5616" s="66"/>
      <c r="F5616" s="76" t="s">
        <v>558</v>
      </c>
      <c r="G5616" s="76" t="str">
        <f>IF(ISNUMBER(F5616),E5616*F5616,"")</f>
        <v/>
      </c>
      <c r="H5616" s="77"/>
      <c r="I5616" s="74"/>
      <c r="J5616" s="155">
        <v>0</v>
      </c>
    </row>
    <row r="5617" spans="1:10" ht="15.75" hidden="1" thickBot="1" x14ac:dyDescent="0.3">
      <c r="A5617" s="189" t="s">
        <v>5561</v>
      </c>
      <c r="B5617" s="186" t="str">
        <f>INDEX(Orçamentária!A:B,MATCH(Composições!A5617,Orçamentária!A:A,0),2)</f>
        <v>Conector reto para eletroduto 1 1/4”</v>
      </c>
      <c r="C5617" s="41"/>
      <c r="D5617" s="26" t="str">
        <f>TRIM(INDEX(Orçamentária!C:C,MATCH(Composições!A5617,Orçamentária!A:A,0),1))</f>
        <v>un</v>
      </c>
      <c r="E5617" s="27"/>
      <c r="F5617" s="49" t="s">
        <v>558</v>
      </c>
      <c r="G5617" s="28" t="str">
        <f>IF(ISNUMBER(F5617),E5617*F5617,"")</f>
        <v/>
      </c>
      <c r="H5617" s="29"/>
      <c r="I5617" s="30"/>
      <c r="J5617" s="155">
        <v>0</v>
      </c>
    </row>
    <row r="5618" spans="1:10" hidden="1" x14ac:dyDescent="0.25">
      <c r="A5618" s="195"/>
      <c r="B5618" s="187"/>
      <c r="C5618" s="169"/>
      <c r="D5618" s="169"/>
      <c r="E5618" s="170"/>
      <c r="F5618" s="54" t="s">
        <v>558</v>
      </c>
      <c r="G5618" s="54" t="str">
        <f>IF(ISNUMBER(F5618),E5618*F5618,"")</f>
        <v/>
      </c>
      <c r="H5618" s="73"/>
      <c r="I5618" s="74"/>
      <c r="J5618" s="155">
        <v>0</v>
      </c>
    </row>
    <row r="5619" spans="1:10" ht="38.25" hidden="1" x14ac:dyDescent="0.25">
      <c r="A5619" s="195"/>
      <c r="B5619" s="187"/>
      <c r="C5619" s="36" t="s">
        <v>3365</v>
      </c>
      <c r="D5619" s="162" t="s">
        <v>20</v>
      </c>
      <c r="E5619" s="163">
        <v>1</v>
      </c>
      <c r="F5619" s="31">
        <v>3.0494999999999997</v>
      </c>
      <c r="G5619" s="54">
        <f>IF(ISNUMBER(F5619),E5619*F5619,"")</f>
        <v>3.0494999999999997</v>
      </c>
      <c r="H5619" s="39">
        <f>SUM(G5619:G5619)</f>
        <v>3.0494999999999997</v>
      </c>
      <c r="I5619" s="40"/>
      <c r="J5619" s="155">
        <v>0</v>
      </c>
    </row>
    <row r="5620" spans="1:10" ht="15.75" hidden="1" thickBot="1" x14ac:dyDescent="0.3">
      <c r="A5620" s="196"/>
      <c r="B5620" s="188"/>
      <c r="C5620" s="55"/>
      <c r="D5620" s="165"/>
      <c r="E5620" s="66"/>
      <c r="F5620" s="76" t="s">
        <v>558</v>
      </c>
      <c r="G5620" s="76" t="str">
        <f>IF(ISNUMBER(F5620),E5620*F5620,"")</f>
        <v/>
      </c>
      <c r="H5620" s="77"/>
      <c r="I5620" s="74"/>
      <c r="J5620" s="155">
        <v>0</v>
      </c>
    </row>
    <row r="5621" spans="1:10" ht="15.75" hidden="1" thickBot="1" x14ac:dyDescent="0.3">
      <c r="A5621" s="189" t="s">
        <v>5562</v>
      </c>
      <c r="B5621" s="186" t="str">
        <f>INDEX(Orçamentária!A:B,MATCH(Composições!A5621,Orçamentária!A:A,0),2)</f>
        <v>Conector curvo para eletroduto 1 1/4”</v>
      </c>
      <c r="C5621" s="41"/>
      <c r="D5621" s="26" t="str">
        <f>TRIM(INDEX(Orçamentária!C:C,MATCH(Composições!A5621,Orçamentária!A:A,0),1))</f>
        <v>un</v>
      </c>
      <c r="E5621" s="27"/>
      <c r="F5621" s="49" t="s">
        <v>558</v>
      </c>
      <c r="G5621" s="28" t="str">
        <f>IF(ISNUMBER(F5621),E5621*F5621,"")</f>
        <v/>
      </c>
      <c r="H5621" s="29"/>
      <c r="I5621" s="30"/>
      <c r="J5621" s="155">
        <v>0</v>
      </c>
    </row>
    <row r="5622" spans="1:10" hidden="1" x14ac:dyDescent="0.25">
      <c r="A5622" s="195"/>
      <c r="B5622" s="187"/>
      <c r="C5622" s="169"/>
      <c r="D5622" s="169"/>
      <c r="E5622" s="170"/>
      <c r="F5622" s="54" t="s">
        <v>558</v>
      </c>
      <c r="G5622" s="54" t="str">
        <f>IF(ISNUMBER(F5622),E5622*F5622,"")</f>
        <v/>
      </c>
      <c r="H5622" s="73"/>
      <c r="I5622" s="74"/>
      <c r="J5622" s="155">
        <v>0</v>
      </c>
    </row>
    <row r="5623" spans="1:10" ht="38.25" hidden="1" x14ac:dyDescent="0.25">
      <c r="A5623" s="195"/>
      <c r="B5623" s="187"/>
      <c r="C5623" s="36" t="s">
        <v>3357</v>
      </c>
      <c r="D5623" s="162" t="s">
        <v>20</v>
      </c>
      <c r="E5623" s="163">
        <v>1</v>
      </c>
      <c r="F5623" s="31">
        <v>8.6069999999999993</v>
      </c>
      <c r="G5623" s="54">
        <f>IF(ISNUMBER(F5623),E5623*F5623,"")</f>
        <v>8.6069999999999993</v>
      </c>
      <c r="H5623" s="39">
        <f>SUM(G5623:G5623)</f>
        <v>8.6069999999999993</v>
      </c>
      <c r="I5623" s="40"/>
      <c r="J5623" s="155">
        <v>0</v>
      </c>
    </row>
    <row r="5624" spans="1:10" ht="15.75" hidden="1" thickBot="1" x14ac:dyDescent="0.3">
      <c r="A5624" s="196"/>
      <c r="B5624" s="188"/>
      <c r="C5624" s="55"/>
      <c r="D5624" s="165"/>
      <c r="E5624" s="66"/>
      <c r="F5624" s="76" t="s">
        <v>558</v>
      </c>
      <c r="G5624" s="76" t="str">
        <f>IF(ISNUMBER(F5624),E5624*F5624,"")</f>
        <v/>
      </c>
      <c r="H5624" s="77"/>
      <c r="I5624" s="74"/>
      <c r="J5624" s="155">
        <v>0</v>
      </c>
    </row>
    <row r="5625" spans="1:10" ht="15.75" hidden="1" thickBot="1" x14ac:dyDescent="0.3">
      <c r="A5625" s="189" t="s">
        <v>5563</v>
      </c>
      <c r="B5625" s="186" t="str">
        <f>INDEX(Orçamentária!A:B,MATCH(Composições!A5625,Orçamentária!A:A,0),2)</f>
        <v>Luva para eletroduto 1 1/4”</v>
      </c>
      <c r="C5625" s="41"/>
      <c r="D5625" s="26" t="str">
        <f>TRIM(INDEX(Orçamentária!C:C,MATCH(Composições!A5625,Orçamentária!A:A,0),1))</f>
        <v>un</v>
      </c>
      <c r="E5625" s="27"/>
      <c r="F5625" s="49" t="s">
        <v>558</v>
      </c>
      <c r="G5625" s="28" t="str">
        <f>IF(ISNUMBER(F5625),E5625*F5625,"")</f>
        <v/>
      </c>
      <c r="H5625" s="29"/>
      <c r="I5625" s="30"/>
      <c r="J5625" s="155">
        <v>0</v>
      </c>
    </row>
    <row r="5626" spans="1:10" hidden="1" x14ac:dyDescent="0.25">
      <c r="A5626" s="195"/>
      <c r="B5626" s="187"/>
      <c r="C5626" s="169"/>
      <c r="D5626" s="169"/>
      <c r="E5626" s="170"/>
      <c r="F5626" s="54" t="s">
        <v>558</v>
      </c>
      <c r="G5626" s="54" t="str">
        <f>IF(ISNUMBER(F5626),E5626*F5626,"")</f>
        <v/>
      </c>
      <c r="H5626" s="73"/>
      <c r="I5626" s="74"/>
      <c r="J5626" s="155">
        <v>0</v>
      </c>
    </row>
    <row r="5627" spans="1:10" ht="25.5" hidden="1" x14ac:dyDescent="0.25">
      <c r="A5627" s="195"/>
      <c r="B5627" s="187"/>
      <c r="C5627" s="36" t="s">
        <v>3423</v>
      </c>
      <c r="D5627" s="162" t="s">
        <v>20</v>
      </c>
      <c r="E5627" s="163">
        <v>1</v>
      </c>
      <c r="F5627" s="31">
        <v>3.4864999999999999</v>
      </c>
      <c r="G5627" s="54">
        <f>IF(ISNUMBER(F5627),E5627*F5627,"")</f>
        <v>3.4864999999999999</v>
      </c>
      <c r="H5627" s="39">
        <f>SUM(G5627:G5627)</f>
        <v>3.4864999999999999</v>
      </c>
      <c r="I5627" s="40"/>
      <c r="J5627" s="155">
        <v>0</v>
      </c>
    </row>
    <row r="5628" spans="1:10" ht="15.75" hidden="1" thickBot="1" x14ac:dyDescent="0.3">
      <c r="A5628" s="196"/>
      <c r="B5628" s="188"/>
      <c r="C5628" s="55"/>
      <c r="D5628" s="165"/>
      <c r="E5628" s="66"/>
      <c r="F5628" s="76" t="s">
        <v>558</v>
      </c>
      <c r="G5628" s="76" t="str">
        <f>IF(ISNUMBER(F5628),E5628*F5628,"")</f>
        <v/>
      </c>
      <c r="H5628" s="77"/>
      <c r="I5628" s="74"/>
      <c r="J5628" s="155">
        <v>0</v>
      </c>
    </row>
    <row r="5629" spans="1:10" ht="15.75" hidden="1" thickBot="1" x14ac:dyDescent="0.3">
      <c r="A5629" s="189" t="s">
        <v>5565</v>
      </c>
      <c r="B5629" s="186" t="str">
        <f>INDEX(Orçamentária!A:B,MATCH(Composições!A5629,Orçamentária!A:A,0),2)</f>
        <v>Curva para eletroduto 1 1/4”</v>
      </c>
      <c r="C5629" s="41"/>
      <c r="D5629" s="26" t="str">
        <f>TRIM(INDEX(Orçamentária!C:C,MATCH(Composições!A5629,Orçamentária!A:A,0),1))</f>
        <v>un</v>
      </c>
      <c r="E5629" s="27"/>
      <c r="F5629" s="49" t="s">
        <v>558</v>
      </c>
      <c r="G5629" s="28" t="str">
        <f>IF(ISNUMBER(F5629),E5629*F5629,"")</f>
        <v/>
      </c>
      <c r="H5629" s="29"/>
      <c r="I5629" s="30"/>
      <c r="J5629" s="155">
        <v>0</v>
      </c>
    </row>
    <row r="5630" spans="1:10" hidden="1" x14ac:dyDescent="0.25">
      <c r="A5630" s="195"/>
      <c r="B5630" s="187"/>
      <c r="C5630" s="169"/>
      <c r="D5630" s="169"/>
      <c r="E5630" s="170"/>
      <c r="F5630" s="54" t="s">
        <v>558</v>
      </c>
      <c r="G5630" s="54" t="str">
        <f>IF(ISNUMBER(F5630),E5630*F5630,"")</f>
        <v/>
      </c>
      <c r="H5630" s="73"/>
      <c r="I5630" s="74"/>
      <c r="J5630" s="155">
        <v>0</v>
      </c>
    </row>
    <row r="5631" spans="1:10" ht="25.5" hidden="1" x14ac:dyDescent="0.25">
      <c r="A5631" s="195"/>
      <c r="B5631" s="187"/>
      <c r="C5631" s="36" t="s">
        <v>3381</v>
      </c>
      <c r="D5631" s="162" t="s">
        <v>20</v>
      </c>
      <c r="E5631" s="163">
        <v>1</v>
      </c>
      <c r="F5631" s="31">
        <v>13.87</v>
      </c>
      <c r="G5631" s="54">
        <f>IF(ISNUMBER(F5631),E5631*F5631,"")</f>
        <v>13.87</v>
      </c>
      <c r="H5631" s="39">
        <f>SUM(G5631:G5631)</f>
        <v>13.87</v>
      </c>
      <c r="I5631" s="40"/>
      <c r="J5631" s="155">
        <v>0</v>
      </c>
    </row>
    <row r="5632" spans="1:10" ht="15.75" hidden="1" thickBot="1" x14ac:dyDescent="0.3">
      <c r="A5632" s="196"/>
      <c r="B5632" s="188"/>
      <c r="C5632" s="55"/>
      <c r="D5632" s="165"/>
      <c r="E5632" s="66"/>
      <c r="F5632" s="76" t="s">
        <v>558</v>
      </c>
      <c r="G5632" s="76" t="str">
        <f>IF(ISNUMBER(F5632),E5632*F5632,"")</f>
        <v/>
      </c>
      <c r="H5632" s="77"/>
      <c r="I5632" s="74"/>
      <c r="J5632" s="155">
        <v>0</v>
      </c>
    </row>
    <row r="5633" spans="1:10" ht="15.75" hidden="1" thickBot="1" x14ac:dyDescent="0.3">
      <c r="A5633" s="189" t="s">
        <v>5566</v>
      </c>
      <c r="B5633" s="186" t="str">
        <f>INDEX(Orçamentária!A:B,MATCH(Composições!A5633,Orçamentária!A:A,0),2)</f>
        <v>Conector reto para eletroduto 1 1/2”</v>
      </c>
      <c r="C5633" s="41"/>
      <c r="D5633" s="26" t="str">
        <f>TRIM(INDEX(Orçamentária!C:C,MATCH(Composições!A5633,Orçamentária!A:A,0),1))</f>
        <v>un</v>
      </c>
      <c r="E5633" s="27"/>
      <c r="F5633" s="49" t="s">
        <v>558</v>
      </c>
      <c r="G5633" s="28" t="str">
        <f>IF(ISNUMBER(F5633),E5633*F5633,"")</f>
        <v/>
      </c>
      <c r="H5633" s="29"/>
      <c r="I5633" s="30"/>
      <c r="J5633" s="155">
        <v>0</v>
      </c>
    </row>
    <row r="5634" spans="1:10" hidden="1" x14ac:dyDescent="0.25">
      <c r="A5634" s="195"/>
      <c r="B5634" s="187"/>
      <c r="C5634" s="169"/>
      <c r="D5634" s="169"/>
      <c r="E5634" s="170"/>
      <c r="F5634" s="54" t="s">
        <v>558</v>
      </c>
      <c r="G5634" s="54" t="str">
        <f>IF(ISNUMBER(F5634),E5634*F5634,"")</f>
        <v/>
      </c>
      <c r="H5634" s="73"/>
      <c r="I5634" s="74"/>
      <c r="J5634" s="155">
        <v>0</v>
      </c>
    </row>
    <row r="5635" spans="1:10" ht="38.25" hidden="1" x14ac:dyDescent="0.25">
      <c r="A5635" s="195"/>
      <c r="B5635" s="187"/>
      <c r="C5635" s="36" t="s">
        <v>3364</v>
      </c>
      <c r="D5635" s="162" t="s">
        <v>20</v>
      </c>
      <c r="E5635" s="163">
        <v>1</v>
      </c>
      <c r="F5635" s="31">
        <v>4.7689999999999992</v>
      </c>
      <c r="G5635" s="54">
        <f>IF(ISNUMBER(F5635),E5635*F5635,"")</f>
        <v>4.7689999999999992</v>
      </c>
      <c r="H5635" s="39">
        <f>SUM(G5635:G5635)</f>
        <v>4.7689999999999992</v>
      </c>
      <c r="I5635" s="40"/>
      <c r="J5635" s="155">
        <v>0</v>
      </c>
    </row>
    <row r="5636" spans="1:10" ht="15.75" hidden="1" thickBot="1" x14ac:dyDescent="0.3">
      <c r="A5636" s="196"/>
      <c r="B5636" s="188"/>
      <c r="C5636" s="55"/>
      <c r="D5636" s="165"/>
      <c r="E5636" s="66"/>
      <c r="F5636" s="76" t="s">
        <v>558</v>
      </c>
      <c r="G5636" s="76" t="str">
        <f>IF(ISNUMBER(F5636),E5636*F5636,"")</f>
        <v/>
      </c>
      <c r="H5636" s="77"/>
      <c r="I5636" s="74"/>
      <c r="J5636" s="155">
        <v>0</v>
      </c>
    </row>
    <row r="5637" spans="1:10" ht="15.75" hidden="1" thickBot="1" x14ac:dyDescent="0.3">
      <c r="A5637" s="189" t="s">
        <v>5567</v>
      </c>
      <c r="B5637" s="186" t="str">
        <f>INDEX(Orçamentária!A:B,MATCH(Composições!A5637,Orçamentária!A:A,0),2)</f>
        <v>Conector curvo para eletroduto 1 1/2”</v>
      </c>
      <c r="C5637" s="41"/>
      <c r="D5637" s="26" t="str">
        <f>TRIM(INDEX(Orçamentária!C:C,MATCH(Composições!A5637,Orçamentária!A:A,0),1))</f>
        <v>un</v>
      </c>
      <c r="E5637" s="27"/>
      <c r="F5637" s="49" t="s">
        <v>558</v>
      </c>
      <c r="G5637" s="28" t="str">
        <f>IF(ISNUMBER(F5637),E5637*F5637,"")</f>
        <v/>
      </c>
      <c r="H5637" s="29"/>
      <c r="I5637" s="30"/>
      <c r="J5637" s="155">
        <v>0</v>
      </c>
    </row>
    <row r="5638" spans="1:10" hidden="1" x14ac:dyDescent="0.25">
      <c r="A5638" s="195"/>
      <c r="B5638" s="187"/>
      <c r="C5638" s="169"/>
      <c r="D5638" s="169"/>
      <c r="E5638" s="170"/>
      <c r="F5638" s="54" t="s">
        <v>558</v>
      </c>
      <c r="G5638" s="54" t="str">
        <f>IF(ISNUMBER(F5638),E5638*F5638,"")</f>
        <v/>
      </c>
      <c r="H5638" s="73"/>
      <c r="I5638" s="74"/>
      <c r="J5638" s="155">
        <v>0</v>
      </c>
    </row>
    <row r="5639" spans="1:10" ht="38.25" hidden="1" x14ac:dyDescent="0.25">
      <c r="A5639" s="195"/>
      <c r="B5639" s="187"/>
      <c r="C5639" s="36" t="s">
        <v>3356</v>
      </c>
      <c r="D5639" s="162" t="s">
        <v>20</v>
      </c>
      <c r="E5639" s="163">
        <v>1</v>
      </c>
      <c r="F5639" s="31">
        <v>13.318999999999999</v>
      </c>
      <c r="G5639" s="54">
        <f>IF(ISNUMBER(F5639),E5639*F5639,"")</f>
        <v>13.318999999999999</v>
      </c>
      <c r="H5639" s="39">
        <f>SUM(G5639:G5639)</f>
        <v>13.318999999999999</v>
      </c>
      <c r="I5639" s="40"/>
      <c r="J5639" s="155">
        <v>0</v>
      </c>
    </row>
    <row r="5640" spans="1:10" ht="15.75" hidden="1" thickBot="1" x14ac:dyDescent="0.3">
      <c r="A5640" s="196"/>
      <c r="B5640" s="188"/>
      <c r="C5640" s="55"/>
      <c r="D5640" s="165"/>
      <c r="E5640" s="66"/>
      <c r="F5640" s="76" t="s">
        <v>558</v>
      </c>
      <c r="G5640" s="76" t="str">
        <f>IF(ISNUMBER(F5640),E5640*F5640,"")</f>
        <v/>
      </c>
      <c r="H5640" s="77"/>
      <c r="I5640" s="74"/>
      <c r="J5640" s="155">
        <v>0</v>
      </c>
    </row>
    <row r="5641" spans="1:10" ht="15.75" hidden="1" thickBot="1" x14ac:dyDescent="0.3">
      <c r="A5641" s="189" t="s">
        <v>5568</v>
      </c>
      <c r="B5641" s="186" t="str">
        <f>INDEX(Orçamentária!A:B,MATCH(Composições!A5641,Orçamentária!A:A,0),2)</f>
        <v>Luva para eletroduto 1 1/2”</v>
      </c>
      <c r="C5641" s="41"/>
      <c r="D5641" s="26" t="str">
        <f>TRIM(INDEX(Orçamentária!C:C,MATCH(Composições!A5641,Orçamentária!A:A,0),1))</f>
        <v>un</v>
      </c>
      <c r="E5641" s="27"/>
      <c r="F5641" s="49" t="s">
        <v>558</v>
      </c>
      <c r="G5641" s="28" t="str">
        <f>IF(ISNUMBER(F5641),E5641*F5641,"")</f>
        <v/>
      </c>
      <c r="H5641" s="29"/>
      <c r="I5641" s="30"/>
      <c r="J5641" s="155">
        <v>0</v>
      </c>
    </row>
    <row r="5642" spans="1:10" hidden="1" x14ac:dyDescent="0.25">
      <c r="A5642" s="195"/>
      <c r="B5642" s="187"/>
      <c r="C5642" s="169"/>
      <c r="D5642" s="169"/>
      <c r="E5642" s="170"/>
      <c r="F5642" s="54" t="s">
        <v>558</v>
      </c>
      <c r="G5642" s="54" t="str">
        <f>IF(ISNUMBER(F5642),E5642*F5642,"")</f>
        <v/>
      </c>
      <c r="H5642" s="73"/>
      <c r="I5642" s="74"/>
      <c r="J5642" s="155">
        <v>0</v>
      </c>
    </row>
    <row r="5643" spans="1:10" ht="25.5" hidden="1" x14ac:dyDescent="0.25">
      <c r="A5643" s="195"/>
      <c r="B5643" s="187"/>
      <c r="C5643" s="36" t="s">
        <v>3424</v>
      </c>
      <c r="D5643" s="162" t="s">
        <v>20</v>
      </c>
      <c r="E5643" s="163">
        <v>1</v>
      </c>
      <c r="F5643" s="31">
        <v>5.0444999999999993</v>
      </c>
      <c r="G5643" s="54">
        <f>IF(ISNUMBER(F5643),E5643*F5643,"")</f>
        <v>5.0444999999999993</v>
      </c>
      <c r="H5643" s="39">
        <f>SUM(G5643:G5643)</f>
        <v>5.0444999999999993</v>
      </c>
      <c r="I5643" s="40"/>
      <c r="J5643" s="155">
        <v>0</v>
      </c>
    </row>
    <row r="5644" spans="1:10" ht="15.75" hidden="1" thickBot="1" x14ac:dyDescent="0.3">
      <c r="A5644" s="196"/>
      <c r="B5644" s="188"/>
      <c r="C5644" s="55"/>
      <c r="D5644" s="165"/>
      <c r="E5644" s="66"/>
      <c r="F5644" s="76" t="s">
        <v>558</v>
      </c>
      <c r="G5644" s="76" t="str">
        <f>IF(ISNUMBER(F5644),E5644*F5644,"")</f>
        <v/>
      </c>
      <c r="H5644" s="77"/>
      <c r="I5644" s="74"/>
      <c r="J5644" s="155">
        <v>0</v>
      </c>
    </row>
    <row r="5645" spans="1:10" ht="15.75" hidden="1" thickBot="1" x14ac:dyDescent="0.3">
      <c r="A5645" s="189" t="s">
        <v>5570</v>
      </c>
      <c r="B5645" s="186" t="str">
        <f>INDEX(Orçamentária!A:B,MATCH(Composições!A5517,Orçamentária!A:A,0),2)</f>
        <v>Terminal de compressão 240 mm²</v>
      </c>
      <c r="C5645" s="41"/>
      <c r="D5645" s="26" t="str">
        <f>TRIM(INDEX(Orçamentária!C:C,MATCH(Composições!A5645,Orçamentária!A:A,0),1))</f>
        <v>un</v>
      </c>
      <c r="E5645" s="27"/>
      <c r="F5645" s="49" t="s">
        <v>558</v>
      </c>
      <c r="G5645" s="28" t="str">
        <f>IF(ISNUMBER(F5645),E5645*F5645,"")</f>
        <v/>
      </c>
      <c r="H5645" s="29"/>
      <c r="I5645" s="30"/>
      <c r="J5645" s="155">
        <v>0</v>
      </c>
    </row>
    <row r="5646" spans="1:10" hidden="1" x14ac:dyDescent="0.25">
      <c r="A5646" s="195"/>
      <c r="B5646" s="187"/>
      <c r="C5646" s="169"/>
      <c r="D5646" s="169"/>
      <c r="E5646" s="170"/>
      <c r="F5646" s="54" t="s">
        <v>558</v>
      </c>
      <c r="G5646" s="54" t="str">
        <f>IF(ISNUMBER(F5646),E5646*F5646,"")</f>
        <v/>
      </c>
      <c r="H5646" s="73"/>
      <c r="I5646" s="74"/>
      <c r="J5646" s="155">
        <v>0</v>
      </c>
    </row>
    <row r="5647" spans="1:10" ht="25.5" hidden="1" x14ac:dyDescent="0.25">
      <c r="A5647" s="195"/>
      <c r="B5647" s="187"/>
      <c r="C5647" s="36" t="s">
        <v>3382</v>
      </c>
      <c r="D5647" s="162" t="s">
        <v>20</v>
      </c>
      <c r="E5647" s="163">
        <v>1</v>
      </c>
      <c r="F5647" s="31">
        <v>16.919499999999999</v>
      </c>
      <c r="G5647" s="54">
        <f>IF(ISNUMBER(F5647),E5647*F5647,"")</f>
        <v>16.919499999999999</v>
      </c>
      <c r="H5647" s="39">
        <f>SUM(G5647:G5647)</f>
        <v>16.919499999999999</v>
      </c>
      <c r="I5647" s="40"/>
      <c r="J5647" s="155">
        <v>0</v>
      </c>
    </row>
    <row r="5648" spans="1:10" ht="15.75" hidden="1" thickBot="1" x14ac:dyDescent="0.3">
      <c r="A5648" s="196"/>
      <c r="B5648" s="188"/>
      <c r="C5648" s="55"/>
      <c r="D5648" s="165"/>
      <c r="E5648" s="66"/>
      <c r="F5648" s="76" t="s">
        <v>558</v>
      </c>
      <c r="G5648" s="76" t="str">
        <f>IF(ISNUMBER(F5648),E5648*F5648,"")</f>
        <v/>
      </c>
      <c r="H5648" s="77"/>
      <c r="I5648" s="74"/>
      <c r="J5648" s="155">
        <v>0</v>
      </c>
    </row>
    <row r="5649" spans="1:10" ht="15.75" hidden="1" thickBot="1" x14ac:dyDescent="0.3">
      <c r="A5649" s="189" t="s">
        <v>5571</v>
      </c>
      <c r="B5649" s="186" t="str">
        <f>INDEX(Orçamentária!A:B,MATCH(Composições!A5649,Orçamentária!A:A,0),2)</f>
        <v>Conector reto para eletroduto 2”</v>
      </c>
      <c r="C5649" s="41"/>
      <c r="D5649" s="26" t="str">
        <f>TRIM(INDEX(Orçamentária!C:C,MATCH(Composições!A5649,Orçamentária!A:A,0),1))</f>
        <v>un</v>
      </c>
      <c r="E5649" s="27"/>
      <c r="F5649" s="49" t="s">
        <v>558</v>
      </c>
      <c r="G5649" s="28" t="str">
        <f>IF(ISNUMBER(F5649),E5649*F5649,"")</f>
        <v/>
      </c>
      <c r="H5649" s="29"/>
      <c r="I5649" s="30"/>
      <c r="J5649" s="155">
        <v>0</v>
      </c>
    </row>
    <row r="5650" spans="1:10" hidden="1" x14ac:dyDescent="0.25">
      <c r="A5650" s="195"/>
      <c r="B5650" s="187"/>
      <c r="C5650" s="169"/>
      <c r="D5650" s="169"/>
      <c r="E5650" s="170"/>
      <c r="F5650" s="54" t="s">
        <v>558</v>
      </c>
      <c r="G5650" s="54" t="str">
        <f>IF(ISNUMBER(F5650),E5650*F5650,"")</f>
        <v/>
      </c>
      <c r="H5650" s="73"/>
      <c r="I5650" s="74"/>
      <c r="J5650" s="155">
        <v>0</v>
      </c>
    </row>
    <row r="5651" spans="1:10" ht="38.25" hidden="1" x14ac:dyDescent="0.25">
      <c r="A5651" s="195"/>
      <c r="B5651" s="187"/>
      <c r="C5651" s="36" t="s">
        <v>3367</v>
      </c>
      <c r="D5651" s="162" t="s">
        <v>20</v>
      </c>
      <c r="E5651" s="163">
        <v>1</v>
      </c>
      <c r="F5651" s="31">
        <v>5.2819999999999991</v>
      </c>
      <c r="G5651" s="54">
        <f>IF(ISNUMBER(F5651),E5651*F5651,"")</f>
        <v>5.2819999999999991</v>
      </c>
      <c r="H5651" s="39">
        <f>SUM(G5651:G5651)</f>
        <v>5.2819999999999991</v>
      </c>
      <c r="I5651" s="40"/>
      <c r="J5651" s="155">
        <v>0</v>
      </c>
    </row>
    <row r="5652" spans="1:10" ht="15.75" hidden="1" thickBot="1" x14ac:dyDescent="0.3">
      <c r="A5652" s="196"/>
      <c r="B5652" s="188"/>
      <c r="C5652" s="55"/>
      <c r="D5652" s="165"/>
      <c r="E5652" s="66"/>
      <c r="F5652" s="76" t="s">
        <v>558</v>
      </c>
      <c r="G5652" s="76" t="str">
        <f>IF(ISNUMBER(F5652),E5652*F5652,"")</f>
        <v/>
      </c>
      <c r="H5652" s="77"/>
      <c r="I5652" s="74"/>
      <c r="J5652" s="155">
        <v>0</v>
      </c>
    </row>
    <row r="5653" spans="1:10" ht="15.75" hidden="1" thickBot="1" x14ac:dyDescent="0.3">
      <c r="A5653" s="189" t="s">
        <v>5572</v>
      </c>
      <c r="B5653" s="186" t="str">
        <f>INDEX(Orçamentária!A:B,MATCH(Composições!A5653,Orçamentária!A:A,0),2)</f>
        <v>Conector curvo para eletroduto 2”</v>
      </c>
      <c r="C5653" s="41"/>
      <c r="D5653" s="26" t="str">
        <f>TRIM(INDEX(Orçamentária!C:C,MATCH(Composições!A5653,Orçamentária!A:A,0),1))</f>
        <v>un</v>
      </c>
      <c r="E5653" s="27"/>
      <c r="F5653" s="49" t="s">
        <v>558</v>
      </c>
      <c r="G5653" s="28" t="str">
        <f>IF(ISNUMBER(F5653),E5653*F5653,"")</f>
        <v/>
      </c>
      <c r="H5653" s="29"/>
      <c r="I5653" s="30"/>
      <c r="J5653" s="155">
        <v>0</v>
      </c>
    </row>
    <row r="5654" spans="1:10" hidden="1" x14ac:dyDescent="0.25">
      <c r="A5654" s="195"/>
      <c r="B5654" s="187"/>
      <c r="C5654" s="169"/>
      <c r="D5654" s="169"/>
      <c r="E5654" s="170"/>
      <c r="F5654" s="54" t="s">
        <v>558</v>
      </c>
      <c r="G5654" s="54" t="str">
        <f>IF(ISNUMBER(F5654),E5654*F5654,"")</f>
        <v/>
      </c>
      <c r="H5654" s="73"/>
      <c r="I5654" s="74"/>
      <c r="J5654" s="155">
        <v>0</v>
      </c>
    </row>
    <row r="5655" spans="1:10" ht="38.25" hidden="1" x14ac:dyDescent="0.25">
      <c r="A5655" s="195"/>
      <c r="B5655" s="187"/>
      <c r="C5655" s="36" t="s">
        <v>3360</v>
      </c>
      <c r="D5655" s="162" t="s">
        <v>20</v>
      </c>
      <c r="E5655" s="163">
        <v>1</v>
      </c>
      <c r="F5655" s="31">
        <v>26.9895</v>
      </c>
      <c r="G5655" s="54">
        <f>IF(ISNUMBER(F5655),E5655*F5655,"")</f>
        <v>26.9895</v>
      </c>
      <c r="H5655" s="39">
        <f>SUM(G5655:G5655)</f>
        <v>26.9895</v>
      </c>
      <c r="I5655" s="40"/>
      <c r="J5655" s="155">
        <v>0</v>
      </c>
    </row>
    <row r="5656" spans="1:10" ht="15.75" hidden="1" thickBot="1" x14ac:dyDescent="0.3">
      <c r="A5656" s="196"/>
      <c r="B5656" s="188"/>
      <c r="C5656" s="55"/>
      <c r="D5656" s="165"/>
      <c r="E5656" s="66"/>
      <c r="F5656" s="76" t="s">
        <v>558</v>
      </c>
      <c r="G5656" s="76" t="str">
        <f>IF(ISNUMBER(F5656),E5656*F5656,"")</f>
        <v/>
      </c>
      <c r="H5656" s="77"/>
      <c r="I5656" s="74"/>
      <c r="J5656" s="155">
        <v>0</v>
      </c>
    </row>
    <row r="5657" spans="1:10" ht="15.75" hidden="1" thickBot="1" x14ac:dyDescent="0.3">
      <c r="A5657" s="189" t="s">
        <v>5573</v>
      </c>
      <c r="B5657" s="186" t="str">
        <f>INDEX(Orçamentária!A:B,MATCH(Composições!A5657,Orçamentária!A:A,0),2)</f>
        <v>Luva para eletroduto 2”</v>
      </c>
      <c r="C5657" s="41"/>
      <c r="D5657" s="26" t="str">
        <f>TRIM(INDEX(Orçamentária!C:C,MATCH(Composições!A5657,Orçamentária!A:A,0),1))</f>
        <v>un</v>
      </c>
      <c r="E5657" s="27"/>
      <c r="F5657" s="49" t="s">
        <v>558</v>
      </c>
      <c r="G5657" s="28" t="str">
        <f>IF(ISNUMBER(F5657),E5657*F5657,"")</f>
        <v/>
      </c>
      <c r="H5657" s="29"/>
      <c r="I5657" s="30"/>
      <c r="J5657" s="155">
        <v>0</v>
      </c>
    </row>
    <row r="5658" spans="1:10" hidden="1" x14ac:dyDescent="0.25">
      <c r="A5658" s="195"/>
      <c r="B5658" s="187"/>
      <c r="C5658" s="169"/>
      <c r="D5658" s="169"/>
      <c r="E5658" s="170"/>
      <c r="F5658" s="54" t="s">
        <v>558</v>
      </c>
      <c r="G5658" s="54" t="str">
        <f>IF(ISNUMBER(F5658),E5658*F5658,"")</f>
        <v/>
      </c>
      <c r="H5658" s="73"/>
      <c r="I5658" s="74"/>
      <c r="J5658" s="155">
        <v>0</v>
      </c>
    </row>
    <row r="5659" spans="1:10" ht="25.5" hidden="1" x14ac:dyDescent="0.25">
      <c r="A5659" s="195"/>
      <c r="B5659" s="187"/>
      <c r="C5659" s="36" t="s">
        <v>3425</v>
      </c>
      <c r="D5659" s="162" t="s">
        <v>20</v>
      </c>
      <c r="E5659" s="163">
        <v>1</v>
      </c>
      <c r="F5659" s="31">
        <v>7.03</v>
      </c>
      <c r="G5659" s="54">
        <f>IF(ISNUMBER(F5659),E5659*F5659,"")</f>
        <v>7.03</v>
      </c>
      <c r="H5659" s="39">
        <f>SUM(G5659:G5659)</f>
        <v>7.03</v>
      </c>
      <c r="I5659" s="40"/>
      <c r="J5659" s="155">
        <v>0</v>
      </c>
    </row>
    <row r="5660" spans="1:10" ht="15.75" hidden="1" thickBot="1" x14ac:dyDescent="0.3">
      <c r="A5660" s="196"/>
      <c r="B5660" s="188"/>
      <c r="C5660" s="55"/>
      <c r="D5660" s="165"/>
      <c r="E5660" s="66"/>
      <c r="F5660" s="76" t="s">
        <v>558</v>
      </c>
      <c r="G5660" s="76" t="str">
        <f>IF(ISNUMBER(F5660),E5660*F5660,"")</f>
        <v/>
      </c>
      <c r="H5660" s="77"/>
      <c r="I5660" s="74"/>
      <c r="J5660" s="155">
        <v>0</v>
      </c>
    </row>
    <row r="5661" spans="1:10" ht="15.75" hidden="1" thickBot="1" x14ac:dyDescent="0.3">
      <c r="A5661" s="189" t="s">
        <v>5575</v>
      </c>
      <c r="B5661" s="186" t="str">
        <f>INDEX(Orçamentária!A:B,MATCH(Composições!A5661,Orçamentária!A:A,0),2)</f>
        <v>Curva para eletroduto 2”</v>
      </c>
      <c r="C5661" s="41"/>
      <c r="D5661" s="26" t="str">
        <f>TRIM(INDEX(Orçamentária!C:C,MATCH(Composições!A5661,Orçamentária!A:A,0),1))</f>
        <v>un</v>
      </c>
      <c r="E5661" s="27"/>
      <c r="F5661" s="49" t="s">
        <v>558</v>
      </c>
      <c r="G5661" s="28" t="str">
        <f>IF(ISNUMBER(F5661),E5661*F5661,"")</f>
        <v/>
      </c>
      <c r="H5661" s="29"/>
      <c r="I5661" s="30"/>
      <c r="J5661" s="155">
        <v>0</v>
      </c>
    </row>
    <row r="5662" spans="1:10" hidden="1" x14ac:dyDescent="0.25">
      <c r="A5662" s="195"/>
      <c r="B5662" s="187"/>
      <c r="C5662" s="169"/>
      <c r="D5662" s="169"/>
      <c r="E5662" s="170"/>
      <c r="F5662" s="54" t="s">
        <v>558</v>
      </c>
      <c r="G5662" s="54" t="str">
        <f>IF(ISNUMBER(F5662),E5662*F5662,"")</f>
        <v/>
      </c>
      <c r="H5662" s="73"/>
      <c r="I5662" s="74"/>
      <c r="J5662" s="155">
        <v>0</v>
      </c>
    </row>
    <row r="5663" spans="1:10" ht="25.5" hidden="1" x14ac:dyDescent="0.25">
      <c r="A5663" s="195"/>
      <c r="B5663" s="187"/>
      <c r="C5663" s="36" t="s">
        <v>3383</v>
      </c>
      <c r="D5663" s="162" t="s">
        <v>20</v>
      </c>
      <c r="E5663" s="163">
        <v>1</v>
      </c>
      <c r="F5663" s="31">
        <v>24.842499999999998</v>
      </c>
      <c r="G5663" s="54">
        <f>IF(ISNUMBER(F5663),E5663*F5663,"")</f>
        <v>24.842499999999998</v>
      </c>
      <c r="H5663" s="39">
        <f>SUM(G5663:G5663)</f>
        <v>24.842499999999998</v>
      </c>
      <c r="I5663" s="40"/>
      <c r="J5663" s="155">
        <v>0</v>
      </c>
    </row>
    <row r="5664" spans="1:10" ht="15.75" hidden="1" thickBot="1" x14ac:dyDescent="0.3">
      <c r="A5664" s="196"/>
      <c r="B5664" s="188"/>
      <c r="C5664" s="55"/>
      <c r="D5664" s="165"/>
      <c r="E5664" s="66"/>
      <c r="F5664" s="76" t="s">
        <v>558</v>
      </c>
      <c r="G5664" s="76" t="str">
        <f>IF(ISNUMBER(F5664),E5664*F5664,"")</f>
        <v/>
      </c>
      <c r="H5664" s="77"/>
      <c r="I5664" s="74"/>
      <c r="J5664" s="155">
        <v>0</v>
      </c>
    </row>
    <row r="5665" spans="1:10" ht="15.75" hidden="1" thickBot="1" x14ac:dyDescent="0.3">
      <c r="A5665" s="189" t="s">
        <v>5577</v>
      </c>
      <c r="B5665" s="186" t="str">
        <f>INDEX(Orçamentária!A:B,MATCH(Composições!A5665,Orçamentária!A:A,0),2)</f>
        <v>Conector curvo para eletroduto 2 1/2”</v>
      </c>
      <c r="C5665" s="41"/>
      <c r="D5665" s="26" t="str">
        <f>TRIM(INDEX(Orçamentária!C:C,MATCH(Composições!A5665,Orçamentária!A:A,0),1))</f>
        <v>un</v>
      </c>
      <c r="E5665" s="27"/>
      <c r="F5665" s="49" t="s">
        <v>558</v>
      </c>
      <c r="G5665" s="28" t="str">
        <f>IF(ISNUMBER(F5665),E5665*F5665,"")</f>
        <v/>
      </c>
      <c r="H5665" s="29"/>
      <c r="I5665" s="30"/>
      <c r="J5665" s="155">
        <v>0</v>
      </c>
    </row>
    <row r="5666" spans="1:10" hidden="1" x14ac:dyDescent="0.25">
      <c r="A5666" s="195"/>
      <c r="B5666" s="187"/>
      <c r="C5666" s="169"/>
      <c r="D5666" s="169"/>
      <c r="E5666" s="170"/>
      <c r="F5666" s="54" t="s">
        <v>558</v>
      </c>
      <c r="G5666" s="54" t="str">
        <f>IF(ISNUMBER(F5666),E5666*F5666,"")</f>
        <v/>
      </c>
      <c r="H5666" s="73"/>
      <c r="I5666" s="74"/>
      <c r="J5666" s="155">
        <v>0</v>
      </c>
    </row>
    <row r="5667" spans="1:10" ht="38.25" hidden="1" x14ac:dyDescent="0.25">
      <c r="A5667" s="195"/>
      <c r="B5667" s="187"/>
      <c r="C5667" s="36" t="s">
        <v>3359</v>
      </c>
      <c r="D5667" s="162" t="s">
        <v>20</v>
      </c>
      <c r="E5667" s="163">
        <v>1</v>
      </c>
      <c r="F5667" s="31">
        <v>63.412499999999994</v>
      </c>
      <c r="G5667" s="54">
        <f>IF(ISNUMBER(F5667),E5667*F5667,"")</f>
        <v>63.412499999999994</v>
      </c>
      <c r="H5667" s="39">
        <f>SUM(G5667:G5667)</f>
        <v>63.412499999999994</v>
      </c>
      <c r="I5667" s="40"/>
      <c r="J5667" s="155">
        <v>0</v>
      </c>
    </row>
    <row r="5668" spans="1:10" ht="15.75" hidden="1" thickBot="1" x14ac:dyDescent="0.3">
      <c r="A5668" s="196"/>
      <c r="B5668" s="188"/>
      <c r="C5668" s="55"/>
      <c r="D5668" s="165"/>
      <c r="E5668" s="66"/>
      <c r="F5668" s="76" t="s">
        <v>558</v>
      </c>
      <c r="G5668" s="76" t="str">
        <f>IF(ISNUMBER(F5668),E5668*F5668,"")</f>
        <v/>
      </c>
      <c r="H5668" s="77"/>
      <c r="I5668" s="74"/>
      <c r="J5668" s="155">
        <v>0</v>
      </c>
    </row>
    <row r="5669" spans="1:10" ht="15.75" hidden="1" thickBot="1" x14ac:dyDescent="0.3">
      <c r="A5669" s="189" t="s">
        <v>5578</v>
      </c>
      <c r="B5669" s="186" t="str">
        <f>INDEX(Orçamentária!A:B,MATCH(Composições!A5669,Orçamentária!A:A,0),2)</f>
        <v>Luva para eletroduto 2 1/2”</v>
      </c>
      <c r="C5669" s="41"/>
      <c r="D5669" s="26" t="str">
        <f>TRIM(INDEX(Orçamentária!C:C,MATCH(Composições!A5669,Orçamentária!A:A,0),1))</f>
        <v>un</v>
      </c>
      <c r="E5669" s="27"/>
      <c r="F5669" s="49" t="s">
        <v>558</v>
      </c>
      <c r="G5669" s="28" t="str">
        <f>IF(ISNUMBER(F5669),E5669*F5669,"")</f>
        <v/>
      </c>
      <c r="H5669" s="29"/>
      <c r="I5669" s="30"/>
      <c r="J5669" s="155">
        <v>0</v>
      </c>
    </row>
    <row r="5670" spans="1:10" hidden="1" x14ac:dyDescent="0.25">
      <c r="A5670" s="195"/>
      <c r="B5670" s="187"/>
      <c r="C5670" s="169"/>
      <c r="D5670" s="169"/>
      <c r="E5670" s="170"/>
      <c r="F5670" s="54" t="s">
        <v>558</v>
      </c>
      <c r="G5670" s="54" t="str">
        <f>IF(ISNUMBER(F5670),E5670*F5670,"")</f>
        <v/>
      </c>
      <c r="H5670" s="73"/>
      <c r="I5670" s="74"/>
      <c r="J5670" s="155">
        <v>0</v>
      </c>
    </row>
    <row r="5671" spans="1:10" ht="25.5" hidden="1" x14ac:dyDescent="0.25">
      <c r="A5671" s="195"/>
      <c r="B5671" s="187"/>
      <c r="C5671" s="36" t="s">
        <v>3426</v>
      </c>
      <c r="D5671" s="162" t="s">
        <v>20</v>
      </c>
      <c r="E5671" s="163">
        <v>1</v>
      </c>
      <c r="F5671" s="31">
        <v>10.26</v>
      </c>
      <c r="G5671" s="54">
        <f>IF(ISNUMBER(F5671),E5671*F5671,"")</f>
        <v>10.26</v>
      </c>
      <c r="H5671" s="39">
        <f>SUM(G5671:G5671)</f>
        <v>10.26</v>
      </c>
      <c r="I5671" s="40"/>
      <c r="J5671" s="155">
        <v>0</v>
      </c>
    </row>
    <row r="5672" spans="1:10" ht="15.75" hidden="1" thickBot="1" x14ac:dyDescent="0.3">
      <c r="A5672" s="196"/>
      <c r="B5672" s="188"/>
      <c r="C5672" s="55"/>
      <c r="D5672" s="165"/>
      <c r="E5672" s="66"/>
      <c r="F5672" s="76" t="s">
        <v>558</v>
      </c>
      <c r="G5672" s="76" t="str">
        <f>IF(ISNUMBER(F5672),E5672*F5672,"")</f>
        <v/>
      </c>
      <c r="H5672" s="77"/>
      <c r="I5672" s="74"/>
      <c r="J5672" s="155">
        <v>0</v>
      </c>
    </row>
    <row r="5673" spans="1:10" ht="15.75" hidden="1" thickBot="1" x14ac:dyDescent="0.3">
      <c r="A5673" s="189" t="s">
        <v>5580</v>
      </c>
      <c r="B5673" s="186" t="str">
        <f>INDEX(Orçamentária!A:B,MATCH(Composições!A5673,Orçamentária!A:A,0),2)</f>
        <v>Curva para eletroduto 2 1/2”</v>
      </c>
      <c r="C5673" s="41"/>
      <c r="D5673" s="26" t="str">
        <f>TRIM(INDEX(Orçamentária!C:C,MATCH(Composições!A5673,Orçamentária!A:A,0),1))</f>
        <v>un</v>
      </c>
      <c r="E5673" s="27"/>
      <c r="F5673" s="49" t="s">
        <v>558</v>
      </c>
      <c r="G5673" s="28" t="str">
        <f>IF(ISNUMBER(F5673),E5673*F5673,"")</f>
        <v/>
      </c>
      <c r="H5673" s="29"/>
      <c r="I5673" s="30"/>
      <c r="J5673" s="155">
        <v>0</v>
      </c>
    </row>
    <row r="5674" spans="1:10" hidden="1" x14ac:dyDescent="0.25">
      <c r="A5674" s="195"/>
      <c r="B5674" s="187"/>
      <c r="C5674" s="169"/>
      <c r="D5674" s="169"/>
      <c r="E5674" s="170"/>
      <c r="F5674" s="54" t="s">
        <v>558</v>
      </c>
      <c r="G5674" s="54" t="str">
        <f>IF(ISNUMBER(F5674),E5674*F5674,"")</f>
        <v/>
      </c>
      <c r="H5674" s="73"/>
      <c r="I5674" s="74"/>
      <c r="J5674" s="155">
        <v>0</v>
      </c>
    </row>
    <row r="5675" spans="1:10" ht="25.5" hidden="1" x14ac:dyDescent="0.25">
      <c r="A5675" s="195"/>
      <c r="B5675" s="187"/>
      <c r="C5675" s="36" t="s">
        <v>3384</v>
      </c>
      <c r="D5675" s="162" t="s">
        <v>20</v>
      </c>
      <c r="E5675" s="163">
        <v>1</v>
      </c>
      <c r="F5675" s="31">
        <v>62.908999999999999</v>
      </c>
      <c r="G5675" s="54">
        <f>IF(ISNUMBER(F5675),E5675*F5675,"")</f>
        <v>62.908999999999999</v>
      </c>
      <c r="H5675" s="39">
        <f>SUM(G5675:G5675)</f>
        <v>62.908999999999999</v>
      </c>
      <c r="I5675" s="40"/>
      <c r="J5675" s="155">
        <v>0</v>
      </c>
    </row>
    <row r="5676" spans="1:10" ht="15.75" hidden="1" thickBot="1" x14ac:dyDescent="0.3">
      <c r="A5676" s="196"/>
      <c r="B5676" s="188"/>
      <c r="C5676" s="55"/>
      <c r="D5676" s="165"/>
      <c r="E5676" s="66"/>
      <c r="F5676" s="76" t="s">
        <v>558</v>
      </c>
      <c r="G5676" s="76" t="str">
        <f>IF(ISNUMBER(F5676),E5676*F5676,"")</f>
        <v/>
      </c>
      <c r="H5676" s="77"/>
      <c r="I5676" s="74"/>
      <c r="J5676" s="155">
        <v>0</v>
      </c>
    </row>
    <row r="5677" spans="1:10" ht="15.75" hidden="1" thickBot="1" x14ac:dyDescent="0.3">
      <c r="A5677" s="189" t="s">
        <v>5581</v>
      </c>
      <c r="B5677" s="186" t="str">
        <f>INDEX(Orçamentária!A:B,MATCH(Composições!A5677,Orçamentária!A:A,0),2)</f>
        <v>Conector reto para eletroduto 3”</v>
      </c>
      <c r="C5677" s="41"/>
      <c r="D5677" s="26" t="str">
        <f>TRIM(INDEX(Orçamentária!C:C,MATCH(Composições!A5677,Orçamentária!A:A,0),1))</f>
        <v>un</v>
      </c>
      <c r="E5677" s="27"/>
      <c r="F5677" s="49" t="s">
        <v>558</v>
      </c>
      <c r="G5677" s="28" t="str">
        <f>IF(ISNUMBER(F5677),E5677*F5677,"")</f>
        <v/>
      </c>
      <c r="H5677" s="29"/>
      <c r="I5677" s="30"/>
      <c r="J5677" s="155">
        <v>0</v>
      </c>
    </row>
    <row r="5678" spans="1:10" hidden="1" x14ac:dyDescent="0.25">
      <c r="A5678" s="195"/>
      <c r="B5678" s="187"/>
      <c r="C5678" s="169"/>
      <c r="D5678" s="169"/>
      <c r="E5678" s="170"/>
      <c r="F5678" s="54" t="s">
        <v>558</v>
      </c>
      <c r="G5678" s="54" t="str">
        <f>IF(ISNUMBER(F5678),E5678*F5678,"")</f>
        <v/>
      </c>
      <c r="H5678" s="73"/>
      <c r="I5678" s="74"/>
      <c r="J5678" s="155">
        <v>0</v>
      </c>
    </row>
    <row r="5679" spans="1:10" ht="38.25" hidden="1" x14ac:dyDescent="0.25">
      <c r="A5679" s="195"/>
      <c r="B5679" s="187"/>
      <c r="C5679" s="36" t="s">
        <v>3369</v>
      </c>
      <c r="D5679" s="162" t="s">
        <v>20</v>
      </c>
      <c r="E5679" s="163">
        <v>1</v>
      </c>
      <c r="F5679" s="31">
        <v>17.422999999999998</v>
      </c>
      <c r="G5679" s="54">
        <f>IF(ISNUMBER(F5679),E5679*F5679,"")</f>
        <v>17.422999999999998</v>
      </c>
      <c r="H5679" s="39">
        <f>SUM(G5679:G5679)</f>
        <v>17.422999999999998</v>
      </c>
      <c r="I5679" s="40"/>
      <c r="J5679" s="155">
        <v>0</v>
      </c>
    </row>
    <row r="5680" spans="1:10" ht="15.75" hidden="1" thickBot="1" x14ac:dyDescent="0.3">
      <c r="A5680" s="196"/>
      <c r="B5680" s="188"/>
      <c r="C5680" s="55"/>
      <c r="D5680" s="165"/>
      <c r="E5680" s="66"/>
      <c r="F5680" s="76" t="s">
        <v>558</v>
      </c>
      <c r="G5680" s="76" t="str">
        <f>IF(ISNUMBER(F5680),E5680*F5680,"")</f>
        <v/>
      </c>
      <c r="H5680" s="77"/>
      <c r="I5680" s="74"/>
      <c r="J5680" s="155">
        <v>0</v>
      </c>
    </row>
    <row r="5681" spans="1:10" ht="15.75" hidden="1" thickBot="1" x14ac:dyDescent="0.3">
      <c r="A5681" s="189" t="s">
        <v>5582</v>
      </c>
      <c r="B5681" s="186" t="str">
        <f>INDEX(Orçamentária!A:B,MATCH(Composições!A5681,Orçamentária!A:A,0),2)</f>
        <v>Conector curvo para eletroduto 3”</v>
      </c>
      <c r="C5681" s="41"/>
      <c r="D5681" s="26" t="str">
        <f>TRIM(INDEX(Orçamentária!C:C,MATCH(Composições!A5681,Orçamentária!A:A,0),1))</f>
        <v>un</v>
      </c>
      <c r="E5681" s="27"/>
      <c r="F5681" s="49" t="s">
        <v>558</v>
      </c>
      <c r="G5681" s="28" t="str">
        <f>IF(ISNUMBER(F5681),E5681*F5681,"")</f>
        <v/>
      </c>
      <c r="H5681" s="29"/>
      <c r="I5681" s="30"/>
      <c r="J5681" s="155">
        <v>0</v>
      </c>
    </row>
    <row r="5682" spans="1:10" hidden="1" x14ac:dyDescent="0.25">
      <c r="A5682" s="195"/>
      <c r="B5682" s="187"/>
      <c r="C5682" s="169"/>
      <c r="D5682" s="169"/>
      <c r="E5682" s="170"/>
      <c r="F5682" s="54" t="s">
        <v>558</v>
      </c>
      <c r="G5682" s="54" t="str">
        <f>IF(ISNUMBER(F5682),E5682*F5682,"")</f>
        <v/>
      </c>
      <c r="H5682" s="73"/>
      <c r="I5682" s="74"/>
      <c r="J5682" s="155">
        <v>0</v>
      </c>
    </row>
    <row r="5683" spans="1:10" ht="38.25" hidden="1" x14ac:dyDescent="0.25">
      <c r="A5683" s="195"/>
      <c r="B5683" s="187"/>
      <c r="C5683" s="36" t="s">
        <v>3362</v>
      </c>
      <c r="D5683" s="162" t="s">
        <v>20</v>
      </c>
      <c r="E5683" s="163">
        <v>1</v>
      </c>
      <c r="F5683" s="31">
        <v>76.456000000000003</v>
      </c>
      <c r="G5683" s="54">
        <f>IF(ISNUMBER(F5683),E5683*F5683,"")</f>
        <v>76.456000000000003</v>
      </c>
      <c r="H5683" s="39">
        <f>SUM(G5683:G5683)</f>
        <v>76.456000000000003</v>
      </c>
      <c r="I5683" s="40"/>
      <c r="J5683" s="155">
        <v>0</v>
      </c>
    </row>
    <row r="5684" spans="1:10" ht="15.75" hidden="1" thickBot="1" x14ac:dyDescent="0.3">
      <c r="A5684" s="196"/>
      <c r="B5684" s="188"/>
      <c r="C5684" s="55"/>
      <c r="D5684" s="165"/>
      <c r="E5684" s="66"/>
      <c r="F5684" s="76" t="s">
        <v>558</v>
      </c>
      <c r="G5684" s="76" t="str">
        <f>IF(ISNUMBER(F5684),E5684*F5684,"")</f>
        <v/>
      </c>
      <c r="H5684" s="77"/>
      <c r="I5684" s="74"/>
      <c r="J5684" s="155">
        <v>0</v>
      </c>
    </row>
    <row r="5685" spans="1:10" ht="15.75" hidden="1" thickBot="1" x14ac:dyDescent="0.3">
      <c r="A5685" s="189" t="s">
        <v>5583</v>
      </c>
      <c r="B5685" s="186" t="str">
        <f>INDEX(Orçamentária!A:B,MATCH(Composições!A5685,Orçamentária!A:A,0),2)</f>
        <v>Luva para eletroduto 3”</v>
      </c>
      <c r="C5685" s="41"/>
      <c r="D5685" s="26" t="str">
        <f>TRIM(INDEX(Orçamentária!C:C,MATCH(Composições!A5685,Orçamentária!A:A,0),1))</f>
        <v>un</v>
      </c>
      <c r="E5685" s="27"/>
      <c r="F5685" s="49" t="s">
        <v>558</v>
      </c>
      <c r="G5685" s="28" t="str">
        <f>IF(ISNUMBER(F5685),E5685*F5685,"")</f>
        <v/>
      </c>
      <c r="H5685" s="29"/>
      <c r="I5685" s="30"/>
      <c r="J5685" s="155">
        <v>0</v>
      </c>
    </row>
    <row r="5686" spans="1:10" hidden="1" x14ac:dyDescent="0.25">
      <c r="A5686" s="195"/>
      <c r="B5686" s="187"/>
      <c r="C5686" s="169"/>
      <c r="D5686" s="169"/>
      <c r="E5686" s="170"/>
      <c r="F5686" s="54" t="s">
        <v>558</v>
      </c>
      <c r="G5686" s="54" t="str">
        <f>IF(ISNUMBER(F5686),E5686*F5686,"")</f>
        <v/>
      </c>
      <c r="H5686" s="73"/>
      <c r="I5686" s="74"/>
      <c r="J5686" s="155">
        <v>0</v>
      </c>
    </row>
    <row r="5687" spans="1:10" ht="25.5" hidden="1" x14ac:dyDescent="0.25">
      <c r="A5687" s="195"/>
      <c r="B5687" s="187"/>
      <c r="C5687" s="36" t="s">
        <v>3427</v>
      </c>
      <c r="D5687" s="162" t="s">
        <v>20</v>
      </c>
      <c r="E5687" s="163">
        <v>1</v>
      </c>
      <c r="F5687" s="31">
        <v>15.627499999999998</v>
      </c>
      <c r="G5687" s="54">
        <f>IF(ISNUMBER(F5687),E5687*F5687,"")</f>
        <v>15.627499999999998</v>
      </c>
      <c r="H5687" s="39">
        <f>SUM(G5687:G5687)</f>
        <v>15.627499999999998</v>
      </c>
      <c r="I5687" s="40"/>
      <c r="J5687" s="155">
        <v>0</v>
      </c>
    </row>
    <row r="5688" spans="1:10" ht="15.75" hidden="1" thickBot="1" x14ac:dyDescent="0.3">
      <c r="A5688" s="196"/>
      <c r="B5688" s="188"/>
      <c r="C5688" s="55"/>
      <c r="D5688" s="165"/>
      <c r="E5688" s="66"/>
      <c r="F5688" s="76" t="s">
        <v>558</v>
      </c>
      <c r="G5688" s="76" t="str">
        <f>IF(ISNUMBER(F5688),E5688*F5688,"")</f>
        <v/>
      </c>
      <c r="H5688" s="77"/>
      <c r="I5688" s="74"/>
      <c r="J5688" s="155">
        <v>0</v>
      </c>
    </row>
    <row r="5689" spans="1:10" ht="15.75" hidden="1" thickBot="1" x14ac:dyDescent="0.3">
      <c r="A5689" s="189" t="s">
        <v>5585</v>
      </c>
      <c r="B5689" s="186" t="str">
        <f>INDEX(Orçamentária!A:B,MATCH(Composições!A5689,Orçamentária!A:A,0),2)</f>
        <v>Curva para eletroduto 3”</v>
      </c>
      <c r="C5689" s="41"/>
      <c r="D5689" s="26" t="str">
        <f>TRIM(INDEX(Orçamentária!C:C,MATCH(Composições!A5689,Orçamentária!A:A,0),1))</f>
        <v>un</v>
      </c>
      <c r="E5689" s="27"/>
      <c r="F5689" s="49" t="s">
        <v>558</v>
      </c>
      <c r="G5689" s="28" t="str">
        <f>IF(ISNUMBER(F5689),E5689*F5689,"")</f>
        <v/>
      </c>
      <c r="H5689" s="29"/>
      <c r="I5689" s="30"/>
      <c r="J5689" s="155">
        <v>0</v>
      </c>
    </row>
    <row r="5690" spans="1:10" hidden="1" x14ac:dyDescent="0.25">
      <c r="A5690" s="195"/>
      <c r="B5690" s="187"/>
      <c r="C5690" s="169"/>
      <c r="D5690" s="169"/>
      <c r="E5690" s="170"/>
      <c r="F5690" s="54" t="s">
        <v>558</v>
      </c>
      <c r="G5690" s="54" t="str">
        <f>IF(ISNUMBER(F5690),E5690*F5690,"")</f>
        <v/>
      </c>
      <c r="H5690" s="73"/>
      <c r="I5690" s="74"/>
      <c r="J5690" s="155">
        <v>0</v>
      </c>
    </row>
    <row r="5691" spans="1:10" ht="25.5" hidden="1" x14ac:dyDescent="0.25">
      <c r="A5691" s="195"/>
      <c r="B5691" s="187"/>
      <c r="C5691" s="36" t="s">
        <v>3385</v>
      </c>
      <c r="D5691" s="162" t="s">
        <v>20</v>
      </c>
      <c r="E5691" s="163">
        <v>1</v>
      </c>
      <c r="F5691" s="31">
        <v>82.592999999999989</v>
      </c>
      <c r="G5691" s="54">
        <f>IF(ISNUMBER(F5691),E5691*F5691,"")</f>
        <v>82.592999999999989</v>
      </c>
      <c r="H5691" s="39">
        <f>SUM(G5691:G5691)</f>
        <v>82.592999999999989</v>
      </c>
      <c r="I5691" s="40"/>
      <c r="J5691" s="155">
        <v>0</v>
      </c>
    </row>
    <row r="5692" spans="1:10" ht="15.75" hidden="1" thickBot="1" x14ac:dyDescent="0.3">
      <c r="A5692" s="196"/>
      <c r="B5692" s="188"/>
      <c r="C5692" s="55"/>
      <c r="D5692" s="165"/>
      <c r="E5692" s="66"/>
      <c r="F5692" s="76" t="s">
        <v>558</v>
      </c>
      <c r="G5692" s="76" t="str">
        <f>IF(ISNUMBER(F5692),E5692*F5692,"")</f>
        <v/>
      </c>
      <c r="H5692" s="77"/>
      <c r="I5692" s="74"/>
      <c r="J5692" s="155">
        <v>0</v>
      </c>
    </row>
    <row r="5693" spans="1:10" ht="15.75" hidden="1" thickBot="1" x14ac:dyDescent="0.3">
      <c r="A5693" s="189" t="s">
        <v>5586</v>
      </c>
      <c r="B5693" s="186" t="str">
        <f>INDEX(Orçamentária!A:B,MATCH(Composições!A5693,Orçamentária!A:A,0),2)</f>
        <v>Conector reto para eletroduto 4”</v>
      </c>
      <c r="C5693" s="41"/>
      <c r="D5693" s="26" t="str">
        <f>TRIM(INDEX(Orçamentária!C:C,MATCH(Composições!A5693,Orçamentária!A:A,0),1))</f>
        <v>un</v>
      </c>
      <c r="E5693" s="27"/>
      <c r="F5693" s="49" t="s">
        <v>558</v>
      </c>
      <c r="G5693" s="28" t="str">
        <f>IF(ISNUMBER(F5693),E5693*F5693,"")</f>
        <v/>
      </c>
      <c r="H5693" s="29"/>
      <c r="I5693" s="30"/>
      <c r="J5693" s="155">
        <v>0</v>
      </c>
    </row>
    <row r="5694" spans="1:10" hidden="1" x14ac:dyDescent="0.25">
      <c r="A5694" s="195"/>
      <c r="B5694" s="187"/>
      <c r="C5694" s="169"/>
      <c r="D5694" s="169"/>
      <c r="E5694" s="170"/>
      <c r="F5694" s="54" t="s">
        <v>558</v>
      </c>
      <c r="G5694" s="54" t="str">
        <f>IF(ISNUMBER(F5694),E5694*F5694,"")</f>
        <v/>
      </c>
      <c r="H5694" s="73"/>
      <c r="I5694" s="74"/>
      <c r="J5694" s="155">
        <v>0</v>
      </c>
    </row>
    <row r="5695" spans="1:10" ht="38.25" hidden="1" x14ac:dyDescent="0.25">
      <c r="A5695" s="195"/>
      <c r="B5695" s="187"/>
      <c r="C5695" s="36" t="s">
        <v>3370</v>
      </c>
      <c r="D5695" s="162" t="s">
        <v>20</v>
      </c>
      <c r="E5695" s="163">
        <v>1</v>
      </c>
      <c r="F5695" s="31">
        <v>27.3125</v>
      </c>
      <c r="G5695" s="54">
        <f>IF(ISNUMBER(F5695),E5695*F5695,"")</f>
        <v>27.3125</v>
      </c>
      <c r="H5695" s="39">
        <f>SUM(G5695:G5695)</f>
        <v>27.3125</v>
      </c>
      <c r="I5695" s="40"/>
      <c r="J5695" s="155">
        <v>0</v>
      </c>
    </row>
    <row r="5696" spans="1:10" ht="15.75" hidden="1" thickBot="1" x14ac:dyDescent="0.3">
      <c r="A5696" s="196"/>
      <c r="B5696" s="188"/>
      <c r="C5696" s="55"/>
      <c r="D5696" s="165"/>
      <c r="E5696" s="66"/>
      <c r="F5696" s="76" t="s">
        <v>558</v>
      </c>
      <c r="G5696" s="76" t="str">
        <f>IF(ISNUMBER(F5696),E5696*F5696,"")</f>
        <v/>
      </c>
      <c r="H5696" s="77"/>
      <c r="I5696" s="74"/>
      <c r="J5696" s="155">
        <v>0</v>
      </c>
    </row>
    <row r="5697" spans="1:10" ht="15.75" hidden="1" thickBot="1" x14ac:dyDescent="0.3">
      <c r="A5697" s="189" t="s">
        <v>5587</v>
      </c>
      <c r="B5697" s="186" t="str">
        <f>INDEX(Orçamentária!A:B,MATCH(Composições!A5697,Orçamentária!A:A,0),2)</f>
        <v>Conector curvo para eletroduto 4”</v>
      </c>
      <c r="C5697" s="41"/>
      <c r="D5697" s="26" t="str">
        <f>TRIM(INDEX(Orçamentária!C:C,MATCH(Composições!A5697,Orçamentária!A:A,0),1))</f>
        <v>un</v>
      </c>
      <c r="E5697" s="27"/>
      <c r="F5697" s="49" t="s">
        <v>558</v>
      </c>
      <c r="G5697" s="28" t="str">
        <f>IF(ISNUMBER(F5697),E5697*F5697,"")</f>
        <v/>
      </c>
      <c r="H5697" s="29"/>
      <c r="I5697" s="30"/>
      <c r="J5697" s="155">
        <v>0</v>
      </c>
    </row>
    <row r="5698" spans="1:10" hidden="1" x14ac:dyDescent="0.25">
      <c r="A5698" s="195"/>
      <c r="B5698" s="187"/>
      <c r="C5698" s="169"/>
      <c r="D5698" s="169"/>
      <c r="E5698" s="170"/>
      <c r="F5698" s="54" t="s">
        <v>558</v>
      </c>
      <c r="G5698" s="54" t="str">
        <f>IF(ISNUMBER(F5698),E5698*F5698,"")</f>
        <v/>
      </c>
      <c r="H5698" s="73"/>
      <c r="I5698" s="74"/>
      <c r="J5698" s="155">
        <v>0</v>
      </c>
    </row>
    <row r="5699" spans="1:10" ht="38.25" hidden="1" x14ac:dyDescent="0.25">
      <c r="A5699" s="195"/>
      <c r="B5699" s="187"/>
      <c r="C5699" s="36" t="s">
        <v>3363</v>
      </c>
      <c r="D5699" s="162" t="s">
        <v>20</v>
      </c>
      <c r="E5699" s="163">
        <v>1</v>
      </c>
      <c r="F5699" s="31">
        <v>140.7235</v>
      </c>
      <c r="G5699" s="54">
        <f>IF(ISNUMBER(F5699),E5699*F5699,"")</f>
        <v>140.7235</v>
      </c>
      <c r="H5699" s="39">
        <f>SUM(G5699:G5699)</f>
        <v>140.7235</v>
      </c>
      <c r="I5699" s="40"/>
      <c r="J5699" s="155">
        <v>0</v>
      </c>
    </row>
    <row r="5700" spans="1:10" ht="15.75" hidden="1" thickBot="1" x14ac:dyDescent="0.3">
      <c r="A5700" s="196"/>
      <c r="B5700" s="188"/>
      <c r="C5700" s="55"/>
      <c r="D5700" s="165"/>
      <c r="E5700" s="66"/>
      <c r="F5700" s="76" t="s">
        <v>558</v>
      </c>
      <c r="G5700" s="76" t="str">
        <f>IF(ISNUMBER(F5700),E5700*F5700,"")</f>
        <v/>
      </c>
      <c r="H5700" s="77"/>
      <c r="I5700" s="74"/>
      <c r="J5700" s="155">
        <v>0</v>
      </c>
    </row>
    <row r="5701" spans="1:10" ht="15.75" hidden="1" thickBot="1" x14ac:dyDescent="0.3">
      <c r="A5701" s="189" t="s">
        <v>5588</v>
      </c>
      <c r="B5701" s="186" t="str">
        <f>INDEX(Orçamentária!A:B,MATCH(Composições!A5701,Orçamentária!A:A,0),2)</f>
        <v>Luva para eletroduto 4”</v>
      </c>
      <c r="C5701" s="41"/>
      <c r="D5701" s="26" t="str">
        <f>TRIM(INDEX(Orçamentária!C:C,MATCH(Composições!A5701,Orçamentária!A:A,0),1))</f>
        <v>un</v>
      </c>
      <c r="E5701" s="27"/>
      <c r="F5701" s="49" t="s">
        <v>558</v>
      </c>
      <c r="G5701" s="28" t="str">
        <f>IF(ISNUMBER(F5701),E5701*F5701,"")</f>
        <v/>
      </c>
      <c r="H5701" s="29"/>
      <c r="I5701" s="30"/>
      <c r="J5701" s="155">
        <v>0</v>
      </c>
    </row>
    <row r="5702" spans="1:10" hidden="1" x14ac:dyDescent="0.25">
      <c r="A5702" s="195"/>
      <c r="B5702" s="187"/>
      <c r="C5702" s="169"/>
      <c r="D5702" s="169"/>
      <c r="E5702" s="170"/>
      <c r="F5702" s="54" t="s">
        <v>558</v>
      </c>
      <c r="G5702" s="54" t="str">
        <f>IF(ISNUMBER(F5702),E5702*F5702,"")</f>
        <v/>
      </c>
      <c r="H5702" s="73"/>
      <c r="I5702" s="74"/>
      <c r="J5702" s="155">
        <v>0</v>
      </c>
    </row>
    <row r="5703" spans="1:10" ht="25.5" hidden="1" x14ac:dyDescent="0.25">
      <c r="A5703" s="195"/>
      <c r="B5703" s="187"/>
      <c r="C5703" s="36" t="s">
        <v>3419</v>
      </c>
      <c r="D5703" s="162" t="s">
        <v>20</v>
      </c>
      <c r="E5703" s="163">
        <v>1</v>
      </c>
      <c r="F5703" s="31">
        <v>24.661999999999999</v>
      </c>
      <c r="G5703" s="54">
        <f>IF(ISNUMBER(F5703),E5703*F5703,"")</f>
        <v>24.661999999999999</v>
      </c>
      <c r="H5703" s="39">
        <f>SUM(G5703:G5703)</f>
        <v>24.661999999999999</v>
      </c>
      <c r="I5703" s="40"/>
      <c r="J5703" s="155">
        <v>0</v>
      </c>
    </row>
    <row r="5704" spans="1:10" ht="15.75" hidden="1" thickBot="1" x14ac:dyDescent="0.3">
      <c r="A5704" s="196"/>
      <c r="B5704" s="188"/>
      <c r="C5704" s="55"/>
      <c r="D5704" s="165"/>
      <c r="E5704" s="66"/>
      <c r="F5704" s="76" t="s">
        <v>558</v>
      </c>
      <c r="G5704" s="76" t="str">
        <f>IF(ISNUMBER(F5704),E5704*F5704,"")</f>
        <v/>
      </c>
      <c r="H5704" s="77"/>
      <c r="I5704" s="74"/>
      <c r="J5704" s="155">
        <v>0</v>
      </c>
    </row>
    <row r="5705" spans="1:10" ht="15.75" hidden="1" thickBot="1" x14ac:dyDescent="0.3">
      <c r="A5705" s="189" t="s">
        <v>5590</v>
      </c>
      <c r="B5705" s="186" t="str">
        <f>INDEX(Orçamentária!A:B,MATCH(Composições!A5705,Orçamentária!A:A,0),2)</f>
        <v>Curva para eletroduto 4”</v>
      </c>
      <c r="C5705" s="41"/>
      <c r="D5705" s="26" t="str">
        <f>TRIM(INDEX(Orçamentária!C:C,MATCH(Composições!A5705,Orçamentária!A:A,0),1))</f>
        <v>un</v>
      </c>
      <c r="E5705" s="27"/>
      <c r="F5705" s="49" t="s">
        <v>558</v>
      </c>
      <c r="G5705" s="28" t="str">
        <f>IF(ISNUMBER(F5705),E5705*F5705,"")</f>
        <v/>
      </c>
      <c r="H5705" s="29"/>
      <c r="I5705" s="30"/>
      <c r="J5705" s="155">
        <v>0</v>
      </c>
    </row>
    <row r="5706" spans="1:10" hidden="1" x14ac:dyDescent="0.25">
      <c r="A5706" s="195"/>
      <c r="B5706" s="187"/>
      <c r="C5706" s="169"/>
      <c r="D5706" s="169"/>
      <c r="E5706" s="170"/>
      <c r="F5706" s="54" t="s">
        <v>558</v>
      </c>
      <c r="G5706" s="54" t="str">
        <f>IF(ISNUMBER(F5706),E5706*F5706,"")</f>
        <v/>
      </c>
      <c r="H5706" s="73"/>
      <c r="I5706" s="74"/>
      <c r="J5706" s="155">
        <v>0</v>
      </c>
    </row>
    <row r="5707" spans="1:10" ht="25.5" hidden="1" x14ac:dyDescent="0.25">
      <c r="A5707" s="195"/>
      <c r="B5707" s="187"/>
      <c r="C5707" s="36" t="s">
        <v>3377</v>
      </c>
      <c r="D5707" s="162" t="s">
        <v>20</v>
      </c>
      <c r="E5707" s="163">
        <v>1</v>
      </c>
      <c r="F5707" s="31">
        <v>140.07749999999999</v>
      </c>
      <c r="G5707" s="54">
        <f>IF(ISNUMBER(F5707),E5707*F5707,"")</f>
        <v>140.07749999999999</v>
      </c>
      <c r="H5707" s="39">
        <f>SUM(G5707:G5707)</f>
        <v>140.07749999999999</v>
      </c>
      <c r="I5707" s="40"/>
      <c r="J5707" s="155">
        <v>0</v>
      </c>
    </row>
    <row r="5708" spans="1:10" ht="15.75" hidden="1" thickBot="1" x14ac:dyDescent="0.3">
      <c r="A5708" s="196"/>
      <c r="B5708" s="188"/>
      <c r="C5708" s="55"/>
      <c r="D5708" s="165"/>
      <c r="E5708" s="66"/>
      <c r="F5708" s="76" t="s">
        <v>558</v>
      </c>
      <c r="G5708" s="76" t="str">
        <f>IF(ISNUMBER(F5708),E5708*F5708,"")</f>
        <v/>
      </c>
      <c r="H5708" s="77"/>
      <c r="I5708" s="74"/>
      <c r="J5708" s="155">
        <v>0</v>
      </c>
    </row>
    <row r="5709" spans="1:10" ht="15.75" hidden="1" thickBot="1" x14ac:dyDescent="0.3">
      <c r="A5709" s="189" t="s">
        <v>5591</v>
      </c>
      <c r="B5709" s="186" t="str">
        <f>INDEX(Orçamentária!A:B,MATCH(Composições!A5709,Orçamentária!A:A,0),2)</f>
        <v>Eletroduto de PVC Corrugado Reforçado 3/4” (DE 25mm)</v>
      </c>
      <c r="C5709" s="41"/>
      <c r="D5709" s="26" t="str">
        <f>TRIM(INDEX(Orçamentária!C:C,MATCH(Composições!A5709,Orçamentária!A:A,0),1))</f>
        <v>m</v>
      </c>
      <c r="E5709" s="27"/>
      <c r="F5709" s="49" t="s">
        <v>558</v>
      </c>
      <c r="G5709" s="28" t="str">
        <f>IF(ISNUMBER(F5709),E5709*F5709,"")</f>
        <v/>
      </c>
      <c r="H5709" s="29"/>
      <c r="I5709" s="30"/>
      <c r="J5709" s="155">
        <v>0</v>
      </c>
    </row>
    <row r="5710" spans="1:10" hidden="1" x14ac:dyDescent="0.25">
      <c r="A5710" s="195"/>
      <c r="B5710" s="187"/>
      <c r="C5710" s="169"/>
      <c r="D5710" s="169"/>
      <c r="E5710" s="170"/>
      <c r="F5710" s="54" t="s">
        <v>558</v>
      </c>
      <c r="G5710" s="54" t="str">
        <f>IF(ISNUMBER(F5710),E5710*F5710,"")</f>
        <v/>
      </c>
      <c r="H5710" s="73"/>
      <c r="I5710" s="74"/>
      <c r="J5710" s="155">
        <v>0</v>
      </c>
    </row>
    <row r="5711" spans="1:10" ht="25.5" hidden="1" x14ac:dyDescent="0.25">
      <c r="A5711" s="195"/>
      <c r="B5711" s="187"/>
      <c r="C5711" s="36" t="s">
        <v>3397</v>
      </c>
      <c r="D5711" s="162" t="s">
        <v>93</v>
      </c>
      <c r="E5711" s="163">
        <v>1</v>
      </c>
      <c r="F5711" s="31">
        <v>3.3155000000000001</v>
      </c>
      <c r="G5711" s="54">
        <f>IF(ISNUMBER(F5711),E5711*F5711,"")</f>
        <v>3.3155000000000001</v>
      </c>
      <c r="H5711" s="39">
        <f>SUM(G5711:G5711)</f>
        <v>3.3155000000000001</v>
      </c>
      <c r="I5711" s="40"/>
      <c r="J5711" s="155">
        <v>0</v>
      </c>
    </row>
    <row r="5712" spans="1:10" ht="15.75" hidden="1" thickBot="1" x14ac:dyDescent="0.3">
      <c r="A5712" s="196"/>
      <c r="B5712" s="188"/>
      <c r="C5712" s="55"/>
      <c r="D5712" s="165"/>
      <c r="E5712" s="66"/>
      <c r="F5712" s="76" t="s">
        <v>558</v>
      </c>
      <c r="G5712" s="76" t="str">
        <f>IF(ISNUMBER(F5712),E5712*F5712,"")</f>
        <v/>
      </c>
      <c r="H5712" s="77"/>
      <c r="I5712" s="74"/>
      <c r="J5712" s="155">
        <v>0</v>
      </c>
    </row>
    <row r="5713" spans="1:10" ht="15.75" hidden="1" thickBot="1" x14ac:dyDescent="0.3">
      <c r="A5713" s="189" t="s">
        <v>5592</v>
      </c>
      <c r="B5713" s="186" t="str">
        <f>INDEX(Orçamentária!A:B,MATCH(Composições!A5713,Orçamentária!A:A,0),2)</f>
        <v>Eletroduto de PVC Corrugado Reforçado 1” (DE 32mm)</v>
      </c>
      <c r="C5713" s="41"/>
      <c r="D5713" s="26" t="str">
        <f>TRIM(INDEX(Orçamentária!C:C,MATCH(Composições!A5713,Orçamentária!A:A,0),1))</f>
        <v>m</v>
      </c>
      <c r="E5713" s="27"/>
      <c r="F5713" s="49" t="s">
        <v>558</v>
      </c>
      <c r="G5713" s="28" t="str">
        <f>IF(ISNUMBER(F5713),E5713*F5713,"")</f>
        <v/>
      </c>
      <c r="H5713" s="29"/>
      <c r="I5713" s="30"/>
      <c r="J5713" s="155">
        <v>0</v>
      </c>
    </row>
    <row r="5714" spans="1:10" hidden="1" x14ac:dyDescent="0.25">
      <c r="A5714" s="195"/>
      <c r="B5714" s="187"/>
      <c r="C5714" s="169"/>
      <c r="D5714" s="169"/>
      <c r="E5714" s="170"/>
      <c r="F5714" s="54" t="s">
        <v>558</v>
      </c>
      <c r="G5714" s="54" t="str">
        <f>IF(ISNUMBER(F5714),E5714*F5714,"")</f>
        <v/>
      </c>
      <c r="H5714" s="73"/>
      <c r="I5714" s="74"/>
      <c r="J5714" s="155">
        <v>0</v>
      </c>
    </row>
    <row r="5715" spans="1:10" ht="25.5" hidden="1" x14ac:dyDescent="0.25">
      <c r="A5715" s="195"/>
      <c r="B5715" s="187"/>
      <c r="C5715" s="36" t="s">
        <v>3398</v>
      </c>
      <c r="D5715" s="162" t="s">
        <v>93</v>
      </c>
      <c r="E5715" s="163">
        <v>1</v>
      </c>
      <c r="F5715" s="31">
        <v>6.3839999999999995</v>
      </c>
      <c r="G5715" s="54">
        <f>IF(ISNUMBER(F5715),E5715*F5715,"")</f>
        <v>6.3839999999999995</v>
      </c>
      <c r="H5715" s="39">
        <f>SUM(G5715:G5715)</f>
        <v>6.3839999999999995</v>
      </c>
      <c r="I5715" s="40"/>
      <c r="J5715" s="155">
        <v>0</v>
      </c>
    </row>
    <row r="5716" spans="1:10" ht="15.75" hidden="1" thickBot="1" x14ac:dyDescent="0.3">
      <c r="A5716" s="196"/>
      <c r="B5716" s="188"/>
      <c r="C5716" s="55"/>
      <c r="D5716" s="165"/>
      <c r="E5716" s="66"/>
      <c r="F5716" s="76" t="s">
        <v>558</v>
      </c>
      <c r="G5716" s="76" t="str">
        <f>IF(ISNUMBER(F5716),E5716*F5716,"")</f>
        <v/>
      </c>
      <c r="H5716" s="77"/>
      <c r="I5716" s="74"/>
      <c r="J5716" s="155">
        <v>0</v>
      </c>
    </row>
    <row r="5717" spans="1:10" ht="15.75" hidden="1" thickBot="1" x14ac:dyDescent="0.3">
      <c r="A5717" s="189" t="s">
        <v>5593</v>
      </c>
      <c r="B5717" s="186" t="str">
        <f>INDEX(Orçamentária!A:B,MATCH(Composições!A5717,Orçamentária!A:A,0),2)</f>
        <v>Eletroduto flexível metálico com capa de PVC 3/4”</v>
      </c>
      <c r="C5717" s="41"/>
      <c r="D5717" s="26" t="str">
        <f>TRIM(INDEX(Orçamentária!C:C,MATCH(Composições!A5717,Orçamentária!A:A,0),1))</f>
        <v>m</v>
      </c>
      <c r="E5717" s="27"/>
      <c r="F5717" s="49" t="s">
        <v>558</v>
      </c>
      <c r="G5717" s="28" t="str">
        <f>IF(ISNUMBER(F5717),E5717*F5717,"")</f>
        <v/>
      </c>
      <c r="H5717" s="29"/>
      <c r="I5717" s="30"/>
      <c r="J5717" s="155">
        <v>0</v>
      </c>
    </row>
    <row r="5718" spans="1:10" hidden="1" x14ac:dyDescent="0.25">
      <c r="A5718" s="195"/>
      <c r="B5718" s="187"/>
      <c r="C5718" s="169"/>
      <c r="D5718" s="169"/>
      <c r="E5718" s="170"/>
      <c r="F5718" s="54" t="s">
        <v>558</v>
      </c>
      <c r="G5718" s="54" t="str">
        <f>IF(ISNUMBER(F5718),E5718*F5718,"")</f>
        <v/>
      </c>
      <c r="H5718" s="73"/>
      <c r="I5718" s="74"/>
      <c r="J5718" s="155">
        <v>0</v>
      </c>
    </row>
    <row r="5719" spans="1:10" ht="38.25" hidden="1" x14ac:dyDescent="0.25">
      <c r="A5719" s="195"/>
      <c r="B5719" s="187"/>
      <c r="C5719" s="36" t="s">
        <v>3393</v>
      </c>
      <c r="D5719" s="162" t="s">
        <v>93</v>
      </c>
      <c r="E5719" s="163">
        <v>1</v>
      </c>
      <c r="F5719" s="31">
        <v>10.183999999999999</v>
      </c>
      <c r="G5719" s="54">
        <f>IF(ISNUMBER(F5719),E5719*F5719,"")</f>
        <v>10.183999999999999</v>
      </c>
      <c r="H5719" s="39">
        <f>SUM(G5719:G5719)</f>
        <v>10.183999999999999</v>
      </c>
      <c r="I5719" s="40"/>
      <c r="J5719" s="155">
        <v>0</v>
      </c>
    </row>
    <row r="5720" spans="1:10" ht="15.75" hidden="1" thickBot="1" x14ac:dyDescent="0.3">
      <c r="A5720" s="196"/>
      <c r="B5720" s="188"/>
      <c r="C5720" s="55"/>
      <c r="D5720" s="165"/>
      <c r="E5720" s="66"/>
      <c r="F5720" s="76" t="s">
        <v>558</v>
      </c>
      <c r="G5720" s="76" t="str">
        <f>IF(ISNUMBER(F5720),E5720*F5720,"")</f>
        <v/>
      </c>
      <c r="H5720" s="77"/>
      <c r="I5720" s="74"/>
      <c r="J5720" s="155">
        <v>0</v>
      </c>
    </row>
    <row r="5721" spans="1:10" ht="15.75" hidden="1" thickBot="1" x14ac:dyDescent="0.3">
      <c r="A5721" s="189" t="s">
        <v>5595</v>
      </c>
      <c r="B5721" s="186" t="str">
        <f>INDEX(Orçamentária!A:B,MATCH(Composições!A5721,Orçamentária!A:A,0),2)</f>
        <v>Eletroduto flexível metálico com capa de PVC 1”</v>
      </c>
      <c r="C5721" s="41"/>
      <c r="D5721" s="26" t="str">
        <f>TRIM(INDEX(Orçamentária!C:C,MATCH(Composições!A5721,Orçamentária!A:A,0),1))</f>
        <v>m</v>
      </c>
      <c r="E5721" s="27"/>
      <c r="F5721" s="49" t="s">
        <v>558</v>
      </c>
      <c r="G5721" s="28" t="str">
        <f>IF(ISNUMBER(F5721),E5721*F5721,"")</f>
        <v/>
      </c>
      <c r="H5721" s="29"/>
      <c r="I5721" s="30"/>
      <c r="J5721" s="155">
        <v>0</v>
      </c>
    </row>
    <row r="5722" spans="1:10" hidden="1" x14ac:dyDescent="0.25">
      <c r="A5722" s="195"/>
      <c r="B5722" s="187"/>
      <c r="C5722" s="169"/>
      <c r="D5722" s="169"/>
      <c r="E5722" s="170"/>
      <c r="F5722" s="54" t="s">
        <v>558</v>
      </c>
      <c r="G5722" s="54" t="str">
        <f>IF(ISNUMBER(F5722),E5722*F5722,"")</f>
        <v/>
      </c>
      <c r="H5722" s="73"/>
      <c r="I5722" s="74"/>
      <c r="J5722" s="155">
        <v>0</v>
      </c>
    </row>
    <row r="5723" spans="1:10" ht="38.25" hidden="1" x14ac:dyDescent="0.25">
      <c r="A5723" s="195"/>
      <c r="B5723" s="187"/>
      <c r="C5723" s="36" t="s">
        <v>3394</v>
      </c>
      <c r="D5723" s="162" t="s">
        <v>93</v>
      </c>
      <c r="E5723" s="163">
        <v>1</v>
      </c>
      <c r="F5723" s="31">
        <v>13.3475</v>
      </c>
      <c r="G5723" s="54">
        <f>IF(ISNUMBER(F5723),E5723*F5723,"")</f>
        <v>13.3475</v>
      </c>
      <c r="H5723" s="39">
        <f>SUM(G5723:G5723)</f>
        <v>13.3475</v>
      </c>
      <c r="I5723" s="40"/>
      <c r="J5723" s="155">
        <v>0</v>
      </c>
    </row>
    <row r="5724" spans="1:10" ht="15.75" hidden="1" thickBot="1" x14ac:dyDescent="0.3">
      <c r="A5724" s="196"/>
      <c r="B5724" s="188"/>
      <c r="C5724" s="55"/>
      <c r="D5724" s="165"/>
      <c r="E5724" s="66"/>
      <c r="F5724" s="76" t="s">
        <v>558</v>
      </c>
      <c r="G5724" s="76" t="str">
        <f>IF(ISNUMBER(F5724),E5724*F5724,"")</f>
        <v/>
      </c>
      <c r="H5724" s="77"/>
      <c r="I5724" s="74"/>
      <c r="J5724" s="155">
        <v>0</v>
      </c>
    </row>
    <row r="5725" spans="1:10" ht="15.75" hidden="1" thickBot="1" x14ac:dyDescent="0.3">
      <c r="A5725" s="189" t="s">
        <v>5597</v>
      </c>
      <c r="B5725" s="186" t="str">
        <f>INDEX(Orçamentária!A:B,MATCH(Composições!A5725,Orçamentária!A:A,0),2)</f>
        <v>Eletroduto flexível metálico com capa de PVC 1 1/4”</v>
      </c>
      <c r="C5725" s="41"/>
      <c r="D5725" s="26" t="str">
        <f>TRIM(INDEX(Orçamentária!C:C,MATCH(Composições!A5725,Orçamentária!A:A,0),1))</f>
        <v>m</v>
      </c>
      <c r="E5725" s="27"/>
      <c r="F5725" s="49" t="s">
        <v>558</v>
      </c>
      <c r="G5725" s="28" t="str">
        <f>IF(ISNUMBER(F5725),E5725*F5725,"")</f>
        <v/>
      </c>
      <c r="H5725" s="29"/>
      <c r="I5725" s="30"/>
      <c r="J5725" s="155">
        <v>0</v>
      </c>
    </row>
    <row r="5726" spans="1:10" hidden="1" x14ac:dyDescent="0.25">
      <c r="A5726" s="195"/>
      <c r="B5726" s="187"/>
      <c r="C5726" s="169"/>
      <c r="D5726" s="169"/>
      <c r="E5726" s="170"/>
      <c r="F5726" s="54" t="s">
        <v>558</v>
      </c>
      <c r="G5726" s="54" t="str">
        <f>IF(ISNUMBER(F5726),E5726*F5726,"")</f>
        <v/>
      </c>
      <c r="H5726" s="73"/>
      <c r="I5726" s="74"/>
      <c r="J5726" s="155">
        <v>0</v>
      </c>
    </row>
    <row r="5727" spans="1:10" ht="38.25" hidden="1" x14ac:dyDescent="0.25">
      <c r="A5727" s="195"/>
      <c r="B5727" s="187"/>
      <c r="C5727" s="36" t="s">
        <v>3395</v>
      </c>
      <c r="D5727" s="162" t="s">
        <v>93</v>
      </c>
      <c r="E5727" s="163">
        <v>1</v>
      </c>
      <c r="F5727" s="31">
        <v>20.1495</v>
      </c>
      <c r="G5727" s="54">
        <f>IF(ISNUMBER(F5727),E5727*F5727,"")</f>
        <v>20.1495</v>
      </c>
      <c r="H5727" s="39">
        <f>SUM(G5727:G5727)</f>
        <v>20.1495</v>
      </c>
      <c r="I5727" s="40"/>
      <c r="J5727" s="155">
        <v>0</v>
      </c>
    </row>
    <row r="5728" spans="1:10" ht="15.75" hidden="1" thickBot="1" x14ac:dyDescent="0.3">
      <c r="A5728" s="196"/>
      <c r="B5728" s="188"/>
      <c r="C5728" s="55"/>
      <c r="D5728" s="165"/>
      <c r="E5728" s="66"/>
      <c r="F5728" s="76" t="s">
        <v>558</v>
      </c>
      <c r="G5728" s="76" t="str">
        <f>IF(ISNUMBER(F5728),E5728*F5728,"")</f>
        <v/>
      </c>
      <c r="H5728" s="77"/>
      <c r="I5728" s="74"/>
      <c r="J5728" s="155">
        <v>0</v>
      </c>
    </row>
    <row r="5729" spans="1:10" ht="15.75" hidden="1" thickBot="1" x14ac:dyDescent="0.3">
      <c r="A5729" s="189" t="s">
        <v>5599</v>
      </c>
      <c r="B5729" s="186" t="str">
        <f>INDEX(Orçamentária!A:B,MATCH(Composições!A5729,Orçamentária!A:A,0),2)</f>
        <v>Eletroduto flexível metálico com capa de PVC 1 1/2”</v>
      </c>
      <c r="C5729" s="41"/>
      <c r="D5729" s="26" t="str">
        <f>TRIM(INDEX(Orçamentária!C:C,MATCH(Composições!A5729,Orçamentária!A:A,0),1))</f>
        <v>m</v>
      </c>
      <c r="E5729" s="27"/>
      <c r="F5729" s="49" t="s">
        <v>558</v>
      </c>
      <c r="G5729" s="28" t="str">
        <f>IF(ISNUMBER(F5729),E5729*F5729,"")</f>
        <v/>
      </c>
      <c r="H5729" s="29"/>
      <c r="I5729" s="30"/>
      <c r="J5729" s="155">
        <v>0</v>
      </c>
    </row>
    <row r="5730" spans="1:10" hidden="1" x14ac:dyDescent="0.25">
      <c r="A5730" s="195"/>
      <c r="B5730" s="187"/>
      <c r="C5730" s="169"/>
      <c r="D5730" s="169"/>
      <c r="E5730" s="170"/>
      <c r="F5730" s="54" t="s">
        <v>558</v>
      </c>
      <c r="G5730" s="54" t="str">
        <f>IF(ISNUMBER(F5730),E5730*F5730,"")</f>
        <v/>
      </c>
      <c r="H5730" s="73"/>
      <c r="I5730" s="74"/>
      <c r="J5730" s="155">
        <v>0</v>
      </c>
    </row>
    <row r="5731" spans="1:10" ht="38.25" hidden="1" x14ac:dyDescent="0.25">
      <c r="A5731" s="195"/>
      <c r="B5731" s="187"/>
      <c r="C5731" s="36" t="s">
        <v>1265</v>
      </c>
      <c r="D5731" s="162" t="s">
        <v>93</v>
      </c>
      <c r="E5731" s="163">
        <v>1</v>
      </c>
      <c r="F5731" s="31">
        <v>25.9255</v>
      </c>
      <c r="G5731" s="54">
        <f>IF(ISNUMBER(F5731),E5731*F5731,"")</f>
        <v>25.9255</v>
      </c>
      <c r="H5731" s="39">
        <f>SUM(G5731:G5731)</f>
        <v>25.9255</v>
      </c>
      <c r="I5731" s="40"/>
      <c r="J5731" s="155">
        <v>0</v>
      </c>
    </row>
    <row r="5732" spans="1:10" ht="15.75" hidden="1" thickBot="1" x14ac:dyDescent="0.3">
      <c r="A5732" s="196"/>
      <c r="B5732" s="188"/>
      <c r="C5732" s="55"/>
      <c r="D5732" s="165"/>
      <c r="E5732" s="66"/>
      <c r="F5732" s="76" t="s">
        <v>558</v>
      </c>
      <c r="G5732" s="76" t="str">
        <f>IF(ISNUMBER(F5732),E5732*F5732,"")</f>
        <v/>
      </c>
      <c r="H5732" s="77"/>
      <c r="I5732" s="74"/>
      <c r="J5732" s="155">
        <v>0</v>
      </c>
    </row>
    <row r="5733" spans="1:10" ht="15.75" hidden="1" thickBot="1" x14ac:dyDescent="0.3">
      <c r="A5733" s="189" t="s">
        <v>5601</v>
      </c>
      <c r="B5733" s="186" t="str">
        <f>INDEX(Orçamentária!A:B,MATCH(Composições!A5733,Orçamentária!A:A,0),2)</f>
        <v>Eletroduto flexível metálico com capa de PVC 2”</v>
      </c>
      <c r="C5733" s="41"/>
      <c r="D5733" s="26" t="str">
        <f>TRIM(INDEX(Orçamentária!C:C,MATCH(Composições!A5733,Orçamentária!A:A,0),1))</f>
        <v>m</v>
      </c>
      <c r="E5733" s="27"/>
      <c r="F5733" s="49" t="s">
        <v>558</v>
      </c>
      <c r="G5733" s="28" t="str">
        <f>IF(ISNUMBER(F5733),E5733*F5733,"")</f>
        <v/>
      </c>
      <c r="H5733" s="29"/>
      <c r="I5733" s="30"/>
      <c r="J5733" s="155">
        <v>0</v>
      </c>
    </row>
    <row r="5734" spans="1:10" hidden="1" x14ac:dyDescent="0.25">
      <c r="A5734" s="195"/>
      <c r="B5734" s="187"/>
      <c r="C5734" s="169"/>
      <c r="D5734" s="169"/>
      <c r="E5734" s="170"/>
      <c r="F5734" s="54" t="s">
        <v>558</v>
      </c>
      <c r="G5734" s="54" t="str">
        <f>IF(ISNUMBER(F5734),E5734*F5734,"")</f>
        <v/>
      </c>
      <c r="H5734" s="73"/>
      <c r="I5734" s="74"/>
      <c r="J5734" s="155">
        <v>0</v>
      </c>
    </row>
    <row r="5735" spans="1:10" ht="38.25" hidden="1" x14ac:dyDescent="0.25">
      <c r="A5735" s="195"/>
      <c r="B5735" s="187"/>
      <c r="C5735" s="36" t="s">
        <v>3396</v>
      </c>
      <c r="D5735" s="162" t="s">
        <v>93</v>
      </c>
      <c r="E5735" s="163">
        <v>1</v>
      </c>
      <c r="F5735" s="31">
        <v>34.541999999999994</v>
      </c>
      <c r="G5735" s="54">
        <f>IF(ISNUMBER(F5735),E5735*F5735,"")</f>
        <v>34.541999999999994</v>
      </c>
      <c r="H5735" s="39">
        <f>SUM(G5735:G5735)</f>
        <v>34.541999999999994</v>
      </c>
      <c r="I5735" s="40"/>
      <c r="J5735" s="155">
        <v>0</v>
      </c>
    </row>
    <row r="5736" spans="1:10" ht="15.75" hidden="1" thickBot="1" x14ac:dyDescent="0.3">
      <c r="A5736" s="196"/>
      <c r="B5736" s="188"/>
      <c r="C5736" s="55"/>
      <c r="D5736" s="165"/>
      <c r="E5736" s="66"/>
      <c r="F5736" s="76" t="s">
        <v>558</v>
      </c>
      <c r="G5736" s="76" t="str">
        <f>IF(ISNUMBER(F5736),E5736*F5736,"")</f>
        <v/>
      </c>
      <c r="H5736" s="77"/>
      <c r="I5736" s="74"/>
      <c r="J5736" s="155">
        <v>0</v>
      </c>
    </row>
    <row r="5737" spans="1:10" ht="15.75" hidden="1" thickBot="1" x14ac:dyDescent="0.3">
      <c r="A5737" s="189" t="s">
        <v>5603</v>
      </c>
      <c r="B5737" s="186" t="str">
        <f>INDEX(Orçamentária!A:B,MATCH(Composições!A5737,Orçamentária!A:A,0),2)</f>
        <v>Eletroduto de PEAD de 1 1/4”</v>
      </c>
      <c r="C5737" s="41"/>
      <c r="D5737" s="26" t="str">
        <f>TRIM(INDEX(Orçamentária!C:C,MATCH(Composições!A5737,Orçamentária!A:A,0),1))</f>
        <v>m</v>
      </c>
      <c r="E5737" s="27"/>
      <c r="F5737" s="49" t="s">
        <v>558</v>
      </c>
      <c r="G5737" s="28" t="str">
        <f>IF(ISNUMBER(F5737),E5737*F5737,"")</f>
        <v/>
      </c>
      <c r="H5737" s="29"/>
      <c r="I5737" s="30"/>
      <c r="J5737" s="155">
        <v>0</v>
      </c>
    </row>
    <row r="5738" spans="1:10" hidden="1" x14ac:dyDescent="0.25">
      <c r="A5738" s="195"/>
      <c r="B5738" s="187"/>
      <c r="C5738" s="169"/>
      <c r="D5738" s="169"/>
      <c r="E5738" s="170"/>
      <c r="F5738" s="54" t="s">
        <v>558</v>
      </c>
      <c r="G5738" s="54" t="str">
        <f>IF(ISNUMBER(F5738),E5738*F5738,"")</f>
        <v/>
      </c>
      <c r="H5738" s="73"/>
      <c r="I5738" s="74"/>
      <c r="J5738" s="155">
        <v>0</v>
      </c>
    </row>
    <row r="5739" spans="1:10" ht="38.25" hidden="1" x14ac:dyDescent="0.25">
      <c r="A5739" s="195"/>
      <c r="B5739" s="187"/>
      <c r="C5739" s="36" t="s">
        <v>3400</v>
      </c>
      <c r="D5739" s="162" t="s">
        <v>93</v>
      </c>
      <c r="E5739" s="163">
        <v>1</v>
      </c>
      <c r="F5739" s="31">
        <v>3.9045000000000001</v>
      </c>
      <c r="G5739" s="54">
        <f>IF(ISNUMBER(F5739),E5739*F5739,"")</f>
        <v>3.9045000000000001</v>
      </c>
      <c r="H5739" s="39">
        <f>SUM(G5739:G5739)</f>
        <v>3.9045000000000001</v>
      </c>
      <c r="I5739" s="40"/>
      <c r="J5739" s="155">
        <v>0</v>
      </c>
    </row>
    <row r="5740" spans="1:10" ht="15.75" hidden="1" thickBot="1" x14ac:dyDescent="0.3">
      <c r="A5740" s="196"/>
      <c r="B5740" s="188"/>
      <c r="C5740" s="55"/>
      <c r="D5740" s="165"/>
      <c r="E5740" s="66"/>
      <c r="F5740" s="76" t="s">
        <v>558</v>
      </c>
      <c r="G5740" s="76" t="str">
        <f>IF(ISNUMBER(F5740),E5740*F5740,"")</f>
        <v/>
      </c>
      <c r="H5740" s="77"/>
      <c r="I5740" s="74"/>
      <c r="J5740" s="155">
        <v>0</v>
      </c>
    </row>
    <row r="5741" spans="1:10" ht="15.75" hidden="1" thickBot="1" x14ac:dyDescent="0.3">
      <c r="A5741" s="189" t="s">
        <v>5604</v>
      </c>
      <c r="B5741" s="186" t="str">
        <f>INDEX(Orçamentária!A:B,MATCH(Composições!A5741,Orçamentária!A:A,0),2)</f>
        <v>Terminal para eletroduto de PEAD de 1 1/4”</v>
      </c>
      <c r="C5741" s="41"/>
      <c r="D5741" s="26" t="str">
        <f>TRIM(INDEX(Orçamentária!C:C,MATCH(Composições!A5741,Orçamentária!A:A,0),1))</f>
        <v>un</v>
      </c>
      <c r="E5741" s="27"/>
      <c r="F5741" s="49" t="s">
        <v>558</v>
      </c>
      <c r="G5741" s="28" t="str">
        <f>IF(ISNUMBER(F5741),E5741*F5741,"")</f>
        <v/>
      </c>
      <c r="H5741" s="29"/>
      <c r="I5741" s="30"/>
      <c r="J5741" s="155">
        <v>0</v>
      </c>
    </row>
    <row r="5742" spans="1:10" hidden="1" x14ac:dyDescent="0.25">
      <c r="A5742" s="195"/>
      <c r="B5742" s="187"/>
      <c r="C5742" s="169"/>
      <c r="D5742" s="169"/>
      <c r="E5742" s="170"/>
      <c r="F5742" s="54" t="s">
        <v>558</v>
      </c>
      <c r="G5742" s="54" t="str">
        <f>IF(ISNUMBER(F5742),E5742*F5742,"")</f>
        <v/>
      </c>
      <c r="H5742" s="73"/>
      <c r="I5742" s="74"/>
      <c r="J5742" s="155">
        <v>0</v>
      </c>
    </row>
    <row r="5743" spans="1:10" ht="25.5" hidden="1" x14ac:dyDescent="0.25">
      <c r="A5743" s="195"/>
      <c r="B5743" s="187"/>
      <c r="C5743" s="36" t="s">
        <v>3451</v>
      </c>
      <c r="D5743" s="162" t="s">
        <v>20</v>
      </c>
      <c r="E5743" s="163">
        <v>1</v>
      </c>
      <c r="F5743" s="31">
        <v>6.4979999999999993</v>
      </c>
      <c r="G5743" s="54">
        <f>IF(ISNUMBER(F5743),E5743*F5743,"")</f>
        <v>6.4979999999999993</v>
      </c>
      <c r="H5743" s="39">
        <f>SUM(G5743:G5743)</f>
        <v>6.4979999999999993</v>
      </c>
      <c r="I5743" s="40"/>
      <c r="J5743" s="155">
        <v>0</v>
      </c>
    </row>
    <row r="5744" spans="1:10" ht="15.75" hidden="1" thickBot="1" x14ac:dyDescent="0.3">
      <c r="A5744" s="196"/>
      <c r="B5744" s="188"/>
      <c r="C5744" s="55"/>
      <c r="D5744" s="165"/>
      <c r="E5744" s="66"/>
      <c r="F5744" s="76" t="s">
        <v>558</v>
      </c>
      <c r="G5744" s="76" t="str">
        <f>IF(ISNUMBER(F5744),E5744*F5744,"")</f>
        <v/>
      </c>
      <c r="H5744" s="77"/>
      <c r="I5744" s="74"/>
      <c r="J5744" s="155">
        <v>0</v>
      </c>
    </row>
    <row r="5745" spans="1:10" ht="15.75" hidden="1" thickBot="1" x14ac:dyDescent="0.3">
      <c r="A5745" s="189" t="s">
        <v>5605</v>
      </c>
      <c r="B5745" s="186" t="str">
        <f>INDEX(Orçamentária!A:B,MATCH(Composições!A5745,Orçamentária!A:A,0),2)</f>
        <v>Eletroduto de PEAD de 2”</v>
      </c>
      <c r="C5745" s="41"/>
      <c r="D5745" s="26" t="str">
        <f>TRIM(INDEX(Orçamentária!C:C,MATCH(Composições!A5745,Orçamentária!A:A,0),1))</f>
        <v>m</v>
      </c>
      <c r="E5745" s="27"/>
      <c r="F5745" s="49" t="s">
        <v>558</v>
      </c>
      <c r="G5745" s="28" t="str">
        <f>IF(ISNUMBER(F5745),E5745*F5745,"")</f>
        <v/>
      </c>
      <c r="H5745" s="29"/>
      <c r="I5745" s="30"/>
      <c r="J5745" s="155">
        <v>0</v>
      </c>
    </row>
    <row r="5746" spans="1:10" hidden="1" x14ac:dyDescent="0.25">
      <c r="A5746" s="195"/>
      <c r="B5746" s="187"/>
      <c r="C5746" s="169"/>
      <c r="D5746" s="169"/>
      <c r="E5746" s="170"/>
      <c r="F5746" s="54" t="s">
        <v>558</v>
      </c>
      <c r="G5746" s="54" t="str">
        <f>IF(ISNUMBER(F5746),E5746*F5746,"")</f>
        <v/>
      </c>
      <c r="H5746" s="73"/>
      <c r="I5746" s="74"/>
      <c r="J5746" s="155">
        <v>0</v>
      </c>
    </row>
    <row r="5747" spans="1:10" ht="38.25" hidden="1" x14ac:dyDescent="0.25">
      <c r="A5747" s="195"/>
      <c r="B5747" s="187"/>
      <c r="C5747" s="36" t="s">
        <v>3399</v>
      </c>
      <c r="D5747" s="162" t="s">
        <v>93</v>
      </c>
      <c r="E5747" s="163">
        <v>1</v>
      </c>
      <c r="F5747" s="31">
        <v>6.4409999999999998</v>
      </c>
      <c r="G5747" s="54">
        <f>IF(ISNUMBER(F5747),E5747*F5747,"")</f>
        <v>6.4409999999999998</v>
      </c>
      <c r="H5747" s="39">
        <f>SUM(G5747:G5747)</f>
        <v>6.4409999999999998</v>
      </c>
      <c r="I5747" s="40"/>
      <c r="J5747" s="155">
        <v>0</v>
      </c>
    </row>
    <row r="5748" spans="1:10" ht="15.75" hidden="1" thickBot="1" x14ac:dyDescent="0.3">
      <c r="A5748" s="196"/>
      <c r="B5748" s="188"/>
      <c r="C5748" s="55"/>
      <c r="D5748" s="165"/>
      <c r="E5748" s="66"/>
      <c r="F5748" s="76" t="s">
        <v>558</v>
      </c>
      <c r="G5748" s="76" t="str">
        <f>IF(ISNUMBER(F5748),E5748*F5748,"")</f>
        <v/>
      </c>
      <c r="H5748" s="77"/>
      <c r="I5748" s="74"/>
      <c r="J5748" s="155">
        <v>0</v>
      </c>
    </row>
    <row r="5749" spans="1:10" ht="15.75" hidden="1" thickBot="1" x14ac:dyDescent="0.3">
      <c r="A5749" s="189" t="s">
        <v>5606</v>
      </c>
      <c r="B5749" s="186" t="str">
        <f>INDEX(Orçamentária!A:B,MATCH(Composições!A5749,Orçamentária!A:A,0),2)</f>
        <v>Terminal para eletroduto de PEAD de 2”</v>
      </c>
      <c r="C5749" s="41"/>
      <c r="D5749" s="26" t="str">
        <f>TRIM(INDEX(Orçamentária!C:C,MATCH(Composições!A5749,Orçamentária!A:A,0),1))</f>
        <v>un</v>
      </c>
      <c r="E5749" s="27"/>
      <c r="F5749" s="49" t="s">
        <v>558</v>
      </c>
      <c r="G5749" s="28" t="str">
        <f>IF(ISNUMBER(F5749),E5749*F5749,"")</f>
        <v/>
      </c>
      <c r="H5749" s="29"/>
      <c r="I5749" s="30"/>
      <c r="J5749" s="155">
        <v>0</v>
      </c>
    </row>
    <row r="5750" spans="1:10" hidden="1" x14ac:dyDescent="0.25">
      <c r="A5750" s="195"/>
      <c r="B5750" s="187"/>
      <c r="C5750" s="169"/>
      <c r="D5750" s="169"/>
      <c r="E5750" s="170"/>
      <c r="F5750" s="54" t="s">
        <v>558</v>
      </c>
      <c r="G5750" s="54" t="str">
        <f>IF(ISNUMBER(F5750),E5750*F5750,"")</f>
        <v/>
      </c>
      <c r="H5750" s="73"/>
      <c r="I5750" s="74"/>
      <c r="J5750" s="155">
        <v>0</v>
      </c>
    </row>
    <row r="5751" spans="1:10" ht="25.5" hidden="1" x14ac:dyDescent="0.25">
      <c r="A5751" s="195"/>
      <c r="B5751" s="187"/>
      <c r="C5751" s="36" t="s">
        <v>3452</v>
      </c>
      <c r="D5751" s="162" t="s">
        <v>20</v>
      </c>
      <c r="E5751" s="163">
        <v>1</v>
      </c>
      <c r="F5751" s="31">
        <v>7.4194999999999993</v>
      </c>
      <c r="G5751" s="54">
        <f>IF(ISNUMBER(F5751),E5751*F5751,"")</f>
        <v>7.4194999999999993</v>
      </c>
      <c r="H5751" s="39">
        <f>SUM(G5751:G5751)</f>
        <v>7.4194999999999993</v>
      </c>
      <c r="I5751" s="40"/>
      <c r="J5751" s="155">
        <v>0</v>
      </c>
    </row>
    <row r="5752" spans="1:10" ht="15.75" hidden="1" thickBot="1" x14ac:dyDescent="0.3">
      <c r="A5752" s="196"/>
      <c r="B5752" s="188"/>
      <c r="C5752" s="55"/>
      <c r="D5752" s="165"/>
      <c r="E5752" s="66"/>
      <c r="F5752" s="76" t="s">
        <v>558</v>
      </c>
      <c r="G5752" s="76" t="str">
        <f>IF(ISNUMBER(F5752),E5752*F5752,"")</f>
        <v/>
      </c>
      <c r="H5752" s="77"/>
      <c r="I5752" s="74"/>
      <c r="J5752" s="155">
        <v>0</v>
      </c>
    </row>
    <row r="5753" spans="1:10" ht="15.75" hidden="1" thickBot="1" x14ac:dyDescent="0.3">
      <c r="A5753" s="189" t="s">
        <v>5607</v>
      </c>
      <c r="B5753" s="186" t="str">
        <f>INDEX(Orçamentária!A:B,MATCH(Composições!A5753,Orçamentária!A:A,0),2)</f>
        <v>Eletroduto de PEAD de 3”</v>
      </c>
      <c r="C5753" s="41"/>
      <c r="D5753" s="26" t="str">
        <f>TRIM(INDEX(Orçamentária!C:C,MATCH(Composições!A5753,Orçamentária!A:A,0),1))</f>
        <v>m</v>
      </c>
      <c r="E5753" s="27"/>
      <c r="F5753" s="49" t="s">
        <v>558</v>
      </c>
      <c r="G5753" s="28" t="str">
        <f>IF(ISNUMBER(F5753),E5753*F5753,"")</f>
        <v/>
      </c>
      <c r="H5753" s="29"/>
      <c r="I5753" s="30"/>
      <c r="J5753" s="155">
        <v>0</v>
      </c>
    </row>
    <row r="5754" spans="1:10" hidden="1" x14ac:dyDescent="0.25">
      <c r="A5754" s="195"/>
      <c r="B5754" s="187"/>
      <c r="C5754" s="169"/>
      <c r="D5754" s="169"/>
      <c r="E5754" s="170"/>
      <c r="F5754" s="54" t="s">
        <v>558</v>
      </c>
      <c r="G5754" s="54" t="str">
        <f>IF(ISNUMBER(F5754),E5754*F5754,"")</f>
        <v/>
      </c>
      <c r="H5754" s="73"/>
      <c r="I5754" s="74"/>
      <c r="J5754" s="155">
        <v>0</v>
      </c>
    </row>
    <row r="5755" spans="1:10" ht="38.25" hidden="1" x14ac:dyDescent="0.25">
      <c r="A5755" s="195"/>
      <c r="B5755" s="187"/>
      <c r="C5755" s="36" t="s">
        <v>1212</v>
      </c>
      <c r="D5755" s="162" t="s">
        <v>93</v>
      </c>
      <c r="E5755" s="163">
        <v>1</v>
      </c>
      <c r="F5755" s="31">
        <v>9.0250000000000004</v>
      </c>
      <c r="G5755" s="54">
        <f>IF(ISNUMBER(F5755),E5755*F5755,"")</f>
        <v>9.0250000000000004</v>
      </c>
      <c r="H5755" s="39">
        <f>SUM(G5755:G5755)</f>
        <v>9.0250000000000004</v>
      </c>
      <c r="I5755" s="40"/>
      <c r="J5755" s="155">
        <v>0</v>
      </c>
    </row>
    <row r="5756" spans="1:10" ht="15.75" hidden="1" thickBot="1" x14ac:dyDescent="0.3">
      <c r="A5756" s="196"/>
      <c r="B5756" s="188"/>
      <c r="C5756" s="55"/>
      <c r="D5756" s="165"/>
      <c r="E5756" s="66"/>
      <c r="F5756" s="76" t="s">
        <v>558</v>
      </c>
      <c r="G5756" s="76" t="str">
        <f>IF(ISNUMBER(F5756),E5756*F5756,"")</f>
        <v/>
      </c>
      <c r="H5756" s="77"/>
      <c r="I5756" s="74"/>
      <c r="J5756" s="155">
        <v>0</v>
      </c>
    </row>
    <row r="5757" spans="1:10" ht="15.75" hidden="1" thickBot="1" x14ac:dyDescent="0.3">
      <c r="A5757" s="189" t="s">
        <v>5608</v>
      </c>
      <c r="B5757" s="186" t="str">
        <f>INDEX(Orçamentária!A:B,MATCH(Composições!A5757,Orçamentária!A:A,0),2)</f>
        <v>Terminal para eletroduto de PEAD de 3”</v>
      </c>
      <c r="C5757" s="41"/>
      <c r="D5757" s="26" t="str">
        <f>TRIM(INDEX(Orçamentária!C:C,MATCH(Composições!A5757,Orçamentária!A:A,0),1))</f>
        <v>un</v>
      </c>
      <c r="E5757" s="27"/>
      <c r="F5757" s="49" t="s">
        <v>558</v>
      </c>
      <c r="G5757" s="28" t="str">
        <f>IF(ISNUMBER(F5757),E5757*F5757,"")</f>
        <v/>
      </c>
      <c r="H5757" s="29"/>
      <c r="I5757" s="30"/>
      <c r="J5757" s="155">
        <v>0</v>
      </c>
    </row>
    <row r="5758" spans="1:10" hidden="1" x14ac:dyDescent="0.25">
      <c r="A5758" s="195"/>
      <c r="B5758" s="187"/>
      <c r="C5758" s="169"/>
      <c r="D5758" s="169"/>
      <c r="E5758" s="170"/>
      <c r="F5758" s="54" t="s">
        <v>558</v>
      </c>
      <c r="G5758" s="54" t="str">
        <f>IF(ISNUMBER(F5758),E5758*F5758,"")</f>
        <v/>
      </c>
      <c r="H5758" s="73"/>
      <c r="I5758" s="74"/>
      <c r="J5758" s="155">
        <v>0</v>
      </c>
    </row>
    <row r="5759" spans="1:10" ht="25.5" hidden="1" x14ac:dyDescent="0.25">
      <c r="A5759" s="195"/>
      <c r="B5759" s="187"/>
      <c r="C5759" s="36" t="s">
        <v>3453</v>
      </c>
      <c r="D5759" s="162" t="s">
        <v>20</v>
      </c>
      <c r="E5759" s="163">
        <v>1</v>
      </c>
      <c r="F5759" s="31">
        <v>10.943999999999999</v>
      </c>
      <c r="G5759" s="54">
        <f>IF(ISNUMBER(F5759),E5759*F5759,"")</f>
        <v>10.943999999999999</v>
      </c>
      <c r="H5759" s="39">
        <f>SUM(G5759:G5759)</f>
        <v>10.943999999999999</v>
      </c>
      <c r="I5759" s="40"/>
      <c r="J5759" s="155">
        <v>0</v>
      </c>
    </row>
    <row r="5760" spans="1:10" ht="15.75" hidden="1" thickBot="1" x14ac:dyDescent="0.3">
      <c r="A5760" s="196"/>
      <c r="B5760" s="188"/>
      <c r="C5760" s="55"/>
      <c r="D5760" s="165"/>
      <c r="E5760" s="66"/>
      <c r="F5760" s="76" t="s">
        <v>558</v>
      </c>
      <c r="G5760" s="76" t="str">
        <f>IF(ISNUMBER(F5760),E5760*F5760,"")</f>
        <v/>
      </c>
      <c r="H5760" s="77"/>
      <c r="I5760" s="74"/>
      <c r="J5760" s="155">
        <v>0</v>
      </c>
    </row>
    <row r="5761" spans="1:10" ht="15.75" hidden="1" thickBot="1" x14ac:dyDescent="0.3">
      <c r="A5761" s="189" t="s">
        <v>5609</v>
      </c>
      <c r="B5761" s="186" t="str">
        <f>INDEX(Orçamentária!A:B,MATCH(Composições!A5761,Orçamentária!A:A,0),2)</f>
        <v>Eletroduto de PVC de 3/4”</v>
      </c>
      <c r="C5761" s="41"/>
      <c r="D5761" s="26" t="str">
        <f>TRIM(INDEX(Orçamentária!C:C,MATCH(Composições!A5761,Orçamentária!A:A,0),1))</f>
        <v>m</v>
      </c>
      <c r="E5761" s="27"/>
      <c r="F5761" s="49" t="s">
        <v>558</v>
      </c>
      <c r="G5761" s="28" t="str">
        <f>IF(ISNUMBER(F5761),E5761*F5761,"")</f>
        <v/>
      </c>
      <c r="H5761" s="29"/>
      <c r="I5761" s="30"/>
      <c r="J5761" s="155">
        <v>0</v>
      </c>
    </row>
    <row r="5762" spans="1:10" hidden="1" x14ac:dyDescent="0.25">
      <c r="A5762" s="195"/>
      <c r="B5762" s="187"/>
      <c r="C5762" s="169"/>
      <c r="D5762" s="169"/>
      <c r="E5762" s="170"/>
      <c r="F5762" s="54" t="s">
        <v>558</v>
      </c>
      <c r="G5762" s="54" t="str">
        <f>IF(ISNUMBER(F5762),E5762*F5762,"")</f>
        <v/>
      </c>
      <c r="H5762" s="73"/>
      <c r="I5762" s="74"/>
      <c r="J5762" s="155">
        <v>0</v>
      </c>
    </row>
    <row r="5763" spans="1:10" hidden="1" x14ac:dyDescent="0.25">
      <c r="A5763" s="195"/>
      <c r="B5763" s="187"/>
      <c r="C5763" s="36" t="s">
        <v>3392</v>
      </c>
      <c r="D5763" s="162" t="s">
        <v>93</v>
      </c>
      <c r="E5763" s="163">
        <v>1</v>
      </c>
      <c r="F5763" s="31">
        <v>4.1420000000000003</v>
      </c>
      <c r="G5763" s="54">
        <f>IF(ISNUMBER(F5763),E5763*F5763,"")</f>
        <v>4.1420000000000003</v>
      </c>
      <c r="H5763" s="39">
        <f>SUM(G5763:G5763)</f>
        <v>4.1420000000000003</v>
      </c>
      <c r="I5763" s="40"/>
      <c r="J5763" s="155">
        <v>0</v>
      </c>
    </row>
    <row r="5764" spans="1:10" ht="15.75" hidden="1" thickBot="1" x14ac:dyDescent="0.3">
      <c r="A5764" s="196"/>
      <c r="B5764" s="188"/>
      <c r="C5764" s="55"/>
      <c r="D5764" s="165"/>
      <c r="E5764" s="66"/>
      <c r="F5764" s="76" t="s">
        <v>558</v>
      </c>
      <c r="G5764" s="76" t="str">
        <f>IF(ISNUMBER(F5764),E5764*F5764,"")</f>
        <v/>
      </c>
      <c r="H5764" s="77"/>
      <c r="I5764" s="74"/>
      <c r="J5764" s="155">
        <v>0</v>
      </c>
    </row>
    <row r="5765" spans="1:10" ht="15.75" hidden="1" thickBot="1" x14ac:dyDescent="0.3">
      <c r="A5765" s="189" t="s">
        <v>5610</v>
      </c>
      <c r="B5765" s="186" t="str">
        <f>INDEX(Orçamentária!A:B,MATCH(Composições!A5765,Orçamentária!A:A,0),2)</f>
        <v>Luva para eletroduto de PVC de 3/4”</v>
      </c>
      <c r="C5765" s="41"/>
      <c r="D5765" s="26" t="str">
        <f>TRIM(INDEX(Orçamentária!C:C,MATCH(Composições!A5765,Orçamentária!A:A,0),1))</f>
        <v>un</v>
      </c>
      <c r="E5765" s="27"/>
      <c r="F5765" s="49" t="s">
        <v>558</v>
      </c>
      <c r="G5765" s="28" t="str">
        <f>IF(ISNUMBER(F5765),E5765*F5765,"")</f>
        <v/>
      </c>
      <c r="H5765" s="29"/>
      <c r="I5765" s="30"/>
      <c r="J5765" s="155">
        <v>0</v>
      </c>
    </row>
    <row r="5766" spans="1:10" hidden="1" x14ac:dyDescent="0.25">
      <c r="A5766" s="195"/>
      <c r="B5766" s="187"/>
      <c r="C5766" s="169"/>
      <c r="D5766" s="169"/>
      <c r="E5766" s="170"/>
      <c r="F5766" s="54" t="s">
        <v>558</v>
      </c>
      <c r="G5766" s="54" t="str">
        <f>IF(ISNUMBER(F5766),E5766*F5766,"")</f>
        <v/>
      </c>
      <c r="H5766" s="73"/>
      <c r="I5766" s="74"/>
      <c r="J5766" s="155">
        <v>0</v>
      </c>
    </row>
    <row r="5767" spans="1:10" hidden="1" x14ac:dyDescent="0.25">
      <c r="A5767" s="195"/>
      <c r="B5767" s="187"/>
      <c r="C5767" s="36" t="s">
        <v>3417</v>
      </c>
      <c r="D5767" s="162" t="s">
        <v>20</v>
      </c>
      <c r="E5767" s="163">
        <v>1</v>
      </c>
      <c r="F5767" s="31">
        <v>0.99749999999999994</v>
      </c>
      <c r="G5767" s="54">
        <f>IF(ISNUMBER(F5767),E5767*F5767,"")</f>
        <v>0.99749999999999994</v>
      </c>
      <c r="H5767" s="39">
        <f>SUM(G5767:G5767)</f>
        <v>0.99749999999999994</v>
      </c>
      <c r="I5767" s="40"/>
      <c r="J5767" s="155">
        <v>0</v>
      </c>
    </row>
    <row r="5768" spans="1:10" ht="15.75" hidden="1" thickBot="1" x14ac:dyDescent="0.3">
      <c r="A5768" s="196"/>
      <c r="B5768" s="188"/>
      <c r="C5768" s="55"/>
      <c r="D5768" s="165"/>
      <c r="E5768" s="66"/>
      <c r="F5768" s="76" t="s">
        <v>558</v>
      </c>
      <c r="G5768" s="76" t="str">
        <f>IF(ISNUMBER(F5768),E5768*F5768,"")</f>
        <v/>
      </c>
      <c r="H5768" s="77"/>
      <c r="I5768" s="74"/>
      <c r="J5768" s="155">
        <v>0</v>
      </c>
    </row>
    <row r="5769" spans="1:10" ht="15.75" hidden="1" thickBot="1" x14ac:dyDescent="0.3">
      <c r="A5769" s="189" t="s">
        <v>5611</v>
      </c>
      <c r="B5769" s="186" t="str">
        <f>INDEX(Orçamentária!A:B,MATCH(Composições!A5769,Orçamentária!A:A,0),2)</f>
        <v>Curva para eletroduto de PVC de 3/4”</v>
      </c>
      <c r="C5769" s="41"/>
      <c r="D5769" s="26" t="str">
        <f>TRIM(INDEX(Orçamentária!C:C,MATCH(Composições!A5769,Orçamentária!A:A,0),1))</f>
        <v>un</v>
      </c>
      <c r="E5769" s="27"/>
      <c r="F5769" s="49" t="s">
        <v>558</v>
      </c>
      <c r="G5769" s="28" t="str">
        <f>IF(ISNUMBER(F5769),E5769*F5769,"")</f>
        <v/>
      </c>
      <c r="H5769" s="29"/>
      <c r="I5769" s="30"/>
      <c r="J5769" s="155">
        <v>0</v>
      </c>
    </row>
    <row r="5770" spans="1:10" hidden="1" x14ac:dyDescent="0.25">
      <c r="A5770" s="195"/>
      <c r="B5770" s="187"/>
      <c r="C5770" s="169"/>
      <c r="D5770" s="169"/>
      <c r="E5770" s="170"/>
      <c r="F5770" s="54" t="s">
        <v>558</v>
      </c>
      <c r="G5770" s="54" t="str">
        <f>IF(ISNUMBER(F5770),E5770*F5770,"")</f>
        <v/>
      </c>
      <c r="H5770" s="73"/>
      <c r="I5770" s="74"/>
      <c r="J5770" s="155">
        <v>0</v>
      </c>
    </row>
    <row r="5771" spans="1:10" ht="25.5" hidden="1" x14ac:dyDescent="0.25">
      <c r="A5771" s="195"/>
      <c r="B5771" s="187"/>
      <c r="C5771" s="36" t="s">
        <v>3372</v>
      </c>
      <c r="D5771" s="162" t="s">
        <v>20</v>
      </c>
      <c r="E5771" s="163">
        <v>1</v>
      </c>
      <c r="F5771" s="31">
        <v>2.1659999999999999</v>
      </c>
      <c r="G5771" s="54">
        <f>IF(ISNUMBER(F5771),E5771*F5771,"")</f>
        <v>2.1659999999999999</v>
      </c>
      <c r="H5771" s="39">
        <f>SUM(G5771:G5771)</f>
        <v>2.1659999999999999</v>
      </c>
      <c r="I5771" s="40"/>
      <c r="J5771" s="155">
        <v>0</v>
      </c>
    </row>
    <row r="5772" spans="1:10" ht="15.75" hidden="1" thickBot="1" x14ac:dyDescent="0.3">
      <c r="A5772" s="196"/>
      <c r="B5772" s="188"/>
      <c r="C5772" s="55"/>
      <c r="D5772" s="165"/>
      <c r="E5772" s="66"/>
      <c r="F5772" s="76" t="s">
        <v>558</v>
      </c>
      <c r="G5772" s="76" t="str">
        <f>IF(ISNUMBER(F5772),E5772*F5772,"")</f>
        <v/>
      </c>
      <c r="H5772" s="77"/>
      <c r="I5772" s="74"/>
      <c r="J5772" s="155">
        <v>0</v>
      </c>
    </row>
    <row r="5773" spans="1:10" ht="15.75" hidden="1" thickBot="1" x14ac:dyDescent="0.3">
      <c r="A5773" s="189" t="s">
        <v>5612</v>
      </c>
      <c r="B5773" s="186" t="str">
        <f>INDEX(Orçamentária!A:B,MATCH(Composições!A5773,Orçamentária!A:A,0),2)</f>
        <v>Eletroduto de PVC de 1”</v>
      </c>
      <c r="C5773" s="41"/>
      <c r="D5773" s="26" t="str">
        <f>TRIM(INDEX(Orçamentária!C:C,MATCH(Composições!A5773,Orçamentária!A:A,0),1))</f>
        <v>m</v>
      </c>
      <c r="E5773" s="27"/>
      <c r="F5773" s="49" t="s">
        <v>558</v>
      </c>
      <c r="G5773" s="28" t="str">
        <f>IF(ISNUMBER(F5773),E5773*F5773,"")</f>
        <v/>
      </c>
      <c r="H5773" s="29"/>
      <c r="I5773" s="30"/>
      <c r="J5773" s="155">
        <v>0</v>
      </c>
    </row>
    <row r="5774" spans="1:10" hidden="1" x14ac:dyDescent="0.25">
      <c r="A5774" s="195"/>
      <c r="B5774" s="187"/>
      <c r="C5774" s="169"/>
      <c r="D5774" s="169"/>
      <c r="E5774" s="170"/>
      <c r="F5774" s="54" t="s">
        <v>558</v>
      </c>
      <c r="G5774" s="54" t="str">
        <f>IF(ISNUMBER(F5774),E5774*F5774,"")</f>
        <v/>
      </c>
      <c r="H5774" s="73"/>
      <c r="I5774" s="74"/>
      <c r="J5774" s="155">
        <v>0</v>
      </c>
    </row>
    <row r="5775" spans="1:10" hidden="1" x14ac:dyDescent="0.25">
      <c r="A5775" s="195"/>
      <c r="B5775" s="187"/>
      <c r="C5775" s="36" t="s">
        <v>3387</v>
      </c>
      <c r="D5775" s="162" t="s">
        <v>93</v>
      </c>
      <c r="E5775" s="163">
        <v>1</v>
      </c>
      <c r="F5775" s="31">
        <v>6.4694999999999991</v>
      </c>
      <c r="G5775" s="54">
        <f>IF(ISNUMBER(F5775),E5775*F5775,"")</f>
        <v>6.4694999999999991</v>
      </c>
      <c r="H5775" s="39">
        <f>SUM(G5775:G5775)</f>
        <v>6.4694999999999991</v>
      </c>
      <c r="I5775" s="40"/>
      <c r="J5775" s="155">
        <v>0</v>
      </c>
    </row>
    <row r="5776" spans="1:10" ht="15.75" hidden="1" thickBot="1" x14ac:dyDescent="0.3">
      <c r="A5776" s="196"/>
      <c r="B5776" s="188"/>
      <c r="C5776" s="55"/>
      <c r="D5776" s="165"/>
      <c r="E5776" s="66"/>
      <c r="F5776" s="76" t="s">
        <v>558</v>
      </c>
      <c r="G5776" s="76" t="str">
        <f>IF(ISNUMBER(F5776),E5776*F5776,"")</f>
        <v/>
      </c>
      <c r="H5776" s="77"/>
      <c r="I5776" s="74"/>
      <c r="J5776" s="155">
        <v>0</v>
      </c>
    </row>
    <row r="5777" spans="1:10" ht="15.75" hidden="1" thickBot="1" x14ac:dyDescent="0.3">
      <c r="A5777" s="189" t="s">
        <v>5613</v>
      </c>
      <c r="B5777" s="186" t="str">
        <f>INDEX(Orçamentária!A:B,MATCH(Composições!A5777,Orçamentária!A:A,0),2)</f>
        <v>Luva para eletroduto de PVC de 1”</v>
      </c>
      <c r="C5777" s="41"/>
      <c r="D5777" s="26" t="str">
        <f>TRIM(INDEX(Orçamentária!C:C,MATCH(Composições!A5777,Orçamentária!A:A,0),1))</f>
        <v>un</v>
      </c>
      <c r="E5777" s="27"/>
      <c r="F5777" s="49" t="s">
        <v>558</v>
      </c>
      <c r="G5777" s="28" t="str">
        <f>IF(ISNUMBER(F5777),E5777*F5777,"")</f>
        <v/>
      </c>
      <c r="H5777" s="29"/>
      <c r="I5777" s="30"/>
      <c r="J5777" s="155">
        <v>0</v>
      </c>
    </row>
    <row r="5778" spans="1:10" hidden="1" x14ac:dyDescent="0.25">
      <c r="A5778" s="195"/>
      <c r="B5778" s="187"/>
      <c r="C5778" s="169"/>
      <c r="D5778" s="169"/>
      <c r="E5778" s="170"/>
      <c r="F5778" s="54" t="s">
        <v>558</v>
      </c>
      <c r="G5778" s="54" t="str">
        <f>IF(ISNUMBER(F5778),E5778*F5778,"")</f>
        <v/>
      </c>
      <c r="H5778" s="73"/>
      <c r="I5778" s="74"/>
      <c r="J5778" s="155">
        <v>0</v>
      </c>
    </row>
    <row r="5779" spans="1:10" hidden="1" x14ac:dyDescent="0.25">
      <c r="A5779" s="195"/>
      <c r="B5779" s="187"/>
      <c r="C5779" s="36" t="s">
        <v>3415</v>
      </c>
      <c r="D5779" s="162" t="s">
        <v>20</v>
      </c>
      <c r="E5779" s="163">
        <v>1</v>
      </c>
      <c r="F5779" s="31">
        <v>1.3964999999999999</v>
      </c>
      <c r="G5779" s="54">
        <f>IF(ISNUMBER(F5779),E5779*F5779,"")</f>
        <v>1.3964999999999999</v>
      </c>
      <c r="H5779" s="39">
        <f>SUM(G5779:G5779)</f>
        <v>1.3964999999999999</v>
      </c>
      <c r="I5779" s="40"/>
      <c r="J5779" s="155">
        <v>0</v>
      </c>
    </row>
    <row r="5780" spans="1:10" ht="15.75" hidden="1" thickBot="1" x14ac:dyDescent="0.3">
      <c r="A5780" s="196"/>
      <c r="B5780" s="188"/>
      <c r="C5780" s="55"/>
      <c r="D5780" s="165"/>
      <c r="E5780" s="66"/>
      <c r="F5780" s="76" t="s">
        <v>558</v>
      </c>
      <c r="G5780" s="76" t="str">
        <f>IF(ISNUMBER(F5780),E5780*F5780,"")</f>
        <v/>
      </c>
      <c r="H5780" s="77"/>
      <c r="I5780" s="74"/>
      <c r="J5780" s="155">
        <v>0</v>
      </c>
    </row>
    <row r="5781" spans="1:10" ht="15.75" hidden="1" thickBot="1" x14ac:dyDescent="0.3">
      <c r="A5781" s="189" t="s">
        <v>5614</v>
      </c>
      <c r="B5781" s="186" t="str">
        <f>INDEX(Orçamentária!A:B,MATCH(Composições!A5781,Orçamentária!A:A,0),2)</f>
        <v>Curva para eletroduto de PVC de 1”</v>
      </c>
      <c r="C5781" s="41"/>
      <c r="D5781" s="26" t="str">
        <f>TRIM(INDEX(Orçamentária!C:C,MATCH(Composições!A5781,Orçamentária!A:A,0),1))</f>
        <v>un</v>
      </c>
      <c r="E5781" s="27"/>
      <c r="F5781" s="49" t="s">
        <v>558</v>
      </c>
      <c r="G5781" s="28" t="str">
        <f>IF(ISNUMBER(F5781),E5781*F5781,"")</f>
        <v/>
      </c>
      <c r="H5781" s="29"/>
      <c r="I5781" s="30"/>
      <c r="J5781" s="155">
        <v>0</v>
      </c>
    </row>
    <row r="5782" spans="1:10" hidden="1" x14ac:dyDescent="0.25">
      <c r="A5782" s="195"/>
      <c r="B5782" s="187"/>
      <c r="C5782" s="169"/>
      <c r="D5782" s="169"/>
      <c r="E5782" s="170"/>
      <c r="F5782" s="54" t="s">
        <v>558</v>
      </c>
      <c r="G5782" s="54" t="str">
        <f>IF(ISNUMBER(F5782),E5782*F5782,"")</f>
        <v/>
      </c>
      <c r="H5782" s="73"/>
      <c r="I5782" s="74"/>
      <c r="J5782" s="155">
        <v>0</v>
      </c>
    </row>
    <row r="5783" spans="1:10" ht="25.5" hidden="1" x14ac:dyDescent="0.25">
      <c r="A5783" s="195"/>
      <c r="B5783" s="187"/>
      <c r="C5783" s="36" t="s">
        <v>3371</v>
      </c>
      <c r="D5783" s="162" t="s">
        <v>20</v>
      </c>
      <c r="E5783" s="163">
        <v>1</v>
      </c>
      <c r="F5783" s="31">
        <v>2.9924999999999997</v>
      </c>
      <c r="G5783" s="54">
        <f>IF(ISNUMBER(F5783),E5783*F5783,"")</f>
        <v>2.9924999999999997</v>
      </c>
      <c r="H5783" s="39">
        <f>SUM(G5783:G5783)</f>
        <v>2.9924999999999997</v>
      </c>
      <c r="I5783" s="40"/>
      <c r="J5783" s="155">
        <v>0</v>
      </c>
    </row>
    <row r="5784" spans="1:10" ht="15.75" hidden="1" thickBot="1" x14ac:dyDescent="0.3">
      <c r="A5784" s="196"/>
      <c r="B5784" s="188"/>
      <c r="C5784" s="55"/>
      <c r="D5784" s="165"/>
      <c r="E5784" s="66"/>
      <c r="F5784" s="76" t="s">
        <v>558</v>
      </c>
      <c r="G5784" s="76" t="str">
        <f>IF(ISNUMBER(F5784),E5784*F5784,"")</f>
        <v/>
      </c>
      <c r="H5784" s="77"/>
      <c r="I5784" s="74"/>
      <c r="J5784" s="155">
        <v>0</v>
      </c>
    </row>
    <row r="5785" spans="1:10" ht="15.75" hidden="1" thickBot="1" x14ac:dyDescent="0.3">
      <c r="A5785" s="189" t="s">
        <v>5615</v>
      </c>
      <c r="B5785" s="186" t="str">
        <f>INDEX(Orçamentária!A:B,MATCH(Composições!A5785,Orçamentária!A:A,0),2)</f>
        <v>Eletroduto de PVC de 1 1/4”</v>
      </c>
      <c r="C5785" s="41"/>
      <c r="D5785" s="26" t="str">
        <f>TRIM(INDEX(Orçamentária!C:C,MATCH(Composições!A5785,Orçamentária!A:A,0),1))</f>
        <v>m</v>
      </c>
      <c r="E5785" s="27"/>
      <c r="F5785" s="49" t="s">
        <v>558</v>
      </c>
      <c r="G5785" s="28" t="str">
        <f>IF(ISNUMBER(F5785),E5785*F5785,"")</f>
        <v/>
      </c>
      <c r="H5785" s="29"/>
      <c r="I5785" s="30"/>
      <c r="J5785" s="155">
        <v>0</v>
      </c>
    </row>
    <row r="5786" spans="1:10" hidden="1" x14ac:dyDescent="0.25">
      <c r="A5786" s="195"/>
      <c r="B5786" s="187"/>
      <c r="C5786" s="169"/>
      <c r="D5786" s="169"/>
      <c r="E5786" s="170"/>
      <c r="F5786" s="54" t="s">
        <v>558</v>
      </c>
      <c r="G5786" s="54" t="str">
        <f>IF(ISNUMBER(F5786),E5786*F5786,"")</f>
        <v/>
      </c>
      <c r="H5786" s="73"/>
      <c r="I5786" s="74"/>
      <c r="J5786" s="155">
        <v>0</v>
      </c>
    </row>
    <row r="5787" spans="1:10" hidden="1" x14ac:dyDescent="0.25">
      <c r="A5787" s="195"/>
      <c r="B5787" s="187"/>
      <c r="C5787" s="36" t="s">
        <v>3389</v>
      </c>
      <c r="D5787" s="162" t="s">
        <v>93</v>
      </c>
      <c r="E5787" s="163">
        <v>1</v>
      </c>
      <c r="F5787" s="31">
        <v>8.6165000000000003</v>
      </c>
      <c r="G5787" s="54">
        <f>IF(ISNUMBER(F5787),E5787*F5787,"")</f>
        <v>8.6165000000000003</v>
      </c>
      <c r="H5787" s="39">
        <f>SUM(G5787:G5787)</f>
        <v>8.6165000000000003</v>
      </c>
      <c r="I5787" s="40"/>
      <c r="J5787" s="155">
        <v>0</v>
      </c>
    </row>
    <row r="5788" spans="1:10" ht="15.75" hidden="1" thickBot="1" x14ac:dyDescent="0.3">
      <c r="A5788" s="196"/>
      <c r="B5788" s="188"/>
      <c r="C5788" s="55"/>
      <c r="D5788" s="165"/>
      <c r="E5788" s="66"/>
      <c r="F5788" s="76" t="s">
        <v>558</v>
      </c>
      <c r="G5788" s="76" t="str">
        <f>IF(ISNUMBER(F5788),E5788*F5788,"")</f>
        <v/>
      </c>
      <c r="H5788" s="77"/>
      <c r="I5788" s="74"/>
      <c r="J5788" s="155">
        <v>0</v>
      </c>
    </row>
    <row r="5789" spans="1:10" ht="15.75" hidden="1" thickBot="1" x14ac:dyDescent="0.3">
      <c r="A5789" s="189" t="s">
        <v>5616</v>
      </c>
      <c r="B5789" s="186" t="str">
        <f>INDEX(Orçamentária!A:B,MATCH(Composições!A5789,Orçamentária!A:A,0),2)</f>
        <v>Luva para eletroduto de PVC de 1 1/4”</v>
      </c>
      <c r="C5789" s="41"/>
      <c r="D5789" s="26" t="str">
        <f>TRIM(INDEX(Orçamentária!C:C,MATCH(Composições!A5789,Orçamentária!A:A,0),1))</f>
        <v>un</v>
      </c>
      <c r="E5789" s="27"/>
      <c r="F5789" s="49" t="s">
        <v>558</v>
      </c>
      <c r="G5789" s="28" t="str">
        <f>IF(ISNUMBER(F5789),E5789*F5789,"")</f>
        <v/>
      </c>
      <c r="H5789" s="29"/>
      <c r="I5789" s="30"/>
      <c r="J5789" s="155">
        <v>0</v>
      </c>
    </row>
    <row r="5790" spans="1:10" hidden="1" x14ac:dyDescent="0.25">
      <c r="A5790" s="195"/>
      <c r="B5790" s="187"/>
      <c r="C5790" s="169"/>
      <c r="D5790" s="169"/>
      <c r="E5790" s="170"/>
      <c r="F5790" s="54" t="s">
        <v>558</v>
      </c>
      <c r="G5790" s="54" t="str">
        <f>IF(ISNUMBER(F5790),E5790*F5790,"")</f>
        <v/>
      </c>
      <c r="H5790" s="73"/>
      <c r="I5790" s="74"/>
      <c r="J5790" s="155">
        <v>0</v>
      </c>
    </row>
    <row r="5791" spans="1:10" hidden="1" x14ac:dyDescent="0.25">
      <c r="A5791" s="195"/>
      <c r="B5791" s="187"/>
      <c r="C5791" s="36" t="s">
        <v>3414</v>
      </c>
      <c r="D5791" s="162" t="s">
        <v>20</v>
      </c>
      <c r="E5791" s="163">
        <v>1</v>
      </c>
      <c r="F5791" s="31">
        <v>2.1659999999999999</v>
      </c>
      <c r="G5791" s="54">
        <f>IF(ISNUMBER(F5791),E5791*F5791,"")</f>
        <v>2.1659999999999999</v>
      </c>
      <c r="H5791" s="39">
        <f>SUM(G5791:G5791)</f>
        <v>2.1659999999999999</v>
      </c>
      <c r="I5791" s="40"/>
      <c r="J5791" s="155">
        <v>0</v>
      </c>
    </row>
    <row r="5792" spans="1:10" ht="15.75" hidden="1" thickBot="1" x14ac:dyDescent="0.3">
      <c r="A5792" s="196"/>
      <c r="B5792" s="188"/>
      <c r="C5792" s="55"/>
      <c r="D5792" s="165"/>
      <c r="E5792" s="66"/>
      <c r="F5792" s="76" t="s">
        <v>558</v>
      </c>
      <c r="G5792" s="76" t="str">
        <f>IF(ISNUMBER(F5792),E5792*F5792,"")</f>
        <v/>
      </c>
      <c r="H5792" s="77"/>
      <c r="I5792" s="74"/>
      <c r="J5792" s="155">
        <v>0</v>
      </c>
    </row>
    <row r="5793" spans="1:10" ht="15.75" hidden="1" thickBot="1" x14ac:dyDescent="0.3">
      <c r="A5793" s="189" t="s">
        <v>5617</v>
      </c>
      <c r="B5793" s="186" t="str">
        <f>INDEX(Orçamentária!A:B,MATCH(Composições!A5793,Orçamentária!A:A,0),2)</f>
        <v>Curva para eletroduto de PVC de 1 1/4”</v>
      </c>
      <c r="C5793" s="41"/>
      <c r="D5793" s="26" t="str">
        <f>TRIM(INDEX(Orçamentária!C:C,MATCH(Composições!A5793,Orçamentária!A:A,0),1))</f>
        <v>un</v>
      </c>
      <c r="E5793" s="27"/>
      <c r="F5793" s="49" t="s">
        <v>558</v>
      </c>
      <c r="G5793" s="28" t="str">
        <f>IF(ISNUMBER(F5793),E5793*F5793,"")</f>
        <v/>
      </c>
      <c r="H5793" s="29"/>
      <c r="I5793" s="30"/>
      <c r="J5793" s="155">
        <v>0</v>
      </c>
    </row>
    <row r="5794" spans="1:10" hidden="1" x14ac:dyDescent="0.25">
      <c r="A5794" s="195"/>
      <c r="B5794" s="187"/>
      <c r="C5794" s="169"/>
      <c r="D5794" s="169"/>
      <c r="E5794" s="170"/>
      <c r="F5794" s="54" t="s">
        <v>558</v>
      </c>
      <c r="G5794" s="54" t="str">
        <f>IF(ISNUMBER(F5794),E5794*F5794,"")</f>
        <v/>
      </c>
      <c r="H5794" s="73"/>
      <c r="I5794" s="74"/>
      <c r="J5794" s="155">
        <v>0</v>
      </c>
    </row>
    <row r="5795" spans="1:10" ht="25.5" hidden="1" x14ac:dyDescent="0.25">
      <c r="A5795" s="195"/>
      <c r="B5795" s="187"/>
      <c r="C5795" s="36" t="s">
        <v>3374</v>
      </c>
      <c r="D5795" s="162" t="s">
        <v>20</v>
      </c>
      <c r="E5795" s="163">
        <v>1</v>
      </c>
      <c r="F5795" s="31">
        <v>3.9425000000000003</v>
      </c>
      <c r="G5795" s="54">
        <f>IF(ISNUMBER(F5795),E5795*F5795,"")</f>
        <v>3.9425000000000003</v>
      </c>
      <c r="H5795" s="39">
        <f>SUM(G5795:G5795)</f>
        <v>3.9425000000000003</v>
      </c>
      <c r="I5795" s="40"/>
      <c r="J5795" s="155">
        <v>0</v>
      </c>
    </row>
    <row r="5796" spans="1:10" ht="15.75" hidden="1" thickBot="1" x14ac:dyDescent="0.3">
      <c r="A5796" s="196"/>
      <c r="B5796" s="188"/>
      <c r="C5796" s="55"/>
      <c r="D5796" s="165"/>
      <c r="E5796" s="66"/>
      <c r="F5796" s="76" t="s">
        <v>558</v>
      </c>
      <c r="G5796" s="76" t="str">
        <f>IF(ISNUMBER(F5796),E5796*F5796,"")</f>
        <v/>
      </c>
      <c r="H5796" s="77"/>
      <c r="I5796" s="74"/>
      <c r="J5796" s="155">
        <v>0</v>
      </c>
    </row>
    <row r="5797" spans="1:10" ht="15.75" hidden="1" thickBot="1" x14ac:dyDescent="0.3">
      <c r="A5797" s="189" t="s">
        <v>5618</v>
      </c>
      <c r="B5797" s="186" t="str">
        <f>INDEX(Orçamentária!A:B,MATCH(Composições!A5797,Orçamentária!A:A,0),2)</f>
        <v>Eletroduto de PVC de 1 1/2”</v>
      </c>
      <c r="C5797" s="41"/>
      <c r="D5797" s="26" t="str">
        <f>TRIM(INDEX(Orçamentária!C:C,MATCH(Composições!A5797,Orçamentária!A:A,0),1))</f>
        <v>m</v>
      </c>
      <c r="E5797" s="27"/>
      <c r="F5797" s="49" t="s">
        <v>558</v>
      </c>
      <c r="G5797" s="28" t="str">
        <f>IF(ISNUMBER(F5797),E5797*F5797,"")</f>
        <v/>
      </c>
      <c r="H5797" s="29"/>
      <c r="I5797" s="30"/>
      <c r="J5797" s="155">
        <v>0</v>
      </c>
    </row>
    <row r="5798" spans="1:10" hidden="1" x14ac:dyDescent="0.25">
      <c r="A5798" s="195"/>
      <c r="B5798" s="187"/>
      <c r="C5798" s="169"/>
      <c r="D5798" s="169"/>
      <c r="E5798" s="170"/>
      <c r="F5798" s="54" t="s">
        <v>558</v>
      </c>
      <c r="G5798" s="54" t="str">
        <f>IF(ISNUMBER(F5798),E5798*F5798,"")</f>
        <v/>
      </c>
      <c r="H5798" s="73"/>
      <c r="I5798" s="74"/>
      <c r="J5798" s="155">
        <v>0</v>
      </c>
    </row>
    <row r="5799" spans="1:10" hidden="1" x14ac:dyDescent="0.25">
      <c r="A5799" s="195"/>
      <c r="B5799" s="187"/>
      <c r="C5799" s="36" t="s">
        <v>3388</v>
      </c>
      <c r="D5799" s="162" t="s">
        <v>93</v>
      </c>
      <c r="E5799" s="163">
        <v>1</v>
      </c>
      <c r="F5799" s="31">
        <v>9.4619999999999997</v>
      </c>
      <c r="G5799" s="54">
        <f>IF(ISNUMBER(F5799),E5799*F5799,"")</f>
        <v>9.4619999999999997</v>
      </c>
      <c r="H5799" s="39">
        <f>SUM(G5799:G5799)</f>
        <v>9.4619999999999997</v>
      </c>
      <c r="I5799" s="40"/>
      <c r="J5799" s="155">
        <v>0</v>
      </c>
    </row>
    <row r="5800" spans="1:10" ht="15.75" hidden="1" thickBot="1" x14ac:dyDescent="0.3">
      <c r="A5800" s="196"/>
      <c r="B5800" s="188"/>
      <c r="C5800" s="55"/>
      <c r="D5800" s="165"/>
      <c r="E5800" s="66"/>
      <c r="F5800" s="76" t="s">
        <v>558</v>
      </c>
      <c r="G5800" s="76" t="str">
        <f>IF(ISNUMBER(F5800),E5800*F5800,"")</f>
        <v/>
      </c>
      <c r="H5800" s="77"/>
      <c r="I5800" s="74"/>
      <c r="J5800" s="155">
        <v>0</v>
      </c>
    </row>
    <row r="5801" spans="1:10" ht="15.75" hidden="1" thickBot="1" x14ac:dyDescent="0.3">
      <c r="A5801" s="189" t="s">
        <v>5619</v>
      </c>
      <c r="B5801" s="186" t="str">
        <f>INDEX(Orçamentária!A:B,MATCH(Composições!A5801,Orçamentária!A:A,0),2)</f>
        <v>Luva para eletroduto de PVC de 1 1/2”</v>
      </c>
      <c r="C5801" s="41"/>
      <c r="D5801" s="26" t="str">
        <f>TRIM(INDEX(Orçamentária!C:C,MATCH(Composições!A5801,Orçamentária!A:A,0),1))</f>
        <v>un</v>
      </c>
      <c r="E5801" s="27"/>
      <c r="F5801" s="49" t="s">
        <v>558</v>
      </c>
      <c r="G5801" s="28" t="str">
        <f>IF(ISNUMBER(F5801),E5801*F5801,"")</f>
        <v/>
      </c>
      <c r="H5801" s="29"/>
      <c r="I5801" s="30"/>
      <c r="J5801" s="155">
        <v>0</v>
      </c>
    </row>
    <row r="5802" spans="1:10" hidden="1" x14ac:dyDescent="0.25">
      <c r="A5802" s="195"/>
      <c r="B5802" s="187"/>
      <c r="C5802" s="169"/>
      <c r="D5802" s="169"/>
      <c r="E5802" s="170"/>
      <c r="F5802" s="54" t="s">
        <v>558</v>
      </c>
      <c r="G5802" s="54" t="str">
        <f>IF(ISNUMBER(F5802),E5802*F5802,"")</f>
        <v/>
      </c>
      <c r="H5802" s="73"/>
      <c r="I5802" s="74"/>
      <c r="J5802" s="155">
        <v>0</v>
      </c>
    </row>
    <row r="5803" spans="1:10" hidden="1" x14ac:dyDescent="0.25">
      <c r="A5803" s="195"/>
      <c r="B5803" s="187"/>
      <c r="C5803" s="36" t="s">
        <v>3413</v>
      </c>
      <c r="D5803" s="162" t="s">
        <v>20</v>
      </c>
      <c r="E5803" s="163">
        <v>1</v>
      </c>
      <c r="F5803" s="31">
        <v>2.9830000000000001</v>
      </c>
      <c r="G5803" s="54">
        <f>IF(ISNUMBER(F5803),E5803*F5803,"")</f>
        <v>2.9830000000000001</v>
      </c>
      <c r="H5803" s="39">
        <f>SUM(G5803:G5803)</f>
        <v>2.9830000000000001</v>
      </c>
      <c r="I5803" s="40"/>
      <c r="J5803" s="155">
        <v>0</v>
      </c>
    </row>
    <row r="5804" spans="1:10" ht="15.75" hidden="1" thickBot="1" x14ac:dyDescent="0.3">
      <c r="A5804" s="196"/>
      <c r="B5804" s="188"/>
      <c r="C5804" s="55"/>
      <c r="D5804" s="165"/>
      <c r="E5804" s="66"/>
      <c r="F5804" s="76" t="s">
        <v>558</v>
      </c>
      <c r="G5804" s="76" t="str">
        <f>IF(ISNUMBER(F5804),E5804*F5804,"")</f>
        <v/>
      </c>
      <c r="H5804" s="77"/>
      <c r="I5804" s="74"/>
      <c r="J5804" s="155">
        <v>0</v>
      </c>
    </row>
    <row r="5805" spans="1:10" ht="15.75" hidden="1" thickBot="1" x14ac:dyDescent="0.3">
      <c r="A5805" s="189" t="s">
        <v>5620</v>
      </c>
      <c r="B5805" s="186" t="str">
        <f>INDEX(Orçamentária!A:B,MATCH(Composições!A5805,Orçamentária!A:A,0),2)</f>
        <v>Curva para eletroduto de PVC de 1 1/2”</v>
      </c>
      <c r="C5805" s="41"/>
      <c r="D5805" s="26" t="str">
        <f>TRIM(INDEX(Orçamentária!C:C,MATCH(Composições!A5805,Orçamentária!A:A,0),1))</f>
        <v>un</v>
      </c>
      <c r="E5805" s="27"/>
      <c r="F5805" s="49" t="s">
        <v>558</v>
      </c>
      <c r="G5805" s="28" t="str">
        <f>IF(ISNUMBER(F5805),E5805*F5805,"")</f>
        <v/>
      </c>
      <c r="H5805" s="29"/>
      <c r="I5805" s="30"/>
      <c r="J5805" s="155">
        <v>0</v>
      </c>
    </row>
    <row r="5806" spans="1:10" hidden="1" x14ac:dyDescent="0.25">
      <c r="A5806" s="195"/>
      <c r="B5806" s="187"/>
      <c r="C5806" s="169"/>
      <c r="D5806" s="169"/>
      <c r="E5806" s="170"/>
      <c r="F5806" s="54" t="s">
        <v>558</v>
      </c>
      <c r="G5806" s="54" t="str">
        <f>IF(ISNUMBER(F5806),E5806*F5806,"")</f>
        <v/>
      </c>
      <c r="H5806" s="73"/>
      <c r="I5806" s="74"/>
      <c r="J5806" s="155">
        <v>0</v>
      </c>
    </row>
    <row r="5807" spans="1:10" ht="25.5" hidden="1" x14ac:dyDescent="0.25">
      <c r="A5807" s="195"/>
      <c r="B5807" s="187"/>
      <c r="C5807" s="36" t="s">
        <v>3373</v>
      </c>
      <c r="D5807" s="162" t="s">
        <v>20</v>
      </c>
      <c r="E5807" s="163">
        <v>1</v>
      </c>
      <c r="F5807" s="31">
        <v>4.7785000000000002</v>
      </c>
      <c r="G5807" s="54">
        <f>IF(ISNUMBER(F5807),E5807*F5807,"")</f>
        <v>4.7785000000000002</v>
      </c>
      <c r="H5807" s="39">
        <f>SUM(G5807:G5807)</f>
        <v>4.7785000000000002</v>
      </c>
      <c r="I5807" s="40"/>
      <c r="J5807" s="155">
        <v>0</v>
      </c>
    </row>
    <row r="5808" spans="1:10" ht="15.75" hidden="1" thickBot="1" x14ac:dyDescent="0.3">
      <c r="A5808" s="196"/>
      <c r="B5808" s="188"/>
      <c r="C5808" s="55"/>
      <c r="D5808" s="165"/>
      <c r="E5808" s="66"/>
      <c r="F5808" s="76" t="s">
        <v>558</v>
      </c>
      <c r="G5808" s="76" t="str">
        <f>IF(ISNUMBER(F5808),E5808*F5808,"")</f>
        <v/>
      </c>
      <c r="H5808" s="77"/>
      <c r="I5808" s="74"/>
      <c r="J5808" s="155">
        <v>0</v>
      </c>
    </row>
    <row r="5809" spans="1:10" ht="15.75" hidden="1" thickBot="1" x14ac:dyDescent="0.3">
      <c r="A5809" s="189" t="s">
        <v>5621</v>
      </c>
      <c r="B5809" s="186" t="str">
        <f>INDEX(Orçamentária!A:B,MATCH(Composições!A5809,Orçamentária!A:A,0),2)</f>
        <v>Eletroduto de PVC de 2”</v>
      </c>
      <c r="C5809" s="41"/>
      <c r="D5809" s="26" t="str">
        <f>TRIM(INDEX(Orçamentária!C:C,MATCH(Composições!A5809,Orçamentária!A:A,0),1))</f>
        <v>m</v>
      </c>
      <c r="E5809" s="27"/>
      <c r="F5809" s="49" t="s">
        <v>558</v>
      </c>
      <c r="G5809" s="28" t="str">
        <f>IF(ISNUMBER(F5809),E5809*F5809,"")</f>
        <v/>
      </c>
      <c r="H5809" s="29"/>
      <c r="I5809" s="30"/>
      <c r="J5809" s="155">
        <v>0</v>
      </c>
    </row>
    <row r="5810" spans="1:10" hidden="1" x14ac:dyDescent="0.25">
      <c r="A5810" s="195"/>
      <c r="B5810" s="187"/>
      <c r="C5810" s="169"/>
      <c r="D5810" s="169"/>
      <c r="E5810" s="170"/>
      <c r="F5810" s="54" t="s">
        <v>558</v>
      </c>
      <c r="G5810" s="54" t="str">
        <f>IF(ISNUMBER(F5810),E5810*F5810,"")</f>
        <v/>
      </c>
      <c r="H5810" s="73"/>
      <c r="I5810" s="74"/>
      <c r="J5810" s="155">
        <v>0</v>
      </c>
    </row>
    <row r="5811" spans="1:10" hidden="1" x14ac:dyDescent="0.25">
      <c r="A5811" s="195"/>
      <c r="B5811" s="187"/>
      <c r="C5811" s="36" t="s">
        <v>3390</v>
      </c>
      <c r="D5811" s="162" t="s">
        <v>93</v>
      </c>
      <c r="E5811" s="163">
        <v>1</v>
      </c>
      <c r="F5811" s="31">
        <v>15.466000000000001</v>
      </c>
      <c r="G5811" s="54">
        <f>IF(ISNUMBER(F5811),E5811*F5811,"")</f>
        <v>15.466000000000001</v>
      </c>
      <c r="H5811" s="39">
        <f>SUM(G5811:G5811)</f>
        <v>15.466000000000001</v>
      </c>
      <c r="I5811" s="40"/>
      <c r="J5811" s="155">
        <v>0</v>
      </c>
    </row>
    <row r="5812" spans="1:10" ht="15.75" hidden="1" thickBot="1" x14ac:dyDescent="0.3">
      <c r="A5812" s="196"/>
      <c r="B5812" s="188"/>
      <c r="C5812" s="55"/>
      <c r="D5812" s="165"/>
      <c r="E5812" s="66"/>
      <c r="F5812" s="76" t="s">
        <v>558</v>
      </c>
      <c r="G5812" s="76" t="str">
        <f>IF(ISNUMBER(F5812),E5812*F5812,"")</f>
        <v/>
      </c>
      <c r="H5812" s="77"/>
      <c r="I5812" s="74"/>
      <c r="J5812" s="155">
        <v>0</v>
      </c>
    </row>
    <row r="5813" spans="1:10" ht="15.75" hidden="1" thickBot="1" x14ac:dyDescent="0.3">
      <c r="A5813" s="189" t="s">
        <v>5622</v>
      </c>
      <c r="B5813" s="186" t="str">
        <f>INDEX(Orçamentária!A:B,MATCH(Composições!A5813,Orçamentária!A:A,0),2)</f>
        <v>Luva para eletroduto de PVC de 2”</v>
      </c>
      <c r="C5813" s="41"/>
      <c r="D5813" s="26" t="str">
        <f>TRIM(INDEX(Orçamentária!C:C,MATCH(Composições!A5813,Orçamentária!A:A,0),1))</f>
        <v>un</v>
      </c>
      <c r="E5813" s="27"/>
      <c r="F5813" s="49" t="s">
        <v>558</v>
      </c>
      <c r="G5813" s="28" t="str">
        <f>IF(ISNUMBER(F5813),E5813*F5813,"")</f>
        <v/>
      </c>
      <c r="H5813" s="29"/>
      <c r="I5813" s="30"/>
      <c r="J5813" s="155">
        <v>0</v>
      </c>
    </row>
    <row r="5814" spans="1:10" hidden="1" x14ac:dyDescent="0.25">
      <c r="A5814" s="195"/>
      <c r="B5814" s="187"/>
      <c r="C5814" s="169"/>
      <c r="D5814" s="169"/>
      <c r="E5814" s="170"/>
      <c r="F5814" s="54" t="s">
        <v>558</v>
      </c>
      <c r="G5814" s="54" t="str">
        <f>IF(ISNUMBER(F5814),E5814*F5814,"")</f>
        <v/>
      </c>
      <c r="H5814" s="73"/>
      <c r="I5814" s="74"/>
      <c r="J5814" s="155">
        <v>0</v>
      </c>
    </row>
    <row r="5815" spans="1:10" hidden="1" x14ac:dyDescent="0.25">
      <c r="A5815" s="195"/>
      <c r="B5815" s="187"/>
      <c r="C5815" s="36" t="s">
        <v>3416</v>
      </c>
      <c r="D5815" s="162" t="s">
        <v>20</v>
      </c>
      <c r="E5815" s="163">
        <v>1</v>
      </c>
      <c r="F5815" s="31">
        <v>4.3129999999999997</v>
      </c>
      <c r="G5815" s="54">
        <f>IF(ISNUMBER(F5815),E5815*F5815,"")</f>
        <v>4.3129999999999997</v>
      </c>
      <c r="H5815" s="39">
        <f>SUM(G5815:G5815)</f>
        <v>4.3129999999999997</v>
      </c>
      <c r="I5815" s="40"/>
      <c r="J5815" s="155">
        <v>0</v>
      </c>
    </row>
    <row r="5816" spans="1:10" ht="15.75" hidden="1" thickBot="1" x14ac:dyDescent="0.3">
      <c r="A5816" s="196"/>
      <c r="B5816" s="188"/>
      <c r="C5816" s="55"/>
      <c r="D5816" s="165"/>
      <c r="E5816" s="66"/>
      <c r="F5816" s="76" t="s">
        <v>558</v>
      </c>
      <c r="G5816" s="76" t="str">
        <f>IF(ISNUMBER(F5816),E5816*F5816,"")</f>
        <v/>
      </c>
      <c r="H5816" s="77"/>
      <c r="I5816" s="74"/>
      <c r="J5816" s="155">
        <v>0</v>
      </c>
    </row>
    <row r="5817" spans="1:10" ht="15.75" hidden="1" thickBot="1" x14ac:dyDescent="0.3">
      <c r="A5817" s="189" t="s">
        <v>5623</v>
      </c>
      <c r="B5817" s="186" t="str">
        <f>INDEX(Orçamentária!A:B,MATCH(Composições!A5817,Orçamentária!A:A,0),2)</f>
        <v>Curva para eletroduto de PVC de 2”</v>
      </c>
      <c r="C5817" s="41"/>
      <c r="D5817" s="26" t="str">
        <f>TRIM(INDEX(Orçamentária!C:C,MATCH(Composições!A5817,Orçamentária!A:A,0),1))</f>
        <v>un</v>
      </c>
      <c r="E5817" s="27"/>
      <c r="F5817" s="49" t="s">
        <v>558</v>
      </c>
      <c r="G5817" s="28" t="str">
        <f>IF(ISNUMBER(F5817),E5817*F5817,"")</f>
        <v/>
      </c>
      <c r="H5817" s="29"/>
      <c r="I5817" s="30"/>
      <c r="J5817" s="155">
        <v>0</v>
      </c>
    </row>
    <row r="5818" spans="1:10" hidden="1" x14ac:dyDescent="0.25">
      <c r="A5818" s="195"/>
      <c r="B5818" s="187"/>
      <c r="C5818" s="169"/>
      <c r="D5818" s="169"/>
      <c r="E5818" s="170"/>
      <c r="F5818" s="54" t="s">
        <v>558</v>
      </c>
      <c r="G5818" s="54" t="str">
        <f>IF(ISNUMBER(F5818),E5818*F5818,"")</f>
        <v/>
      </c>
      <c r="H5818" s="73"/>
      <c r="I5818" s="74"/>
      <c r="J5818" s="155">
        <v>0</v>
      </c>
    </row>
    <row r="5819" spans="1:10" ht="25.5" hidden="1" x14ac:dyDescent="0.25">
      <c r="A5819" s="195"/>
      <c r="B5819" s="187"/>
      <c r="C5819" s="36" t="s">
        <v>3375</v>
      </c>
      <c r="D5819" s="162" t="s">
        <v>20</v>
      </c>
      <c r="E5819" s="163">
        <v>1</v>
      </c>
      <c r="F5819" s="31">
        <v>7.770999999999999</v>
      </c>
      <c r="G5819" s="54">
        <f>IF(ISNUMBER(F5819),E5819*F5819,"")</f>
        <v>7.770999999999999</v>
      </c>
      <c r="H5819" s="39">
        <f>SUM(G5819:G5819)</f>
        <v>7.770999999999999</v>
      </c>
      <c r="I5819" s="40"/>
      <c r="J5819" s="155">
        <v>0</v>
      </c>
    </row>
    <row r="5820" spans="1:10" ht="15.75" hidden="1" thickBot="1" x14ac:dyDescent="0.3">
      <c r="A5820" s="196"/>
      <c r="B5820" s="188"/>
      <c r="C5820" s="55"/>
      <c r="D5820" s="165"/>
      <c r="E5820" s="66"/>
      <c r="F5820" s="76" t="s">
        <v>558</v>
      </c>
      <c r="G5820" s="76" t="str">
        <f>IF(ISNUMBER(F5820),E5820*F5820,"")</f>
        <v/>
      </c>
      <c r="H5820" s="77"/>
      <c r="I5820" s="74"/>
      <c r="J5820" s="155">
        <v>0</v>
      </c>
    </row>
    <row r="5821" spans="1:10" ht="15.75" hidden="1" thickBot="1" x14ac:dyDescent="0.3">
      <c r="A5821" s="189" t="s">
        <v>5624</v>
      </c>
      <c r="B5821" s="186" t="str">
        <f>INDEX(Orçamentária!A:B,MATCH(Composições!A5821,Orçamentária!A:A,0),2)</f>
        <v>Eletroduto de PVC de 3”</v>
      </c>
      <c r="C5821" s="41"/>
      <c r="D5821" s="26" t="str">
        <f>TRIM(INDEX(Orçamentária!C:C,MATCH(Composições!A5821,Orçamentária!A:A,0),1))</f>
        <v>m</v>
      </c>
      <c r="E5821" s="27"/>
      <c r="F5821" s="49" t="s">
        <v>558</v>
      </c>
      <c r="G5821" s="28" t="str">
        <f>IF(ISNUMBER(F5821),E5821*F5821,"")</f>
        <v/>
      </c>
      <c r="H5821" s="29"/>
      <c r="I5821" s="30"/>
      <c r="J5821" s="155">
        <v>0</v>
      </c>
    </row>
    <row r="5822" spans="1:10" hidden="1" x14ac:dyDescent="0.25">
      <c r="A5822" s="195"/>
      <c r="B5822" s="187"/>
      <c r="C5822" s="169"/>
      <c r="D5822" s="169"/>
      <c r="E5822" s="170"/>
      <c r="F5822" s="54" t="s">
        <v>558</v>
      </c>
      <c r="G5822" s="54" t="str">
        <f>IF(ISNUMBER(F5822),E5822*F5822,"")</f>
        <v/>
      </c>
      <c r="H5822" s="73"/>
      <c r="I5822" s="74"/>
      <c r="J5822" s="155">
        <v>0</v>
      </c>
    </row>
    <row r="5823" spans="1:10" hidden="1" x14ac:dyDescent="0.25">
      <c r="A5823" s="195"/>
      <c r="B5823" s="187"/>
      <c r="C5823" s="36" t="s">
        <v>3391</v>
      </c>
      <c r="D5823" s="162" t="s">
        <v>93</v>
      </c>
      <c r="E5823" s="163">
        <v>1</v>
      </c>
      <c r="F5823" s="31">
        <v>28.31</v>
      </c>
      <c r="G5823" s="54">
        <f>IF(ISNUMBER(F5823),E5823*F5823,"")</f>
        <v>28.31</v>
      </c>
      <c r="H5823" s="39">
        <f>SUM(G5823:G5823)</f>
        <v>28.31</v>
      </c>
      <c r="I5823" s="40"/>
      <c r="J5823" s="155">
        <v>0</v>
      </c>
    </row>
    <row r="5824" spans="1:10" ht="15.75" hidden="1" thickBot="1" x14ac:dyDescent="0.3">
      <c r="A5824" s="196"/>
      <c r="B5824" s="188"/>
      <c r="C5824" s="55"/>
      <c r="D5824" s="165"/>
      <c r="E5824" s="66"/>
      <c r="F5824" s="76" t="s">
        <v>558</v>
      </c>
      <c r="G5824" s="76" t="str">
        <f>IF(ISNUMBER(F5824),E5824*F5824,"")</f>
        <v/>
      </c>
      <c r="H5824" s="77"/>
      <c r="I5824" s="74"/>
      <c r="J5824" s="155">
        <v>0</v>
      </c>
    </row>
    <row r="5825" spans="1:10" ht="15.75" hidden="1" thickBot="1" x14ac:dyDescent="0.3">
      <c r="A5825" s="189" t="s">
        <v>5625</v>
      </c>
      <c r="B5825" s="186" t="str">
        <f>INDEX(Orçamentária!A:B,MATCH(Composições!A5825,Orçamentária!A:A,0),2)</f>
        <v>Luva para eletroduto de PVC de 3”</v>
      </c>
      <c r="C5825" s="41"/>
      <c r="D5825" s="26" t="str">
        <f>TRIM(INDEX(Orçamentária!C:C,MATCH(Composições!A5825,Orçamentária!A:A,0),1))</f>
        <v>un</v>
      </c>
      <c r="E5825" s="27"/>
      <c r="F5825" s="49" t="s">
        <v>558</v>
      </c>
      <c r="G5825" s="28" t="str">
        <f>IF(ISNUMBER(F5825),E5825*F5825,"")</f>
        <v/>
      </c>
      <c r="H5825" s="29"/>
      <c r="I5825" s="30"/>
      <c r="J5825" s="155">
        <v>0</v>
      </c>
    </row>
    <row r="5826" spans="1:10" hidden="1" x14ac:dyDescent="0.25">
      <c r="A5826" s="195"/>
      <c r="B5826" s="187"/>
      <c r="C5826" s="169"/>
      <c r="D5826" s="169"/>
      <c r="E5826" s="170"/>
      <c r="F5826" s="54" t="s">
        <v>558</v>
      </c>
      <c r="G5826" s="54" t="str">
        <f>IF(ISNUMBER(F5826),E5826*F5826,"")</f>
        <v/>
      </c>
      <c r="H5826" s="73"/>
      <c r="I5826" s="74"/>
      <c r="J5826" s="155">
        <v>0</v>
      </c>
    </row>
    <row r="5827" spans="1:10" hidden="1" x14ac:dyDescent="0.25">
      <c r="A5827" s="195"/>
      <c r="B5827" s="187"/>
      <c r="C5827" s="36" t="s">
        <v>3418</v>
      </c>
      <c r="D5827" s="162" t="s">
        <v>20</v>
      </c>
      <c r="E5827" s="163">
        <v>1</v>
      </c>
      <c r="F5827" s="31">
        <v>12.891499999999999</v>
      </c>
      <c r="G5827" s="54">
        <f>IF(ISNUMBER(F5827),E5827*F5827,"")</f>
        <v>12.891499999999999</v>
      </c>
      <c r="H5827" s="39">
        <f>SUM(G5827:G5827)</f>
        <v>12.891499999999999</v>
      </c>
      <c r="I5827" s="40"/>
      <c r="J5827" s="155">
        <v>0</v>
      </c>
    </row>
    <row r="5828" spans="1:10" ht="15.75" hidden="1" thickBot="1" x14ac:dyDescent="0.3">
      <c r="A5828" s="196"/>
      <c r="B5828" s="188"/>
      <c r="C5828" s="55"/>
      <c r="D5828" s="165"/>
      <c r="E5828" s="66"/>
      <c r="F5828" s="76" t="s">
        <v>558</v>
      </c>
      <c r="G5828" s="76" t="str">
        <f>IF(ISNUMBER(F5828),E5828*F5828,"")</f>
        <v/>
      </c>
      <c r="H5828" s="77"/>
      <c r="I5828" s="74"/>
      <c r="J5828" s="155">
        <v>0</v>
      </c>
    </row>
    <row r="5829" spans="1:10" ht="15.75" hidden="1" thickBot="1" x14ac:dyDescent="0.3">
      <c r="A5829" s="189" t="s">
        <v>5626</v>
      </c>
      <c r="B5829" s="186" t="str">
        <f>INDEX(Orçamentária!A:B,MATCH(Composições!A5829,Orçamentária!A:A,0),2)</f>
        <v>Curva para eletroduto de PVC de 3”</v>
      </c>
      <c r="C5829" s="41"/>
      <c r="D5829" s="26" t="str">
        <f>TRIM(INDEX(Orçamentária!C:C,MATCH(Composições!A5829,Orçamentária!A:A,0),1))</f>
        <v>un</v>
      </c>
      <c r="E5829" s="27"/>
      <c r="F5829" s="49" t="s">
        <v>558</v>
      </c>
      <c r="G5829" s="28" t="str">
        <f>IF(ISNUMBER(F5829),E5829*F5829,"")</f>
        <v/>
      </c>
      <c r="H5829" s="29"/>
      <c r="I5829" s="30"/>
      <c r="J5829" s="155">
        <v>0</v>
      </c>
    </row>
    <row r="5830" spans="1:10" hidden="1" x14ac:dyDescent="0.25">
      <c r="A5830" s="195"/>
      <c r="B5830" s="187"/>
      <c r="C5830" s="169"/>
      <c r="D5830" s="169"/>
      <c r="E5830" s="170"/>
      <c r="F5830" s="54" t="s">
        <v>558</v>
      </c>
      <c r="G5830" s="54" t="str">
        <f>IF(ISNUMBER(F5830),E5830*F5830,"")</f>
        <v/>
      </c>
      <c r="H5830" s="73"/>
      <c r="I5830" s="74"/>
      <c r="J5830" s="155">
        <v>0</v>
      </c>
    </row>
    <row r="5831" spans="1:10" ht="25.5" hidden="1" x14ac:dyDescent="0.25">
      <c r="A5831" s="195"/>
      <c r="B5831" s="187"/>
      <c r="C5831" s="36" t="s">
        <v>3376</v>
      </c>
      <c r="D5831" s="162" t="s">
        <v>20</v>
      </c>
      <c r="E5831" s="163">
        <v>1</v>
      </c>
      <c r="F5831" s="31">
        <v>19.845500000000001</v>
      </c>
      <c r="G5831" s="54">
        <f>IF(ISNUMBER(F5831),E5831*F5831,"")</f>
        <v>19.845500000000001</v>
      </c>
      <c r="H5831" s="39">
        <f>SUM(G5831:G5831)</f>
        <v>19.845500000000001</v>
      </c>
      <c r="I5831" s="40"/>
      <c r="J5831" s="155">
        <v>0</v>
      </c>
    </row>
    <row r="5832" spans="1:10" ht="15.75" hidden="1" thickBot="1" x14ac:dyDescent="0.3">
      <c r="A5832" s="196"/>
      <c r="B5832" s="188"/>
      <c r="C5832" s="55"/>
      <c r="D5832" s="165"/>
      <c r="E5832" s="66"/>
      <c r="F5832" s="76" t="s">
        <v>558</v>
      </c>
      <c r="G5832" s="76" t="str">
        <f>IF(ISNUMBER(F5832),E5832*F5832,"")</f>
        <v/>
      </c>
      <c r="H5832" s="77"/>
      <c r="I5832" s="74"/>
      <c r="J5832" s="155">
        <v>0</v>
      </c>
    </row>
    <row r="5833" spans="1:10" ht="15.75" hidden="1" thickBot="1" x14ac:dyDescent="0.3">
      <c r="A5833" s="189" t="s">
        <v>5639</v>
      </c>
      <c r="B5833" s="186" t="str">
        <f>INDEX(Orçamentária!A:B,MATCH(Composições!A5833,Orçamentária!A:A,0),2)</f>
        <v>Base fusível NH 00 / NH 000</v>
      </c>
      <c r="C5833" s="41"/>
      <c r="D5833" s="26" t="str">
        <f>TRIM(INDEX(Orçamentária!C:C,MATCH(Composições!A5833,Orçamentária!A:A,0),1))</f>
        <v>un</v>
      </c>
      <c r="E5833" s="27"/>
      <c r="F5833" s="49" t="s">
        <v>558</v>
      </c>
      <c r="G5833" s="28" t="str">
        <f>IF(ISNUMBER(F5833),E5833*F5833,"")</f>
        <v/>
      </c>
      <c r="H5833" s="29"/>
      <c r="I5833" s="30"/>
      <c r="J5833" s="155">
        <v>0</v>
      </c>
    </row>
    <row r="5834" spans="1:10" hidden="1" x14ac:dyDescent="0.25">
      <c r="A5834" s="195"/>
      <c r="B5834" s="187"/>
      <c r="C5834" s="169"/>
      <c r="D5834" s="169"/>
      <c r="E5834" s="170"/>
      <c r="F5834" s="54" t="s">
        <v>558</v>
      </c>
      <c r="G5834" s="54" t="str">
        <f>IF(ISNUMBER(F5834),E5834*F5834,"")</f>
        <v/>
      </c>
      <c r="H5834" s="73"/>
      <c r="I5834" s="74"/>
      <c r="J5834" s="155">
        <v>0</v>
      </c>
    </row>
    <row r="5835" spans="1:10" ht="25.5" hidden="1" x14ac:dyDescent="0.25">
      <c r="A5835" s="195"/>
      <c r="B5835" s="187"/>
      <c r="C5835" s="36" t="s">
        <v>6476</v>
      </c>
      <c r="D5835" s="162" t="s">
        <v>20</v>
      </c>
      <c r="E5835" s="163">
        <v>1</v>
      </c>
      <c r="F5835" s="31">
        <v>0</v>
      </c>
      <c r="G5835" s="54">
        <f>IF(ISNUMBER(F5835),E5835*F5835,"")</f>
        <v>0</v>
      </c>
      <c r="H5835" s="39">
        <f>SUM(G5835:G5835)</f>
        <v>0</v>
      </c>
      <c r="I5835" s="40"/>
      <c r="J5835" s="155">
        <v>0</v>
      </c>
    </row>
    <row r="5836" spans="1:10" ht="15.75" hidden="1" thickBot="1" x14ac:dyDescent="0.3">
      <c r="A5836" s="196"/>
      <c r="B5836" s="188"/>
      <c r="C5836" s="55"/>
      <c r="D5836" s="165"/>
      <c r="E5836" s="66"/>
      <c r="F5836" s="76" t="s">
        <v>558</v>
      </c>
      <c r="G5836" s="76" t="str">
        <f>IF(ISNUMBER(F5836),E5836*F5836,"")</f>
        <v/>
      </c>
      <c r="H5836" s="77"/>
      <c r="I5836" s="74"/>
      <c r="J5836" s="155">
        <v>0</v>
      </c>
    </row>
    <row r="5837" spans="1:10" ht="15.75" hidden="1" customHeight="1" thickBot="1" x14ac:dyDescent="0.3">
      <c r="A5837" s="189" t="s">
        <v>5640</v>
      </c>
      <c r="B5837" s="186" t="str">
        <f>INDEX(Orçamentária!A:B,MATCH(Composições!A5837,Orçamentária!A:A,0),2)</f>
        <v>Base fusível NH 1</v>
      </c>
      <c r="C5837" s="41"/>
      <c r="D5837" s="26" t="str">
        <f>TRIM(INDEX(Orçamentária!C:C,MATCH(Composições!A5837,Orçamentária!A:A,0),1))</f>
        <v>un</v>
      </c>
      <c r="E5837" s="27"/>
      <c r="F5837" s="49" t="s">
        <v>558</v>
      </c>
      <c r="G5837" s="28" t="str">
        <f>IF(ISNUMBER(F5837),E5837*F5837,"")</f>
        <v/>
      </c>
      <c r="H5837" s="29"/>
      <c r="I5837" s="30"/>
      <c r="J5837" s="155">
        <v>0</v>
      </c>
    </row>
    <row r="5838" spans="1:10" hidden="1" x14ac:dyDescent="0.25">
      <c r="A5838" s="195"/>
      <c r="B5838" s="187"/>
      <c r="C5838" s="169"/>
      <c r="D5838" s="169"/>
      <c r="E5838" s="170"/>
      <c r="F5838" s="54" t="s">
        <v>558</v>
      </c>
      <c r="G5838" s="54" t="str">
        <f>IF(ISNUMBER(F5838),E5838*F5838,"")</f>
        <v/>
      </c>
      <c r="H5838" s="73"/>
      <c r="I5838" s="74"/>
      <c r="J5838" s="155">
        <v>0</v>
      </c>
    </row>
    <row r="5839" spans="1:10" ht="25.5" hidden="1" x14ac:dyDescent="0.25">
      <c r="A5839" s="195"/>
      <c r="B5839" s="187"/>
      <c r="C5839" s="36" t="s">
        <v>6477</v>
      </c>
      <c r="D5839" s="162" t="s">
        <v>20</v>
      </c>
      <c r="E5839" s="163">
        <v>1</v>
      </c>
      <c r="F5839" s="31">
        <v>0</v>
      </c>
      <c r="G5839" s="54">
        <f>IF(ISNUMBER(F5839),E5839*F5839,"")</f>
        <v>0</v>
      </c>
      <c r="H5839" s="39">
        <f>SUM(G5839:G5839)</f>
        <v>0</v>
      </c>
      <c r="I5839" s="40"/>
      <c r="J5839" s="155">
        <v>0</v>
      </c>
    </row>
    <row r="5840" spans="1:10" ht="15.75" hidden="1" thickBot="1" x14ac:dyDescent="0.3">
      <c r="A5840" s="196"/>
      <c r="B5840" s="188"/>
      <c r="C5840" s="55"/>
      <c r="D5840" s="165"/>
      <c r="E5840" s="66"/>
      <c r="F5840" s="76" t="s">
        <v>558</v>
      </c>
      <c r="G5840" s="76" t="str">
        <f>IF(ISNUMBER(F5840),E5840*F5840,"")</f>
        <v/>
      </c>
      <c r="H5840" s="77"/>
      <c r="I5840" s="74"/>
      <c r="J5840" s="155">
        <v>0</v>
      </c>
    </row>
    <row r="5841" spans="1:10" ht="15.75" hidden="1" customHeight="1" thickBot="1" x14ac:dyDescent="0.3">
      <c r="A5841" s="189" t="s">
        <v>5641</v>
      </c>
      <c r="B5841" s="186" t="str">
        <f>INDEX(Orçamentária!A:B,MATCH(Composições!A5841,Orçamentária!A:A,0),2)</f>
        <v>Base fusível NH 2</v>
      </c>
      <c r="C5841" s="41"/>
      <c r="D5841" s="26" t="str">
        <f>TRIM(INDEX(Orçamentária!C:C,MATCH(Composições!A5841,Orçamentária!A:A,0),1))</f>
        <v>un</v>
      </c>
      <c r="E5841" s="27"/>
      <c r="F5841" s="49" t="s">
        <v>558</v>
      </c>
      <c r="G5841" s="28" t="str">
        <f>IF(ISNUMBER(F5841),E5841*F5841,"")</f>
        <v/>
      </c>
      <c r="H5841" s="29"/>
      <c r="I5841" s="30"/>
      <c r="J5841" s="155">
        <v>0</v>
      </c>
    </row>
    <row r="5842" spans="1:10" hidden="1" x14ac:dyDescent="0.25">
      <c r="A5842" s="195"/>
      <c r="B5842" s="187"/>
      <c r="C5842" s="169"/>
      <c r="D5842" s="169"/>
      <c r="E5842" s="170"/>
      <c r="F5842" s="54" t="s">
        <v>558</v>
      </c>
      <c r="G5842" s="54" t="str">
        <f>IF(ISNUMBER(F5842),E5842*F5842,"")</f>
        <v/>
      </c>
      <c r="H5842" s="73"/>
      <c r="I5842" s="74"/>
      <c r="J5842" s="155">
        <v>0</v>
      </c>
    </row>
    <row r="5843" spans="1:10" ht="25.5" hidden="1" x14ac:dyDescent="0.25">
      <c r="A5843" s="195"/>
      <c r="B5843" s="187"/>
      <c r="C5843" s="36" t="s">
        <v>6478</v>
      </c>
      <c r="D5843" s="162" t="s">
        <v>20</v>
      </c>
      <c r="E5843" s="163">
        <v>1</v>
      </c>
      <c r="F5843" s="31">
        <v>0</v>
      </c>
      <c r="G5843" s="54">
        <f>IF(ISNUMBER(F5843),E5843*F5843,"")</f>
        <v>0</v>
      </c>
      <c r="H5843" s="39">
        <f>SUM(G5843:G5843)</f>
        <v>0</v>
      </c>
      <c r="I5843" s="40"/>
      <c r="J5843" s="155">
        <v>0</v>
      </c>
    </row>
    <row r="5844" spans="1:10" ht="15.75" hidden="1" thickBot="1" x14ac:dyDescent="0.3">
      <c r="A5844" s="196"/>
      <c r="B5844" s="188"/>
      <c r="C5844" s="55"/>
      <c r="D5844" s="165"/>
      <c r="E5844" s="66"/>
      <c r="F5844" s="76" t="s">
        <v>558</v>
      </c>
      <c r="G5844" s="76" t="str">
        <f>IF(ISNUMBER(F5844),E5844*F5844,"")</f>
        <v/>
      </c>
      <c r="H5844" s="77"/>
      <c r="I5844" s="74"/>
      <c r="J5844" s="155">
        <v>0</v>
      </c>
    </row>
    <row r="5845" spans="1:10" ht="15.75" hidden="1" thickBot="1" x14ac:dyDescent="0.3">
      <c r="A5845" s="189" t="s">
        <v>5642</v>
      </c>
      <c r="B5845" s="186" t="str">
        <f>INDEX(Orçamentária!A:B,MATCH(Composições!A5845,Orçamentária!A:A,0),2)</f>
        <v>Base fusível NH 3</v>
      </c>
      <c r="C5845" s="41"/>
      <c r="D5845" s="26" t="str">
        <f>TRIM(INDEX(Orçamentária!C:C,MATCH(Composições!A5845,Orçamentária!A:A,0),1))</f>
        <v>un</v>
      </c>
      <c r="E5845" s="27"/>
      <c r="F5845" s="49" t="s">
        <v>558</v>
      </c>
      <c r="G5845" s="28" t="str">
        <f>IF(ISNUMBER(F5845),E5845*F5845,"")</f>
        <v/>
      </c>
      <c r="H5845" s="29"/>
      <c r="I5845" s="30"/>
      <c r="J5845" s="155">
        <v>0</v>
      </c>
    </row>
    <row r="5846" spans="1:10" hidden="1" x14ac:dyDescent="0.25">
      <c r="A5846" s="195"/>
      <c r="B5846" s="187"/>
      <c r="C5846" s="169"/>
      <c r="D5846" s="169"/>
      <c r="E5846" s="170"/>
      <c r="F5846" s="54" t="s">
        <v>558</v>
      </c>
      <c r="G5846" s="54" t="str">
        <f>IF(ISNUMBER(F5846),E5846*F5846,"")</f>
        <v/>
      </c>
      <c r="H5846" s="73"/>
      <c r="I5846" s="74"/>
      <c r="J5846" s="155">
        <v>0</v>
      </c>
    </row>
    <row r="5847" spans="1:10" ht="25.5" hidden="1" x14ac:dyDescent="0.25">
      <c r="A5847" s="195"/>
      <c r="B5847" s="187"/>
      <c r="C5847" s="36" t="s">
        <v>6479</v>
      </c>
      <c r="D5847" s="162" t="s">
        <v>20</v>
      </c>
      <c r="E5847" s="163">
        <v>1</v>
      </c>
      <c r="F5847" s="31">
        <v>0</v>
      </c>
      <c r="G5847" s="54">
        <f>IF(ISNUMBER(F5847),E5847*F5847,"")</f>
        <v>0</v>
      </c>
      <c r="H5847" s="39">
        <f>SUM(G5847:G5847)</f>
        <v>0</v>
      </c>
      <c r="I5847" s="40"/>
      <c r="J5847" s="155">
        <v>0</v>
      </c>
    </row>
    <row r="5848" spans="1:10" ht="15.75" hidden="1" thickBot="1" x14ac:dyDescent="0.3">
      <c r="A5848" s="196"/>
      <c r="B5848" s="188"/>
      <c r="C5848" s="55"/>
      <c r="D5848" s="165"/>
      <c r="E5848" s="66"/>
      <c r="F5848" s="76" t="s">
        <v>558</v>
      </c>
      <c r="G5848" s="76" t="str">
        <f>IF(ISNUMBER(F5848),E5848*F5848,"")</f>
        <v/>
      </c>
      <c r="H5848" s="77"/>
      <c r="I5848" s="74"/>
      <c r="J5848" s="155">
        <v>0</v>
      </c>
    </row>
    <row r="5849" spans="1:10" ht="15.75" hidden="1" thickBot="1" x14ac:dyDescent="0.3">
      <c r="A5849" s="189" t="s">
        <v>5643</v>
      </c>
      <c r="B5849" s="186" t="str">
        <f>INDEX(Orçamentária!A:B,MATCH(Composições!A5849,Orçamentária!A:A,0),2)</f>
        <v>Fusível NH 000</v>
      </c>
      <c r="C5849" s="41"/>
      <c r="D5849" s="26" t="str">
        <f>TRIM(INDEX(Orçamentária!C:C,MATCH(Composições!A5849,Orçamentária!A:A,0),1))</f>
        <v>un</v>
      </c>
      <c r="E5849" s="27"/>
      <c r="F5849" s="49" t="s">
        <v>558</v>
      </c>
      <c r="G5849" s="28" t="str">
        <f>IF(ISNUMBER(F5849),E5849*F5849,"")</f>
        <v/>
      </c>
      <c r="H5849" s="29"/>
      <c r="I5849" s="30"/>
      <c r="J5849" s="155">
        <v>0</v>
      </c>
    </row>
    <row r="5850" spans="1:10" hidden="1" x14ac:dyDescent="0.25">
      <c r="A5850" s="195"/>
      <c r="B5850" s="187"/>
      <c r="C5850" s="169"/>
      <c r="D5850" s="169"/>
      <c r="E5850" s="170"/>
      <c r="F5850" s="54" t="s">
        <v>558</v>
      </c>
      <c r="G5850" s="54" t="str">
        <f>IF(ISNUMBER(F5850),E5850*F5850,"")</f>
        <v/>
      </c>
      <c r="H5850" s="73"/>
      <c r="I5850" s="74"/>
      <c r="J5850" s="155">
        <v>0</v>
      </c>
    </row>
    <row r="5851" spans="1:10" hidden="1" x14ac:dyDescent="0.25">
      <c r="A5851" s="195"/>
      <c r="B5851" s="187"/>
      <c r="C5851" s="36" t="s">
        <v>6480</v>
      </c>
      <c r="D5851" s="162" t="s">
        <v>20</v>
      </c>
      <c r="E5851" s="163">
        <v>1</v>
      </c>
      <c r="F5851" s="31">
        <v>0</v>
      </c>
      <c r="G5851" s="54">
        <f>IF(ISNUMBER(F5851),E5851*F5851,"")</f>
        <v>0</v>
      </c>
      <c r="H5851" s="39">
        <f>SUM(G5851:G5851)</f>
        <v>0</v>
      </c>
      <c r="I5851" s="40"/>
      <c r="J5851" s="155">
        <v>0</v>
      </c>
    </row>
    <row r="5852" spans="1:10" ht="15.75" hidden="1" thickBot="1" x14ac:dyDescent="0.3">
      <c r="A5852" s="196"/>
      <c r="B5852" s="188"/>
      <c r="C5852" s="55"/>
      <c r="D5852" s="165"/>
      <c r="E5852" s="66"/>
      <c r="F5852" s="76" t="s">
        <v>558</v>
      </c>
      <c r="G5852" s="76" t="str">
        <f>IF(ISNUMBER(F5852),E5852*F5852,"")</f>
        <v/>
      </c>
      <c r="H5852" s="77"/>
      <c r="I5852" s="74"/>
      <c r="J5852" s="155">
        <v>0</v>
      </c>
    </row>
    <row r="5853" spans="1:10" ht="15.75" hidden="1" thickBot="1" x14ac:dyDescent="0.3">
      <c r="A5853" s="189" t="s">
        <v>5645</v>
      </c>
      <c r="B5853" s="186" t="str">
        <f>INDEX(Orçamentária!A:B,MATCH(Composições!A5853,Orçamentária!A:A,0),2)</f>
        <v>Fusível NH 1</v>
      </c>
      <c r="C5853" s="41"/>
      <c r="D5853" s="26" t="str">
        <f>TRIM(INDEX(Orçamentária!C:C,MATCH(Composições!A5853,Orçamentária!A:A,0),1))</f>
        <v>un</v>
      </c>
      <c r="E5853" s="27"/>
      <c r="F5853" s="49" t="s">
        <v>558</v>
      </c>
      <c r="G5853" s="28" t="str">
        <f>IF(ISNUMBER(F5853),E5853*F5853,"")</f>
        <v/>
      </c>
      <c r="H5853" s="29"/>
      <c r="I5853" s="30"/>
      <c r="J5853" s="155">
        <v>0</v>
      </c>
    </row>
    <row r="5854" spans="1:10" hidden="1" x14ac:dyDescent="0.25">
      <c r="A5854" s="195"/>
      <c r="B5854" s="187"/>
      <c r="C5854" s="169"/>
      <c r="D5854" s="169"/>
      <c r="E5854" s="170"/>
      <c r="F5854" s="54" t="s">
        <v>558</v>
      </c>
      <c r="G5854" s="54" t="str">
        <f>IF(ISNUMBER(F5854),E5854*F5854,"")</f>
        <v/>
      </c>
      <c r="H5854" s="73"/>
      <c r="I5854" s="74"/>
      <c r="J5854" s="155">
        <v>0</v>
      </c>
    </row>
    <row r="5855" spans="1:10" hidden="1" x14ac:dyDescent="0.25">
      <c r="A5855" s="195"/>
      <c r="B5855" s="187"/>
      <c r="C5855" s="36" t="s">
        <v>6481</v>
      </c>
      <c r="D5855" s="162" t="s">
        <v>20</v>
      </c>
      <c r="E5855" s="163">
        <v>1</v>
      </c>
      <c r="F5855" s="31">
        <v>0</v>
      </c>
      <c r="G5855" s="54">
        <f>IF(ISNUMBER(F5855),E5855*F5855,"")</f>
        <v>0</v>
      </c>
      <c r="H5855" s="39">
        <f>SUM(G5855:G5855)</f>
        <v>0</v>
      </c>
      <c r="I5855" s="40"/>
      <c r="J5855" s="155">
        <v>0</v>
      </c>
    </row>
    <row r="5856" spans="1:10" ht="15.75" hidden="1" thickBot="1" x14ac:dyDescent="0.3">
      <c r="A5856" s="196"/>
      <c r="B5856" s="188"/>
      <c r="C5856" s="55"/>
      <c r="D5856" s="165"/>
      <c r="E5856" s="66"/>
      <c r="F5856" s="76" t="s">
        <v>558</v>
      </c>
      <c r="G5856" s="76" t="str">
        <f>IF(ISNUMBER(F5856),E5856*F5856,"")</f>
        <v/>
      </c>
      <c r="H5856" s="77"/>
      <c r="I5856" s="74"/>
      <c r="J5856" s="155">
        <v>0</v>
      </c>
    </row>
    <row r="5857" spans="1:10" ht="15.75" hidden="1" thickBot="1" x14ac:dyDescent="0.3">
      <c r="A5857" s="189" t="s">
        <v>5647</v>
      </c>
      <c r="B5857" s="186" t="str">
        <f>INDEX(Orçamentária!A:B,MATCH(Composições!A5857,Orçamentária!A:A,0),2)</f>
        <v>Fusível NH 2</v>
      </c>
      <c r="C5857" s="41"/>
      <c r="D5857" s="26" t="str">
        <f>TRIM(INDEX(Orçamentária!C:C,MATCH(Composições!A5857,Orçamentária!A:A,0),1))</f>
        <v>un</v>
      </c>
      <c r="E5857" s="27"/>
      <c r="F5857" s="49" t="s">
        <v>558</v>
      </c>
      <c r="G5857" s="28" t="str">
        <f>IF(ISNUMBER(F5857),E5857*F5857,"")</f>
        <v/>
      </c>
      <c r="H5857" s="29"/>
      <c r="I5857" s="30"/>
      <c r="J5857" s="155">
        <v>0</v>
      </c>
    </row>
    <row r="5858" spans="1:10" hidden="1" x14ac:dyDescent="0.25">
      <c r="A5858" s="195"/>
      <c r="B5858" s="187"/>
      <c r="C5858" s="169"/>
      <c r="D5858" s="169"/>
      <c r="E5858" s="170"/>
      <c r="F5858" s="54" t="s">
        <v>558</v>
      </c>
      <c r="G5858" s="54" t="str">
        <f>IF(ISNUMBER(F5858),E5858*F5858,"")</f>
        <v/>
      </c>
      <c r="H5858" s="73"/>
      <c r="I5858" s="74"/>
      <c r="J5858" s="155">
        <v>0</v>
      </c>
    </row>
    <row r="5859" spans="1:10" hidden="1" x14ac:dyDescent="0.25">
      <c r="A5859" s="195"/>
      <c r="B5859" s="187"/>
      <c r="C5859" s="36" t="s">
        <v>6482</v>
      </c>
      <c r="D5859" s="162" t="s">
        <v>20</v>
      </c>
      <c r="E5859" s="163">
        <v>1</v>
      </c>
      <c r="F5859" s="31">
        <v>0</v>
      </c>
      <c r="G5859" s="54">
        <f>IF(ISNUMBER(F5859),E5859*F5859,"")</f>
        <v>0</v>
      </c>
      <c r="H5859" s="39">
        <f>SUM(G5859:G5859)</f>
        <v>0</v>
      </c>
      <c r="I5859" s="40"/>
      <c r="J5859" s="155">
        <v>0</v>
      </c>
    </row>
    <row r="5860" spans="1:10" ht="15.75" hidden="1" thickBot="1" x14ac:dyDescent="0.3">
      <c r="A5860" s="196"/>
      <c r="B5860" s="188"/>
      <c r="C5860" s="55"/>
      <c r="D5860" s="165"/>
      <c r="E5860" s="66"/>
      <c r="F5860" s="76" t="s">
        <v>558</v>
      </c>
      <c r="G5860" s="76" t="str">
        <f>IF(ISNUMBER(F5860),E5860*F5860,"")</f>
        <v/>
      </c>
      <c r="H5860" s="77"/>
      <c r="I5860" s="74"/>
      <c r="J5860" s="155">
        <v>0</v>
      </c>
    </row>
    <row r="5861" spans="1:10" ht="15.75" hidden="1" thickBot="1" x14ac:dyDescent="0.3">
      <c r="A5861" s="189" t="s">
        <v>5649</v>
      </c>
      <c r="B5861" s="186" t="str">
        <f>INDEX(Orçamentária!A:B,MATCH(Composições!A5861,Orçamentária!A:A,0),2)</f>
        <v>Fusível NH 3</v>
      </c>
      <c r="C5861" s="41"/>
      <c r="D5861" s="26" t="str">
        <f>TRIM(INDEX(Orçamentária!C:C,MATCH(Composições!A5861,Orçamentária!A:A,0),1))</f>
        <v>un</v>
      </c>
      <c r="E5861" s="27"/>
      <c r="F5861" s="49" t="s">
        <v>558</v>
      </c>
      <c r="G5861" s="28" t="str">
        <f>IF(ISNUMBER(F5861),E5861*F5861,"")</f>
        <v/>
      </c>
      <c r="H5861" s="29"/>
      <c r="I5861" s="30"/>
      <c r="J5861" s="155">
        <v>0</v>
      </c>
    </row>
    <row r="5862" spans="1:10" hidden="1" x14ac:dyDescent="0.25">
      <c r="A5862" s="195"/>
      <c r="B5862" s="187"/>
      <c r="C5862" s="169"/>
      <c r="D5862" s="169"/>
      <c r="E5862" s="170"/>
      <c r="F5862" s="54" t="s">
        <v>558</v>
      </c>
      <c r="G5862" s="54" t="str">
        <f>IF(ISNUMBER(F5862),E5862*F5862,"")</f>
        <v/>
      </c>
      <c r="H5862" s="73"/>
      <c r="I5862" s="74"/>
      <c r="J5862" s="155">
        <v>0</v>
      </c>
    </row>
    <row r="5863" spans="1:10" hidden="1" x14ac:dyDescent="0.25">
      <c r="A5863" s="195"/>
      <c r="B5863" s="187"/>
      <c r="C5863" s="36" t="s">
        <v>6483</v>
      </c>
      <c r="D5863" s="162" t="s">
        <v>20</v>
      </c>
      <c r="E5863" s="163">
        <v>1</v>
      </c>
      <c r="F5863" s="31">
        <v>0</v>
      </c>
      <c r="G5863" s="54">
        <f>IF(ISNUMBER(F5863),E5863*F5863,"")</f>
        <v>0</v>
      </c>
      <c r="H5863" s="39">
        <f>SUM(G5863:G5863)</f>
        <v>0</v>
      </c>
      <c r="I5863" s="40"/>
      <c r="J5863" s="155">
        <v>0</v>
      </c>
    </row>
    <row r="5864" spans="1:10" ht="15.75" hidden="1" thickBot="1" x14ac:dyDescent="0.3">
      <c r="A5864" s="196"/>
      <c r="B5864" s="188"/>
      <c r="C5864" s="55"/>
      <c r="D5864" s="165"/>
      <c r="E5864" s="66"/>
      <c r="F5864" s="76" t="s">
        <v>558</v>
      </c>
      <c r="G5864" s="76" t="str">
        <f>IF(ISNUMBER(F5864),E5864*F5864,"")</f>
        <v/>
      </c>
      <c r="H5864" s="77"/>
      <c r="I5864" s="74"/>
      <c r="J5864" s="155">
        <v>0</v>
      </c>
    </row>
    <row r="5865" spans="1:10" ht="15.75" hidden="1" thickBot="1" x14ac:dyDescent="0.3">
      <c r="A5865" s="189" t="s">
        <v>5652</v>
      </c>
      <c r="B5865" s="186" t="str">
        <f>INDEX(Orçamentária!A:B,MATCH(Composições!A5865,Orçamentária!A:A,0),2)</f>
        <v>Fusível Diazed</v>
      </c>
      <c r="C5865" s="41"/>
      <c r="D5865" s="26" t="str">
        <f>TRIM(INDEX(Orçamentária!C:C,MATCH(Composições!A5865,Orçamentária!A:A,0),1))</f>
        <v>un</v>
      </c>
      <c r="E5865" s="27"/>
      <c r="F5865" s="49" t="s">
        <v>558</v>
      </c>
      <c r="G5865" s="28" t="str">
        <f>IF(ISNUMBER(F5865),E5865*F5865,"")</f>
        <v/>
      </c>
      <c r="H5865" s="29"/>
      <c r="I5865" s="30"/>
      <c r="J5865" s="155">
        <v>0</v>
      </c>
    </row>
    <row r="5866" spans="1:10" hidden="1" x14ac:dyDescent="0.25">
      <c r="A5866" s="195"/>
      <c r="B5866" s="187"/>
      <c r="C5866" s="169"/>
      <c r="D5866" s="169"/>
      <c r="E5866" s="170"/>
      <c r="F5866" s="54" t="s">
        <v>558</v>
      </c>
      <c r="G5866" s="54" t="str">
        <f>IF(ISNUMBER(F5866),E5866*F5866,"")</f>
        <v/>
      </c>
      <c r="H5866" s="73"/>
      <c r="I5866" s="74"/>
      <c r="J5866" s="155">
        <v>0</v>
      </c>
    </row>
    <row r="5867" spans="1:10" ht="38.25" hidden="1" x14ac:dyDescent="0.25">
      <c r="A5867" s="195"/>
      <c r="B5867" s="187"/>
      <c r="C5867" s="36" t="s">
        <v>3404</v>
      </c>
      <c r="D5867" s="162" t="s">
        <v>20</v>
      </c>
      <c r="E5867" s="163">
        <v>1</v>
      </c>
      <c r="F5867" s="31">
        <v>3.7145000000000001</v>
      </c>
      <c r="G5867" s="54">
        <f>IF(ISNUMBER(F5867),E5867*F5867,"")</f>
        <v>3.7145000000000001</v>
      </c>
      <c r="H5867" s="39">
        <f>SUM(G5867:G5867)</f>
        <v>3.7145000000000001</v>
      </c>
      <c r="I5867" s="40"/>
      <c r="J5867" s="155">
        <v>0</v>
      </c>
    </row>
    <row r="5868" spans="1:10" ht="15.75" hidden="1" thickBot="1" x14ac:dyDescent="0.3">
      <c r="A5868" s="196"/>
      <c r="B5868" s="188"/>
      <c r="C5868" s="55"/>
      <c r="D5868" s="165"/>
      <c r="E5868" s="66"/>
      <c r="F5868" s="76" t="s">
        <v>558</v>
      </c>
      <c r="G5868" s="76" t="str">
        <f>IF(ISNUMBER(F5868),E5868*F5868,"")</f>
        <v/>
      </c>
      <c r="H5868" s="77"/>
      <c r="I5868" s="74"/>
      <c r="J5868" s="155">
        <v>0</v>
      </c>
    </row>
    <row r="5869" spans="1:10" ht="15.75" hidden="1" thickBot="1" x14ac:dyDescent="0.3">
      <c r="A5869" s="189" t="s">
        <v>5670</v>
      </c>
      <c r="B5869" s="186" t="str">
        <f>INDEX(Orçamentária!A:B,MATCH(Composições!A5869,Orçamentária!A:A,0),2)</f>
        <v>Poste curvo simples 8m</v>
      </c>
      <c r="C5869" s="41"/>
      <c r="D5869" s="26" t="str">
        <f>TRIM(INDEX(Orçamentária!C:C,MATCH(Composições!A5869,Orçamentária!A:A,0),1))</f>
        <v>un</v>
      </c>
      <c r="E5869" s="27"/>
      <c r="F5869" s="49" t="s">
        <v>558</v>
      </c>
      <c r="G5869" s="28" t="str">
        <f>IF(ISNUMBER(F5869),E5869*F5869,"")</f>
        <v/>
      </c>
      <c r="H5869" s="29"/>
      <c r="I5869" s="30"/>
      <c r="J5869" s="155">
        <v>0</v>
      </c>
    </row>
    <row r="5870" spans="1:10" hidden="1" x14ac:dyDescent="0.25">
      <c r="A5870" s="195"/>
      <c r="B5870" s="187"/>
      <c r="C5870" s="169"/>
      <c r="D5870" s="169"/>
      <c r="E5870" s="170"/>
      <c r="F5870" s="54" t="s">
        <v>558</v>
      </c>
      <c r="G5870" s="54" t="str">
        <f>IF(ISNUMBER(F5870),E5870*F5870,"")</f>
        <v/>
      </c>
      <c r="H5870" s="73"/>
      <c r="I5870" s="74"/>
      <c r="J5870" s="155">
        <v>0</v>
      </c>
    </row>
    <row r="5871" spans="1:10" ht="25.5" hidden="1" x14ac:dyDescent="0.25">
      <c r="A5871" s="195"/>
      <c r="B5871" s="187"/>
      <c r="C5871" s="36" t="s">
        <v>3436</v>
      </c>
      <c r="D5871" s="162" t="s">
        <v>20</v>
      </c>
      <c r="E5871" s="163">
        <v>1</v>
      </c>
      <c r="F5871" s="31">
        <v>2077.0039999999999</v>
      </c>
      <c r="G5871" s="54">
        <f>IF(ISNUMBER(F5871),E5871*F5871,"")</f>
        <v>2077.0039999999999</v>
      </c>
      <c r="H5871" s="39">
        <f>SUM(G5871:G5871)</f>
        <v>2077.0039999999999</v>
      </c>
      <c r="I5871" s="40"/>
      <c r="J5871" s="155">
        <v>0</v>
      </c>
    </row>
    <row r="5872" spans="1:10" ht="15.75" hidden="1" thickBot="1" x14ac:dyDescent="0.3">
      <c r="A5872" s="196"/>
      <c r="B5872" s="188"/>
      <c r="C5872" s="55"/>
      <c r="D5872" s="165"/>
      <c r="E5872" s="66"/>
      <c r="F5872" s="76" t="s">
        <v>558</v>
      </c>
      <c r="G5872" s="76" t="str">
        <f>IF(ISNUMBER(F5872),E5872*F5872,"")</f>
        <v/>
      </c>
      <c r="H5872" s="77"/>
      <c r="I5872" s="74"/>
      <c r="J5872" s="155">
        <v>0</v>
      </c>
    </row>
    <row r="5873" spans="1:10" ht="15.75" hidden="1" thickBot="1" x14ac:dyDescent="0.3">
      <c r="A5873" s="189" t="s">
        <v>5672</v>
      </c>
      <c r="B5873" s="186" t="str">
        <f>INDEX(Orçamentária!A:B,MATCH(Composições!A5873,Orçamentária!A:A,0),2)</f>
        <v>Poste curvo duplo 8m</v>
      </c>
      <c r="C5873" s="41"/>
      <c r="D5873" s="26" t="str">
        <f>TRIM(INDEX(Orçamentária!C:C,MATCH(Composições!A5873,Orçamentária!A:A,0),1))</f>
        <v>un</v>
      </c>
      <c r="E5873" s="27"/>
      <c r="F5873" s="49" t="s">
        <v>558</v>
      </c>
      <c r="G5873" s="28" t="str">
        <f>IF(ISNUMBER(F5873),E5873*F5873,"")</f>
        <v/>
      </c>
      <c r="H5873" s="29"/>
      <c r="I5873" s="30"/>
      <c r="J5873" s="155">
        <v>0</v>
      </c>
    </row>
    <row r="5874" spans="1:10" hidden="1" x14ac:dyDescent="0.25">
      <c r="A5874" s="195"/>
      <c r="B5874" s="187"/>
      <c r="C5874" s="169"/>
      <c r="D5874" s="169"/>
      <c r="E5874" s="170"/>
      <c r="F5874" s="54" t="s">
        <v>558</v>
      </c>
      <c r="G5874" s="54" t="str">
        <f>IF(ISNUMBER(F5874),E5874*F5874,"")</f>
        <v/>
      </c>
      <c r="H5874" s="73"/>
      <c r="I5874" s="74"/>
      <c r="J5874" s="155">
        <v>0</v>
      </c>
    </row>
    <row r="5875" spans="1:10" ht="25.5" hidden="1" x14ac:dyDescent="0.25">
      <c r="A5875" s="195"/>
      <c r="B5875" s="187"/>
      <c r="C5875" s="36" t="s">
        <v>3434</v>
      </c>
      <c r="D5875" s="162" t="s">
        <v>20</v>
      </c>
      <c r="E5875" s="163">
        <v>1</v>
      </c>
      <c r="F5875" s="31">
        <v>2445.6799999999998</v>
      </c>
      <c r="G5875" s="54">
        <f>IF(ISNUMBER(F5875),E5875*F5875,"")</f>
        <v>2445.6799999999998</v>
      </c>
      <c r="H5875" s="39">
        <f>SUM(G5875:G5875)</f>
        <v>2445.6799999999998</v>
      </c>
      <c r="I5875" s="40"/>
      <c r="J5875" s="155">
        <v>0</v>
      </c>
    </row>
    <row r="5876" spans="1:10" ht="15.75" hidden="1" thickBot="1" x14ac:dyDescent="0.3">
      <c r="A5876" s="196"/>
      <c r="B5876" s="188"/>
      <c r="C5876" s="55"/>
      <c r="D5876" s="165"/>
      <c r="E5876" s="66"/>
      <c r="F5876" s="76" t="s">
        <v>558</v>
      </c>
      <c r="G5876" s="76" t="str">
        <f>IF(ISNUMBER(F5876),E5876*F5876,"")</f>
        <v/>
      </c>
      <c r="H5876" s="77"/>
      <c r="I5876" s="74"/>
      <c r="J5876" s="155">
        <v>0</v>
      </c>
    </row>
    <row r="5877" spans="1:10" ht="15.75" hidden="1" thickBot="1" x14ac:dyDescent="0.3">
      <c r="A5877" s="189" t="s">
        <v>5673</v>
      </c>
      <c r="B5877" s="186" t="str">
        <f>INDEX(Orçamentária!A:B,MATCH(Composições!A5877,Orçamentária!A:A,0),2)</f>
        <v>Braço para iluminação</v>
      </c>
      <c r="C5877" s="41"/>
      <c r="D5877" s="26" t="str">
        <f>TRIM(INDEX(Orçamentária!C:C,MATCH(Composições!A5877,Orçamentária!A:A,0),1))</f>
        <v>un</v>
      </c>
      <c r="E5877" s="27"/>
      <c r="F5877" s="49" t="s">
        <v>558</v>
      </c>
      <c r="G5877" s="28" t="str">
        <f>IF(ISNUMBER(F5877),E5877*F5877,"")</f>
        <v/>
      </c>
      <c r="H5877" s="29"/>
      <c r="I5877" s="30"/>
      <c r="J5877" s="155">
        <v>0</v>
      </c>
    </row>
    <row r="5878" spans="1:10" hidden="1" x14ac:dyDescent="0.25">
      <c r="A5878" s="195"/>
      <c r="B5878" s="187"/>
      <c r="C5878" s="169"/>
      <c r="D5878" s="169"/>
      <c r="E5878" s="170"/>
      <c r="F5878" s="54" t="s">
        <v>558</v>
      </c>
      <c r="G5878" s="54" t="str">
        <f>IF(ISNUMBER(F5878),E5878*F5878,"")</f>
        <v/>
      </c>
      <c r="H5878" s="73"/>
      <c r="I5878" s="74"/>
      <c r="J5878" s="155">
        <v>0</v>
      </c>
    </row>
    <row r="5879" spans="1:10" hidden="1" x14ac:dyDescent="0.25">
      <c r="A5879" s="195"/>
      <c r="B5879" s="187"/>
      <c r="C5879" s="36" t="s">
        <v>3326</v>
      </c>
      <c r="D5879" s="162" t="s">
        <v>20</v>
      </c>
      <c r="E5879" s="163">
        <v>1</v>
      </c>
      <c r="F5879" s="31">
        <v>27.721</v>
      </c>
      <c r="G5879" s="54">
        <f>IF(ISNUMBER(F5879),E5879*F5879,"")</f>
        <v>27.721</v>
      </c>
      <c r="H5879" s="39">
        <f>SUM(G5879:G5879)</f>
        <v>27.721</v>
      </c>
      <c r="I5879" s="40"/>
      <c r="J5879" s="155">
        <v>0</v>
      </c>
    </row>
    <row r="5880" spans="1:10" ht="15.75" hidden="1" thickBot="1" x14ac:dyDescent="0.3">
      <c r="A5880" s="196"/>
      <c r="B5880" s="188"/>
      <c r="C5880" s="55"/>
      <c r="D5880" s="165"/>
      <c r="E5880" s="66"/>
      <c r="F5880" s="76" t="s">
        <v>558</v>
      </c>
      <c r="G5880" s="76" t="str">
        <f>IF(ISNUMBER(F5880),E5880*F5880,"")</f>
        <v/>
      </c>
      <c r="H5880" s="77"/>
      <c r="I5880" s="74"/>
      <c r="J5880" s="155">
        <v>0</v>
      </c>
    </row>
    <row r="5881" spans="1:10" ht="15.75" hidden="1" thickBot="1" x14ac:dyDescent="0.3">
      <c r="A5881" s="189" t="s">
        <v>5806</v>
      </c>
      <c r="B5881" s="186" t="str">
        <f>INDEX(Orçamentária!A:B,MATCH(Composições!A5881,Orçamentária!A:A,0),2)</f>
        <v xml:space="preserve">Caixa 4x2 de embutir para alvenaria </v>
      </c>
      <c r="C5881" s="41"/>
      <c r="D5881" s="26" t="str">
        <f>TRIM(INDEX(Orçamentária!C:C,MATCH(Composições!A5881,Orçamentária!A:A,0),1))</f>
        <v>un</v>
      </c>
      <c r="E5881" s="27"/>
      <c r="F5881" s="49" t="s">
        <v>558</v>
      </c>
      <c r="G5881" s="28" t="str">
        <f>IF(ISNUMBER(F5881),E5881*F5881,"")</f>
        <v/>
      </c>
      <c r="H5881" s="29"/>
      <c r="I5881" s="30"/>
      <c r="J5881" s="155">
        <v>0</v>
      </c>
    </row>
    <row r="5882" spans="1:10" hidden="1" x14ac:dyDescent="0.25">
      <c r="A5882" s="195"/>
      <c r="B5882" s="187"/>
      <c r="C5882" s="169"/>
      <c r="D5882" s="169"/>
      <c r="E5882" s="170"/>
      <c r="F5882" s="54" t="s">
        <v>558</v>
      </c>
      <c r="G5882" s="54" t="str">
        <f>IF(ISNUMBER(F5882),E5882*F5882,"")</f>
        <v/>
      </c>
      <c r="H5882" s="73"/>
      <c r="I5882" s="74"/>
      <c r="J5882" s="155">
        <v>0</v>
      </c>
    </row>
    <row r="5883" spans="1:10" ht="25.5" hidden="1" x14ac:dyDescent="0.25">
      <c r="A5883" s="195"/>
      <c r="B5883" s="187"/>
      <c r="C5883" s="36" t="s">
        <v>3333</v>
      </c>
      <c r="D5883" s="162" t="s">
        <v>20</v>
      </c>
      <c r="E5883" s="163">
        <v>1</v>
      </c>
      <c r="F5883" s="31">
        <v>1.9949999999999999</v>
      </c>
      <c r="G5883" s="54">
        <f>IF(ISNUMBER(F5883),E5883*F5883,"")</f>
        <v>1.9949999999999999</v>
      </c>
      <c r="H5883" s="39">
        <f>SUM(G5883:G5883)</f>
        <v>1.9949999999999999</v>
      </c>
      <c r="I5883" s="40"/>
      <c r="J5883" s="155">
        <v>0</v>
      </c>
    </row>
    <row r="5884" spans="1:10" ht="15.75" hidden="1" thickBot="1" x14ac:dyDescent="0.3">
      <c r="A5884" s="196"/>
      <c r="B5884" s="188"/>
      <c r="C5884" s="55"/>
      <c r="D5884" s="165"/>
      <c r="E5884" s="66"/>
      <c r="F5884" s="76" t="s">
        <v>558</v>
      </c>
      <c r="G5884" s="76" t="str">
        <f>IF(ISNUMBER(F5884),E5884*F5884,"")</f>
        <v/>
      </c>
      <c r="H5884" s="77"/>
      <c r="I5884" s="74"/>
      <c r="J5884" s="155">
        <v>0</v>
      </c>
    </row>
    <row r="5885" spans="1:10" ht="15.75" hidden="1" thickBot="1" x14ac:dyDescent="0.3">
      <c r="A5885" s="189" t="s">
        <v>5807</v>
      </c>
      <c r="B5885" s="186" t="str">
        <f>INDEX(Orçamentária!A:B,MATCH(Composições!A5885,Orçamentária!A:A,0),2)</f>
        <v xml:space="preserve">Caixa 4x4 de embutir para alvenaria </v>
      </c>
      <c r="C5885" s="41"/>
      <c r="D5885" s="26" t="str">
        <f>TRIM(INDEX(Orçamentária!C:C,MATCH(Composições!A5885,Orçamentária!A:A,0),1))</f>
        <v>un</v>
      </c>
      <c r="E5885" s="27"/>
      <c r="F5885" s="49" t="s">
        <v>558</v>
      </c>
      <c r="G5885" s="28" t="str">
        <f>IF(ISNUMBER(F5885),E5885*F5885,"")</f>
        <v/>
      </c>
      <c r="H5885" s="29"/>
      <c r="I5885" s="30"/>
      <c r="J5885" s="155">
        <v>0</v>
      </c>
    </row>
    <row r="5886" spans="1:10" hidden="1" x14ac:dyDescent="0.25">
      <c r="A5886" s="195"/>
      <c r="B5886" s="187"/>
      <c r="C5886" s="169"/>
      <c r="D5886" s="169"/>
      <c r="E5886" s="170"/>
      <c r="F5886" s="54" t="s">
        <v>558</v>
      </c>
      <c r="G5886" s="54" t="str">
        <f>IF(ISNUMBER(F5886),E5886*F5886,"")</f>
        <v/>
      </c>
      <c r="H5886" s="73"/>
      <c r="I5886" s="74"/>
      <c r="J5886" s="155">
        <v>0</v>
      </c>
    </row>
    <row r="5887" spans="1:10" ht="25.5" hidden="1" x14ac:dyDescent="0.25">
      <c r="A5887" s="195"/>
      <c r="B5887" s="187"/>
      <c r="C5887" s="36" t="s">
        <v>3334</v>
      </c>
      <c r="D5887" s="162" t="s">
        <v>20</v>
      </c>
      <c r="E5887" s="163">
        <v>1</v>
      </c>
      <c r="F5887" s="31">
        <v>3.9614999999999996</v>
      </c>
      <c r="G5887" s="54">
        <f>IF(ISNUMBER(F5887),E5887*F5887,"")</f>
        <v>3.9614999999999996</v>
      </c>
      <c r="H5887" s="39">
        <f>SUM(G5887:G5887)</f>
        <v>3.9614999999999996</v>
      </c>
      <c r="I5887" s="40"/>
      <c r="J5887" s="155">
        <v>0</v>
      </c>
    </row>
    <row r="5888" spans="1:10" ht="15.75" hidden="1" thickBot="1" x14ac:dyDescent="0.3">
      <c r="A5888" s="196"/>
      <c r="B5888" s="188"/>
      <c r="C5888" s="55"/>
      <c r="D5888" s="165"/>
      <c r="E5888" s="66"/>
      <c r="F5888" s="76" t="s">
        <v>558</v>
      </c>
      <c r="G5888" s="76" t="str">
        <f>IF(ISNUMBER(F5888),E5888*F5888,"")</f>
        <v/>
      </c>
      <c r="H5888" s="77"/>
      <c r="I5888" s="74"/>
      <c r="J5888" s="155">
        <v>0</v>
      </c>
    </row>
    <row r="5889" spans="1:10" ht="15.75" hidden="1" thickBot="1" x14ac:dyDescent="0.3">
      <c r="A5889" s="189" t="s">
        <v>5815</v>
      </c>
      <c r="B5889" s="186" t="str">
        <f>INDEX(Orçamentária!A:B,MATCH(Composições!A5889,Orçamentária!A:A,0),2)</f>
        <v>Caixa de passagem em aço 400x400x150mm</v>
      </c>
      <c r="C5889" s="41"/>
      <c r="D5889" s="26" t="str">
        <f>TRIM(INDEX(Orçamentária!C:C,MATCH(Composições!A5889,Orçamentária!A:A,0),1))</f>
        <v>un</v>
      </c>
      <c r="E5889" s="27"/>
      <c r="F5889" s="49" t="s">
        <v>558</v>
      </c>
      <c r="G5889" s="28" t="str">
        <f>IF(ISNUMBER(F5889),E5889*F5889,"")</f>
        <v/>
      </c>
      <c r="H5889" s="29"/>
      <c r="I5889" s="30"/>
      <c r="J5889" s="155">
        <v>0</v>
      </c>
    </row>
    <row r="5890" spans="1:10" hidden="1" x14ac:dyDescent="0.25">
      <c r="A5890" s="195"/>
      <c r="B5890" s="187"/>
      <c r="C5890" s="169"/>
      <c r="D5890" s="169"/>
      <c r="E5890" s="170"/>
      <c r="F5890" s="54" t="s">
        <v>558</v>
      </c>
      <c r="G5890" s="54" t="str">
        <f>IF(ISNUMBER(F5890),E5890*F5890,"")</f>
        <v/>
      </c>
      <c r="H5890" s="73"/>
      <c r="I5890" s="74"/>
      <c r="J5890" s="155">
        <v>0</v>
      </c>
    </row>
    <row r="5891" spans="1:10" ht="25.5" hidden="1" x14ac:dyDescent="0.25">
      <c r="A5891" s="195"/>
      <c r="B5891" s="187"/>
      <c r="C5891" s="36" t="s">
        <v>6484</v>
      </c>
      <c r="D5891" s="162" t="s">
        <v>20</v>
      </c>
      <c r="E5891" s="163">
        <v>1</v>
      </c>
      <c r="F5891" s="31">
        <v>0</v>
      </c>
      <c r="G5891" s="54">
        <f>IF(ISNUMBER(F5891),E5891*F5891,"")</f>
        <v>0</v>
      </c>
      <c r="H5891" s="39">
        <f>SUM(G5891:G5891)</f>
        <v>0</v>
      </c>
      <c r="I5891" s="40"/>
      <c r="J5891" s="155">
        <v>0</v>
      </c>
    </row>
    <row r="5892" spans="1:10" ht="15.75" hidden="1" thickBot="1" x14ac:dyDescent="0.3">
      <c r="A5892" s="196"/>
      <c r="B5892" s="188"/>
      <c r="C5892" s="55"/>
      <c r="D5892" s="165"/>
      <c r="E5892" s="66"/>
      <c r="F5892" s="76" t="s">
        <v>558</v>
      </c>
      <c r="G5892" s="76" t="str">
        <f>IF(ISNUMBER(F5892),E5892*F5892,"")</f>
        <v/>
      </c>
      <c r="H5892" s="77"/>
      <c r="I5892" s="74"/>
      <c r="J5892" s="155">
        <v>0</v>
      </c>
    </row>
    <row r="5893" spans="1:10" ht="15.75" hidden="1" thickBot="1" x14ac:dyDescent="0.3">
      <c r="A5893" s="189" t="s">
        <v>5818</v>
      </c>
      <c r="B5893" s="186" t="str">
        <f>INDEX(Orçamentária!A:B,MATCH(Composições!A5893,Orçamentária!A:A,0),2)</f>
        <v>Abraçadeira tipo D para eletroduto</v>
      </c>
      <c r="C5893" s="41"/>
      <c r="D5893" s="26" t="str">
        <f>TRIM(INDEX(Orçamentária!C:C,MATCH(Composições!A5893,Orçamentária!A:A,0),1))</f>
        <v>un</v>
      </c>
      <c r="E5893" s="27"/>
      <c r="F5893" s="49" t="s">
        <v>558</v>
      </c>
      <c r="G5893" s="28" t="str">
        <f>IF(ISNUMBER(F5893),E5893*F5893,"")</f>
        <v/>
      </c>
      <c r="H5893" s="29"/>
      <c r="I5893" s="30"/>
      <c r="J5893" s="155">
        <v>0</v>
      </c>
    </row>
    <row r="5894" spans="1:10" hidden="1" x14ac:dyDescent="0.25">
      <c r="A5894" s="195"/>
      <c r="B5894" s="187"/>
      <c r="C5894" s="169"/>
      <c r="D5894" s="169"/>
      <c r="E5894" s="170"/>
      <c r="F5894" s="54" t="s">
        <v>558</v>
      </c>
      <c r="G5894" s="54" t="str">
        <f>IF(ISNUMBER(F5894),E5894*F5894,"")</f>
        <v/>
      </c>
      <c r="H5894" s="73"/>
      <c r="I5894" s="74"/>
      <c r="J5894" s="155">
        <v>0</v>
      </c>
    </row>
    <row r="5895" spans="1:10" ht="25.5" hidden="1" x14ac:dyDescent="0.25">
      <c r="A5895" s="195"/>
      <c r="B5895" s="187"/>
      <c r="C5895" s="36" t="s">
        <v>3319</v>
      </c>
      <c r="D5895" s="162" t="s">
        <v>20</v>
      </c>
      <c r="E5895" s="163">
        <v>1</v>
      </c>
      <c r="F5895" s="31">
        <v>1.5674999999999999</v>
      </c>
      <c r="G5895" s="54">
        <f>IF(ISNUMBER(F5895),E5895*F5895,"")</f>
        <v>1.5674999999999999</v>
      </c>
      <c r="H5895" s="39">
        <f>SUM(G5895:G5895)</f>
        <v>1.5674999999999999</v>
      </c>
      <c r="I5895" s="40"/>
      <c r="J5895" s="155">
        <v>0</v>
      </c>
    </row>
    <row r="5896" spans="1:10" ht="15.75" hidden="1" thickBot="1" x14ac:dyDescent="0.3">
      <c r="A5896" s="196"/>
      <c r="B5896" s="188"/>
      <c r="C5896" s="55"/>
      <c r="D5896" s="165"/>
      <c r="E5896" s="66"/>
      <c r="F5896" s="76" t="s">
        <v>558</v>
      </c>
      <c r="G5896" s="76" t="str">
        <f>IF(ISNUMBER(F5896),E5896*F5896,"")</f>
        <v/>
      </c>
      <c r="H5896" s="77"/>
      <c r="I5896" s="74"/>
      <c r="J5896" s="155">
        <v>0</v>
      </c>
    </row>
    <row r="5897" spans="1:10" ht="15.75" hidden="1" thickBot="1" x14ac:dyDescent="0.3">
      <c r="A5897" s="189" t="s">
        <v>5819</v>
      </c>
      <c r="B5897" s="186" t="str">
        <f>INDEX(Orçamentária!A:B,MATCH(Composições!A5897,Orçamentária!A:A,0),2)</f>
        <v>Abraçadeira tipo copo para eletroduto</v>
      </c>
      <c r="C5897" s="41"/>
      <c r="D5897" s="26" t="str">
        <f>TRIM(INDEX(Orçamentária!C:C,MATCH(Composições!A5897,Orçamentária!A:A,0),1))</f>
        <v>un</v>
      </c>
      <c r="E5897" s="27"/>
      <c r="F5897" s="49" t="s">
        <v>558</v>
      </c>
      <c r="G5897" s="28" t="str">
        <f>IF(ISNUMBER(F5897),E5897*F5897,"")</f>
        <v/>
      </c>
      <c r="H5897" s="29"/>
      <c r="I5897" s="30"/>
      <c r="J5897" s="155">
        <v>0</v>
      </c>
    </row>
    <row r="5898" spans="1:10" hidden="1" x14ac:dyDescent="0.25">
      <c r="A5898" s="195"/>
      <c r="B5898" s="187"/>
      <c r="C5898" s="169"/>
      <c r="D5898" s="169"/>
      <c r="E5898" s="170"/>
      <c r="F5898" s="54" t="s">
        <v>558</v>
      </c>
      <c r="G5898" s="54" t="str">
        <f>IF(ISNUMBER(F5898),E5898*F5898,"")</f>
        <v/>
      </c>
      <c r="H5898" s="73"/>
      <c r="I5898" s="74"/>
      <c r="J5898" s="155">
        <v>0</v>
      </c>
    </row>
    <row r="5899" spans="1:10" hidden="1" x14ac:dyDescent="0.25">
      <c r="A5899" s="195"/>
      <c r="B5899" s="187"/>
      <c r="C5899" s="36" t="s">
        <v>6485</v>
      </c>
      <c r="D5899" s="162" t="s">
        <v>20</v>
      </c>
      <c r="E5899" s="163">
        <v>1</v>
      </c>
      <c r="F5899" s="31">
        <v>0</v>
      </c>
      <c r="G5899" s="54">
        <f>IF(ISNUMBER(F5899),E5899*F5899,"")</f>
        <v>0</v>
      </c>
      <c r="H5899" s="39">
        <f>SUM(G5899:G5899)</f>
        <v>0</v>
      </c>
      <c r="I5899" s="40"/>
      <c r="J5899" s="155">
        <v>0</v>
      </c>
    </row>
    <row r="5900" spans="1:10" ht="15.75" hidden="1" thickBot="1" x14ac:dyDescent="0.3">
      <c r="A5900" s="196"/>
      <c r="B5900" s="188"/>
      <c r="C5900" s="55"/>
      <c r="D5900" s="165"/>
      <c r="E5900" s="66"/>
      <c r="F5900" s="76" t="s">
        <v>558</v>
      </c>
      <c r="G5900" s="76" t="str">
        <f>IF(ISNUMBER(F5900),E5900*F5900,"")</f>
        <v/>
      </c>
      <c r="H5900" s="77"/>
      <c r="I5900" s="74"/>
      <c r="J5900" s="155">
        <v>0</v>
      </c>
    </row>
    <row r="5901" spans="1:10" ht="15.75" hidden="1" thickBot="1" x14ac:dyDescent="0.3">
      <c r="A5901" s="189" t="s">
        <v>5823</v>
      </c>
      <c r="B5901" s="186" t="str">
        <f>INDEX(Orçamentária!A:B,MATCH(Composições!A5901,Orçamentária!A:A,0),2)</f>
        <v xml:space="preserve">Tampa cega metálica para caixas de piso 4x4 </v>
      </c>
      <c r="C5901" s="41"/>
      <c r="D5901" s="26" t="str">
        <f>TRIM(INDEX(Orçamentária!C:C,MATCH(Composições!A5901,Orçamentária!A:A,0),1))</f>
        <v>un</v>
      </c>
      <c r="E5901" s="27"/>
      <c r="F5901" s="49" t="s">
        <v>558</v>
      </c>
      <c r="G5901" s="28" t="str">
        <f>IF(ISNUMBER(F5901),E5901*F5901,"")</f>
        <v/>
      </c>
      <c r="H5901" s="29"/>
      <c r="I5901" s="30"/>
      <c r="J5901" s="155">
        <v>0</v>
      </c>
    </row>
    <row r="5902" spans="1:10" hidden="1" x14ac:dyDescent="0.25">
      <c r="A5902" s="195"/>
      <c r="B5902" s="187"/>
      <c r="C5902" s="169"/>
      <c r="D5902" s="169"/>
      <c r="E5902" s="170"/>
      <c r="F5902" s="54" t="s">
        <v>558</v>
      </c>
      <c r="G5902" s="54" t="str">
        <f>IF(ISNUMBER(F5902),E5902*F5902,"")</f>
        <v/>
      </c>
      <c r="H5902" s="73"/>
      <c r="I5902" s="74"/>
      <c r="J5902" s="155">
        <v>0</v>
      </c>
    </row>
    <row r="5903" spans="1:10" ht="25.5" hidden="1" x14ac:dyDescent="0.25">
      <c r="A5903" s="195"/>
      <c r="B5903" s="187"/>
      <c r="C5903" s="36" t="s">
        <v>3433</v>
      </c>
      <c r="D5903" s="162" t="s">
        <v>20</v>
      </c>
      <c r="E5903" s="163">
        <v>1</v>
      </c>
      <c r="F5903" s="31">
        <v>22.942499999999999</v>
      </c>
      <c r="G5903" s="54">
        <f>IF(ISNUMBER(F5903),E5903*F5903,"")</f>
        <v>22.942499999999999</v>
      </c>
      <c r="H5903" s="39">
        <f>SUM(G5903:G5903)</f>
        <v>22.942499999999999</v>
      </c>
      <c r="I5903" s="40"/>
      <c r="J5903" s="155">
        <v>0</v>
      </c>
    </row>
    <row r="5904" spans="1:10" ht="15.75" hidden="1" thickBot="1" x14ac:dyDescent="0.3">
      <c r="A5904" s="196"/>
      <c r="B5904" s="188"/>
      <c r="C5904" s="55"/>
      <c r="D5904" s="165"/>
      <c r="E5904" s="66"/>
      <c r="F5904" s="76" t="s">
        <v>558</v>
      </c>
      <c r="G5904" s="76" t="str">
        <f>IF(ISNUMBER(F5904),E5904*F5904,"")</f>
        <v/>
      </c>
      <c r="H5904" s="77"/>
      <c r="I5904" s="74"/>
      <c r="J5904" s="155">
        <v>0</v>
      </c>
    </row>
    <row r="5905" spans="1:10" ht="15.75" hidden="1" thickBot="1" x14ac:dyDescent="0.3">
      <c r="A5905" s="189" t="s">
        <v>5936</v>
      </c>
      <c r="B5905" s="186" t="str">
        <f>INDEX(Orçamentária!A:B,MATCH(Composições!A5905,Orçamentária!A:A,0),2)</f>
        <v>Quadro termoplástico para 12 disjuntores</v>
      </c>
      <c r="C5905" s="41"/>
      <c r="D5905" s="26" t="str">
        <f>TRIM(INDEX(Orçamentária!C:C,MATCH(Composições!A5905,Orçamentária!A:A,0),1))</f>
        <v>un</v>
      </c>
      <c r="E5905" s="27"/>
      <c r="F5905" s="49" t="s">
        <v>558</v>
      </c>
      <c r="G5905" s="28" t="str">
        <f>IF(ISNUMBER(F5905),E5905*F5905,"")</f>
        <v/>
      </c>
      <c r="H5905" s="29"/>
      <c r="I5905" s="30"/>
      <c r="J5905" s="155">
        <v>0</v>
      </c>
    </row>
    <row r="5906" spans="1:10" hidden="1" x14ac:dyDescent="0.25">
      <c r="A5906" s="195"/>
      <c r="B5906" s="187"/>
      <c r="C5906" s="169"/>
      <c r="D5906" s="169"/>
      <c r="E5906" s="170"/>
      <c r="F5906" s="54" t="s">
        <v>558</v>
      </c>
      <c r="G5906" s="54" t="str">
        <f>IF(ISNUMBER(F5906),E5906*F5906,"")</f>
        <v/>
      </c>
      <c r="H5906" s="73"/>
      <c r="I5906" s="74"/>
      <c r="J5906" s="155">
        <v>0</v>
      </c>
    </row>
    <row r="5907" spans="1:10" ht="38.25" hidden="1" x14ac:dyDescent="0.25">
      <c r="A5907" s="195"/>
      <c r="B5907" s="187"/>
      <c r="C5907" s="36" t="s">
        <v>3443</v>
      </c>
      <c r="D5907" s="162" t="s">
        <v>20</v>
      </c>
      <c r="E5907" s="163">
        <v>1</v>
      </c>
      <c r="F5907" s="31">
        <v>179.1035</v>
      </c>
      <c r="G5907" s="54">
        <f>IF(ISNUMBER(F5907),E5907*F5907,"")</f>
        <v>179.1035</v>
      </c>
      <c r="H5907" s="39">
        <f>SUM(G5907:G5907)</f>
        <v>179.1035</v>
      </c>
      <c r="I5907" s="40"/>
      <c r="J5907" s="155">
        <v>0</v>
      </c>
    </row>
    <row r="5908" spans="1:10" ht="15.75" hidden="1" thickBot="1" x14ac:dyDescent="0.3">
      <c r="A5908" s="196"/>
      <c r="B5908" s="188"/>
      <c r="C5908" s="55"/>
      <c r="D5908" s="165"/>
      <c r="E5908" s="66"/>
      <c r="F5908" s="76" t="s">
        <v>558</v>
      </c>
      <c r="G5908" s="76" t="str">
        <f>IF(ISNUMBER(F5908),E5908*F5908,"")</f>
        <v/>
      </c>
      <c r="H5908" s="77"/>
      <c r="I5908" s="74"/>
      <c r="J5908" s="155">
        <v>0</v>
      </c>
    </row>
    <row r="5909" spans="1:10" ht="15.75" hidden="1" thickBot="1" x14ac:dyDescent="0.3">
      <c r="A5909" s="189" t="s">
        <v>5937</v>
      </c>
      <c r="B5909" s="186" t="str">
        <f>INDEX(Orçamentária!A:B,MATCH(Composições!A5909,Orçamentária!A:A,0),2)</f>
        <v>Quadro termoplástico para 24 disjuntores</v>
      </c>
      <c r="C5909" s="41"/>
      <c r="D5909" s="26" t="str">
        <f>TRIM(INDEX(Orçamentária!C:C,MATCH(Composições!A5909,Orçamentária!A:A,0),1))</f>
        <v>un</v>
      </c>
      <c r="E5909" s="27"/>
      <c r="F5909" s="49" t="s">
        <v>558</v>
      </c>
      <c r="G5909" s="28" t="str">
        <f>IF(ISNUMBER(F5909),E5909*F5909,"")</f>
        <v/>
      </c>
      <c r="H5909" s="29"/>
      <c r="I5909" s="30"/>
      <c r="J5909" s="155">
        <v>0</v>
      </c>
    </row>
    <row r="5910" spans="1:10" hidden="1" x14ac:dyDescent="0.25">
      <c r="A5910" s="195"/>
      <c r="B5910" s="187"/>
      <c r="C5910" s="169"/>
      <c r="D5910" s="169"/>
      <c r="E5910" s="170"/>
      <c r="F5910" s="54" t="s">
        <v>558</v>
      </c>
      <c r="G5910" s="54" t="str">
        <f>IF(ISNUMBER(F5910),E5910*F5910,"")</f>
        <v/>
      </c>
      <c r="H5910" s="73"/>
      <c r="I5910" s="74"/>
      <c r="J5910" s="155">
        <v>0</v>
      </c>
    </row>
    <row r="5911" spans="1:10" ht="38.25" hidden="1" x14ac:dyDescent="0.25">
      <c r="A5911" s="195"/>
      <c r="B5911" s="187"/>
      <c r="C5911" s="36" t="s">
        <v>3444</v>
      </c>
      <c r="D5911" s="162" t="s">
        <v>20</v>
      </c>
      <c r="E5911" s="163">
        <v>1</v>
      </c>
      <c r="F5911" s="31">
        <v>331.83499999999998</v>
      </c>
      <c r="G5911" s="54">
        <f>IF(ISNUMBER(F5911),E5911*F5911,"")</f>
        <v>331.83499999999998</v>
      </c>
      <c r="H5911" s="39">
        <f>SUM(G5911:G5911)</f>
        <v>331.83499999999998</v>
      </c>
      <c r="I5911" s="40"/>
      <c r="J5911" s="155">
        <v>0</v>
      </c>
    </row>
    <row r="5912" spans="1:10" ht="15.75" hidden="1" thickBot="1" x14ac:dyDescent="0.3">
      <c r="A5912" s="196"/>
      <c r="B5912" s="188"/>
      <c r="C5912" s="55"/>
      <c r="D5912" s="165"/>
      <c r="E5912" s="66"/>
      <c r="F5912" s="76" t="s">
        <v>558</v>
      </c>
      <c r="G5912" s="76" t="str">
        <f>IF(ISNUMBER(F5912),E5912*F5912,"")</f>
        <v/>
      </c>
      <c r="H5912" s="77"/>
      <c r="I5912" s="74"/>
      <c r="J5912" s="155">
        <v>0</v>
      </c>
    </row>
    <row r="5913" spans="1:10" ht="15.75" hidden="1" thickBot="1" x14ac:dyDescent="0.3">
      <c r="A5913" s="189" t="s">
        <v>5938</v>
      </c>
      <c r="B5913" s="186" t="str">
        <f>INDEX(Orçamentária!A:B,MATCH(Composições!A5913,Orçamentária!A:A,0),2)</f>
        <v>Quadro termoplástico para 36 disjuntores</v>
      </c>
      <c r="C5913" s="41"/>
      <c r="D5913" s="26" t="str">
        <f>TRIM(INDEX(Orçamentária!C:C,MATCH(Composições!A5913,Orçamentária!A:A,0),1))</f>
        <v>un</v>
      </c>
      <c r="E5913" s="27"/>
      <c r="F5913" s="49" t="s">
        <v>558</v>
      </c>
      <c r="G5913" s="28" t="str">
        <f>IF(ISNUMBER(F5913),E5913*F5913,"")</f>
        <v/>
      </c>
      <c r="H5913" s="29"/>
      <c r="I5913" s="30"/>
      <c r="J5913" s="155">
        <v>0</v>
      </c>
    </row>
    <row r="5914" spans="1:10" hidden="1" x14ac:dyDescent="0.25">
      <c r="A5914" s="195"/>
      <c r="B5914" s="187"/>
      <c r="C5914" s="169"/>
      <c r="D5914" s="169"/>
      <c r="E5914" s="170"/>
      <c r="F5914" s="54" t="s">
        <v>558</v>
      </c>
      <c r="G5914" s="54" t="str">
        <f>IF(ISNUMBER(F5914),E5914*F5914,"")</f>
        <v/>
      </c>
      <c r="H5914" s="73"/>
      <c r="I5914" s="74"/>
      <c r="J5914" s="155">
        <v>0</v>
      </c>
    </row>
    <row r="5915" spans="1:10" ht="38.25" hidden="1" x14ac:dyDescent="0.25">
      <c r="A5915" s="195"/>
      <c r="B5915" s="187"/>
      <c r="C5915" s="36" t="s">
        <v>3445</v>
      </c>
      <c r="D5915" s="162" t="s">
        <v>20</v>
      </c>
      <c r="E5915" s="163">
        <v>1</v>
      </c>
      <c r="F5915" s="31">
        <v>719.16899999999998</v>
      </c>
      <c r="G5915" s="54">
        <f>IF(ISNUMBER(F5915),E5915*F5915,"")</f>
        <v>719.16899999999998</v>
      </c>
      <c r="H5915" s="39">
        <f>SUM(G5915:G5915)</f>
        <v>719.16899999999998</v>
      </c>
      <c r="I5915" s="40"/>
      <c r="J5915" s="155">
        <v>0</v>
      </c>
    </row>
    <row r="5916" spans="1:10" ht="15.75" hidden="1" thickBot="1" x14ac:dyDescent="0.3">
      <c r="A5916" s="196"/>
      <c r="B5916" s="188"/>
      <c r="C5916" s="55"/>
      <c r="D5916" s="165"/>
      <c r="E5916" s="66"/>
      <c r="F5916" s="76" t="s">
        <v>558</v>
      </c>
      <c r="G5916" s="76" t="str">
        <f>IF(ISNUMBER(F5916),E5916*F5916,"")</f>
        <v/>
      </c>
      <c r="H5916" s="77"/>
      <c r="I5916" s="74"/>
      <c r="J5916" s="155">
        <v>0</v>
      </c>
    </row>
    <row r="5917" spans="1:10" ht="15.75" hidden="1" thickBot="1" x14ac:dyDescent="0.3">
      <c r="A5917" s="189" t="s">
        <v>5974</v>
      </c>
      <c r="B5917" s="186" t="str">
        <f>INDEX(Orçamentária!A:B,MATCH(Composições!A5917,Orçamentária!A:A,0),2)</f>
        <v>Sensor de presença externo</v>
      </c>
      <c r="C5917" s="41"/>
      <c r="D5917" s="26" t="str">
        <f>TRIM(INDEX(Orçamentária!C:C,MATCH(Composições!A5917,Orçamentária!A:A,0),1))</f>
        <v>un</v>
      </c>
      <c r="E5917" s="27"/>
      <c r="F5917" s="49" t="s">
        <v>558</v>
      </c>
      <c r="G5917" s="28" t="str">
        <f>IF(ISNUMBER(F5917),E5917*F5917,"")</f>
        <v/>
      </c>
      <c r="H5917" s="29"/>
      <c r="I5917" s="30"/>
      <c r="J5917" s="155">
        <v>0</v>
      </c>
    </row>
    <row r="5918" spans="1:10" hidden="1" x14ac:dyDescent="0.25">
      <c r="A5918" s="195"/>
      <c r="B5918" s="187"/>
      <c r="C5918" s="169"/>
      <c r="D5918" s="169"/>
      <c r="E5918" s="170"/>
      <c r="F5918" s="54" t="s">
        <v>558</v>
      </c>
      <c r="G5918" s="54" t="str">
        <f>IF(ISNUMBER(F5918),E5918*F5918,"")</f>
        <v/>
      </c>
      <c r="H5918" s="73"/>
      <c r="I5918" s="74"/>
      <c r="J5918" s="155">
        <v>0</v>
      </c>
    </row>
    <row r="5919" spans="1:10" ht="38.25" hidden="1" x14ac:dyDescent="0.25">
      <c r="A5919" s="195"/>
      <c r="B5919" s="187"/>
      <c r="C5919" s="36" t="s">
        <v>3447</v>
      </c>
      <c r="D5919" s="162" t="s">
        <v>20</v>
      </c>
      <c r="E5919" s="163">
        <v>1</v>
      </c>
      <c r="F5919" s="31">
        <v>49.362000000000002</v>
      </c>
      <c r="G5919" s="54">
        <f>IF(ISNUMBER(F5919),E5919*F5919,"")</f>
        <v>49.362000000000002</v>
      </c>
      <c r="H5919" s="39">
        <f>SUM(G5919:G5919)</f>
        <v>49.362000000000002</v>
      </c>
      <c r="I5919" s="40"/>
      <c r="J5919" s="155">
        <v>0</v>
      </c>
    </row>
    <row r="5920" spans="1:10" ht="15.75" hidden="1" thickBot="1" x14ac:dyDescent="0.3">
      <c r="A5920" s="196"/>
      <c r="B5920" s="188"/>
      <c r="C5920" s="55"/>
      <c r="D5920" s="165"/>
      <c r="E5920" s="66"/>
      <c r="F5920" s="76" t="s">
        <v>558</v>
      </c>
      <c r="G5920" s="76" t="str">
        <f>IF(ISNUMBER(F5920),E5920*F5920,"")</f>
        <v/>
      </c>
      <c r="H5920" s="77"/>
      <c r="I5920" s="74"/>
      <c r="J5920" s="155">
        <v>0</v>
      </c>
    </row>
    <row r="5921" spans="1:10" ht="15.75" hidden="1" thickBot="1" x14ac:dyDescent="0.3">
      <c r="A5921" s="189" t="s">
        <v>6009</v>
      </c>
      <c r="B5921" s="186" t="str">
        <f>INDEX(Orçamentária!A:B,MATCH(Composições!A5921,Orçamentária!A:A,0),2)</f>
        <v>Caixa de inspeção de aterramento 300 mm</v>
      </c>
      <c r="C5921" s="41"/>
      <c r="D5921" s="26" t="str">
        <f>TRIM(INDEX(Orçamentária!C:C,MATCH(Composições!A5921,Orçamentária!A:A,0),1))</f>
        <v>un</v>
      </c>
      <c r="E5921" s="27"/>
      <c r="F5921" s="49" t="s">
        <v>558</v>
      </c>
      <c r="G5921" s="28" t="str">
        <f>IF(ISNUMBER(F5921),E5921*F5921,"")</f>
        <v/>
      </c>
      <c r="H5921" s="29"/>
      <c r="I5921" s="30"/>
      <c r="J5921" s="155">
        <v>0</v>
      </c>
    </row>
    <row r="5922" spans="1:10" hidden="1" x14ac:dyDescent="0.25">
      <c r="A5922" s="195"/>
      <c r="B5922" s="187"/>
      <c r="C5922" s="169"/>
      <c r="D5922" s="169"/>
      <c r="E5922" s="170"/>
      <c r="F5922" s="54" t="s">
        <v>558</v>
      </c>
      <c r="G5922" s="54" t="str">
        <f>IF(ISNUMBER(F5922),E5922*F5922,"")</f>
        <v/>
      </c>
      <c r="H5922" s="73"/>
      <c r="I5922" s="74"/>
      <c r="J5922" s="155">
        <v>0</v>
      </c>
    </row>
    <row r="5923" spans="1:10" ht="25.5" hidden="1" x14ac:dyDescent="0.25">
      <c r="A5923" s="195"/>
      <c r="B5923" s="187"/>
      <c r="C5923" s="36" t="s">
        <v>3335</v>
      </c>
      <c r="D5923" s="162" t="s">
        <v>20</v>
      </c>
      <c r="E5923" s="163">
        <v>1</v>
      </c>
      <c r="F5923" s="31">
        <v>18.5535</v>
      </c>
      <c r="G5923" s="54">
        <f>IF(ISNUMBER(F5923),E5923*F5923,"")</f>
        <v>18.5535</v>
      </c>
      <c r="H5923" s="39">
        <f>SUM(G5923:G5923)</f>
        <v>18.5535</v>
      </c>
      <c r="I5923" s="40"/>
      <c r="J5923" s="155">
        <v>0</v>
      </c>
    </row>
    <row r="5924" spans="1:10" ht="15.75" hidden="1" thickBot="1" x14ac:dyDescent="0.3">
      <c r="A5924" s="196"/>
      <c r="B5924" s="188"/>
      <c r="C5924" s="55"/>
      <c r="D5924" s="165"/>
      <c r="E5924" s="66"/>
      <c r="F5924" s="76" t="s">
        <v>558</v>
      </c>
      <c r="G5924" s="76" t="str">
        <f>IF(ISNUMBER(F5924),E5924*F5924,"")</f>
        <v/>
      </c>
      <c r="H5924" s="77"/>
      <c r="I5924" s="74"/>
      <c r="J5924" s="155">
        <v>0</v>
      </c>
    </row>
    <row r="5925" spans="1:10" ht="15.75" hidden="1" thickBot="1" x14ac:dyDescent="0.3">
      <c r="A5925" s="189" t="s">
        <v>6014</v>
      </c>
      <c r="B5925" s="186" t="str">
        <f>INDEX(Orçamentária!A:B,MATCH(Composições!A5925,Orçamentária!A:A,0),2)</f>
        <v>Captor tipo Franklin</v>
      </c>
      <c r="C5925" s="41"/>
      <c r="D5925" s="26" t="str">
        <f>TRIM(INDEX(Orçamentária!C:C,MATCH(Composições!A5925,Orçamentária!A:A,0),1))</f>
        <v>un</v>
      </c>
      <c r="E5925" s="27"/>
      <c r="F5925" s="49" t="s">
        <v>558</v>
      </c>
      <c r="G5925" s="28" t="str">
        <f>IF(ISNUMBER(F5925),E5925*F5925,"")</f>
        <v/>
      </c>
      <c r="H5925" s="29"/>
      <c r="I5925" s="30"/>
      <c r="J5925" s="155">
        <v>0</v>
      </c>
    </row>
    <row r="5926" spans="1:10" hidden="1" x14ac:dyDescent="0.25">
      <c r="A5926" s="195"/>
      <c r="B5926" s="187"/>
      <c r="C5926" s="169"/>
      <c r="D5926" s="169"/>
      <c r="E5926" s="170"/>
      <c r="F5926" s="54" t="s">
        <v>558</v>
      </c>
      <c r="G5926" s="54" t="str">
        <f>IF(ISNUMBER(F5926),E5926*F5926,"")</f>
        <v/>
      </c>
      <c r="H5926" s="73"/>
      <c r="I5926" s="74"/>
      <c r="J5926" s="155">
        <v>0</v>
      </c>
    </row>
    <row r="5927" spans="1:10" ht="38.25" hidden="1" x14ac:dyDescent="0.25">
      <c r="A5927" s="195"/>
      <c r="B5927" s="187"/>
      <c r="C5927" s="36" t="s">
        <v>3430</v>
      </c>
      <c r="D5927" s="162" t="s">
        <v>20</v>
      </c>
      <c r="E5927" s="163">
        <v>1</v>
      </c>
      <c r="F5927" s="31">
        <v>97.678999999999988</v>
      </c>
      <c r="G5927" s="54">
        <f>IF(ISNUMBER(F5927),E5927*F5927,"")</f>
        <v>97.678999999999988</v>
      </c>
      <c r="H5927" s="39">
        <f>SUM(G5927:G5927)</f>
        <v>97.678999999999988</v>
      </c>
      <c r="I5927" s="40"/>
      <c r="J5927" s="155">
        <v>0</v>
      </c>
    </row>
    <row r="5928" spans="1:10" ht="15.75" hidden="1" thickBot="1" x14ac:dyDescent="0.3">
      <c r="A5928" s="196"/>
      <c r="B5928" s="188"/>
      <c r="C5928" s="55"/>
      <c r="D5928" s="165"/>
      <c r="E5928" s="66"/>
      <c r="F5928" s="76" t="s">
        <v>558</v>
      </c>
      <c r="G5928" s="76" t="str">
        <f>IF(ISNUMBER(F5928),E5928*F5928,"")</f>
        <v/>
      </c>
      <c r="H5928" s="77"/>
      <c r="I5928" s="74"/>
      <c r="J5928" s="155">
        <v>0</v>
      </c>
    </row>
    <row r="5929" spans="1:10" ht="15.75" hidden="1" thickBot="1" x14ac:dyDescent="0.3">
      <c r="A5929" s="189" t="s">
        <v>6018</v>
      </c>
      <c r="B5929" s="186" t="str">
        <f>INDEX(Orçamentária!A:B,MATCH(Composições!A5929,Orçamentária!A:A,0),2)</f>
        <v>Mastro 3m</v>
      </c>
      <c r="C5929" s="41"/>
      <c r="D5929" s="26" t="str">
        <f>TRIM(INDEX(Orçamentária!C:C,MATCH(Composições!A5929,Orçamentária!A:A,0),1))</f>
        <v>un</v>
      </c>
      <c r="E5929" s="27"/>
      <c r="F5929" s="49" t="s">
        <v>558</v>
      </c>
      <c r="G5929" s="28" t="str">
        <f>IF(ISNUMBER(F5929),E5929*F5929,"")</f>
        <v/>
      </c>
      <c r="H5929" s="29"/>
      <c r="I5929" s="30"/>
      <c r="J5929" s="155">
        <v>0</v>
      </c>
    </row>
    <row r="5930" spans="1:10" hidden="1" x14ac:dyDescent="0.25">
      <c r="A5930" s="195"/>
      <c r="B5930" s="187"/>
      <c r="C5930" s="169"/>
      <c r="D5930" s="169"/>
      <c r="E5930" s="170"/>
      <c r="F5930" s="54" t="s">
        <v>558</v>
      </c>
      <c r="G5930" s="54" t="str">
        <f>IF(ISNUMBER(F5930),E5930*F5930,"")</f>
        <v/>
      </c>
      <c r="H5930" s="73"/>
      <c r="I5930" s="74"/>
      <c r="J5930" s="155">
        <v>0</v>
      </c>
    </row>
    <row r="5931" spans="1:10" ht="25.5" hidden="1" x14ac:dyDescent="0.25">
      <c r="A5931" s="195"/>
      <c r="B5931" s="187"/>
      <c r="C5931" s="36" t="s">
        <v>3429</v>
      </c>
      <c r="D5931" s="162" t="s">
        <v>20</v>
      </c>
      <c r="E5931" s="163">
        <v>1</v>
      </c>
      <c r="F5931" s="31">
        <v>168.321</v>
      </c>
      <c r="G5931" s="54">
        <f>IF(ISNUMBER(F5931),E5931*F5931,"")</f>
        <v>168.321</v>
      </c>
      <c r="H5931" s="39">
        <f>SUM(G5931:G5931)</f>
        <v>168.321</v>
      </c>
      <c r="I5931" s="40"/>
      <c r="J5931" s="155">
        <v>0</v>
      </c>
    </row>
    <row r="5932" spans="1:10" ht="15.75" hidden="1" thickBot="1" x14ac:dyDescent="0.3">
      <c r="A5932" s="196"/>
      <c r="B5932" s="188"/>
      <c r="C5932" s="55"/>
      <c r="D5932" s="165"/>
      <c r="E5932" s="66"/>
      <c r="F5932" s="76" t="s">
        <v>558</v>
      </c>
      <c r="G5932" s="76" t="str">
        <f>IF(ISNUMBER(F5932),E5932*F5932,"")</f>
        <v/>
      </c>
      <c r="H5932" s="77"/>
      <c r="I5932" s="74"/>
      <c r="J5932" s="155">
        <v>0</v>
      </c>
    </row>
    <row r="5933" spans="1:10" ht="15.75" hidden="1" thickBot="1" x14ac:dyDescent="0.3">
      <c r="A5933" s="189" t="s">
        <v>6034</v>
      </c>
      <c r="B5933" s="186" t="str">
        <f>INDEX(Orçamentária!A:B,MATCH(Composições!A5933,Orçamentária!A:A,0),2)</f>
        <v>Adesivo estrutural</v>
      </c>
      <c r="C5933" s="41"/>
      <c r="D5933" s="26" t="str">
        <f>TRIM(INDEX(Orçamentária!C:C,MATCH(Composições!A5933,Orçamentária!A:A,0),1))</f>
        <v>pct</v>
      </c>
      <c r="E5933" s="27"/>
      <c r="F5933" s="49" t="s">
        <v>558</v>
      </c>
      <c r="G5933" s="28" t="str">
        <f>IF(ISNUMBER(F5933),E5933*F5933,"")</f>
        <v/>
      </c>
      <c r="H5933" s="29"/>
      <c r="I5933" s="30"/>
      <c r="J5933" s="155">
        <v>0</v>
      </c>
    </row>
    <row r="5934" spans="1:10" hidden="1" x14ac:dyDescent="0.25">
      <c r="A5934" s="195"/>
      <c r="B5934" s="187"/>
      <c r="C5934" s="169"/>
      <c r="D5934" s="169"/>
      <c r="E5934" s="170"/>
      <c r="F5934" s="54" t="s">
        <v>558</v>
      </c>
      <c r="G5934" s="54" t="str">
        <f>IF(ISNUMBER(F5934),E5934*F5934,"")</f>
        <v/>
      </c>
      <c r="H5934" s="73"/>
      <c r="I5934" s="74"/>
      <c r="J5934" s="155">
        <v>0</v>
      </c>
    </row>
    <row r="5935" spans="1:10" ht="25.5" hidden="1" x14ac:dyDescent="0.25">
      <c r="A5935" s="195"/>
      <c r="B5935" s="187"/>
      <c r="C5935" s="36" t="s">
        <v>815</v>
      </c>
      <c r="D5935" s="162" t="s">
        <v>42</v>
      </c>
      <c r="E5935" s="163">
        <v>1</v>
      </c>
      <c r="F5935" s="31">
        <v>40.403500000000001</v>
      </c>
      <c r="G5935" s="54">
        <f>IF(ISNUMBER(F5935),E5935*F5935,"")</f>
        <v>40.403500000000001</v>
      </c>
      <c r="H5935" s="39">
        <f>SUM(G5935:G5935)</f>
        <v>40.403500000000001</v>
      </c>
      <c r="I5935" s="40"/>
      <c r="J5935" s="155">
        <v>0</v>
      </c>
    </row>
    <row r="5936" spans="1:10" ht="15.75" hidden="1" thickBot="1" x14ac:dyDescent="0.3">
      <c r="A5936" s="196"/>
      <c r="B5936" s="188"/>
      <c r="C5936" s="55"/>
      <c r="D5936" s="165"/>
      <c r="E5936" s="66"/>
      <c r="F5936" s="76" t="s">
        <v>558</v>
      </c>
      <c r="G5936" s="76" t="str">
        <f>IF(ISNUMBER(F5936),E5936*F5936,"")</f>
        <v/>
      </c>
      <c r="H5936" s="77"/>
      <c r="I5936" s="74"/>
      <c r="J5936" s="155">
        <v>0</v>
      </c>
    </row>
    <row r="5937" spans="1:10" ht="15.75" hidden="1" thickBot="1" x14ac:dyDescent="0.3">
      <c r="A5937" s="189" t="s">
        <v>6052</v>
      </c>
      <c r="B5937" s="186" t="str">
        <f>INDEX(Orçamentária!A:B,MATCH(Composições!A5937,Orçamentária!A:A,0),2)</f>
        <v>Tampão DN 600 Articulado D-400</v>
      </c>
      <c r="C5937" s="41"/>
      <c r="D5937" s="26" t="str">
        <f>TRIM(INDEX(Orçamentária!C:C,MATCH(Composições!A5937,Orçamentária!A:A,0),1))</f>
        <v>un</v>
      </c>
      <c r="E5937" s="27"/>
      <c r="F5937" s="49" t="s">
        <v>558</v>
      </c>
      <c r="G5937" s="28" t="str">
        <f>IF(ISNUMBER(F5937),E5937*F5937,"")</f>
        <v/>
      </c>
      <c r="H5937" s="29"/>
      <c r="I5937" s="30"/>
      <c r="J5937" s="155">
        <v>0</v>
      </c>
    </row>
    <row r="5938" spans="1:10" hidden="1" x14ac:dyDescent="0.25">
      <c r="A5938" s="195"/>
      <c r="B5938" s="187"/>
      <c r="C5938" s="169"/>
      <c r="D5938" s="169"/>
      <c r="E5938" s="170"/>
      <c r="F5938" s="54" t="s">
        <v>558</v>
      </c>
      <c r="G5938" s="54" t="str">
        <f>IF(ISNUMBER(F5938),E5938*F5938,"")</f>
        <v/>
      </c>
      <c r="H5938" s="73"/>
      <c r="I5938" s="74"/>
      <c r="J5938" s="155">
        <v>0</v>
      </c>
    </row>
    <row r="5939" spans="1:10" ht="25.5" hidden="1" x14ac:dyDescent="0.25">
      <c r="A5939" s="195"/>
      <c r="B5939" s="187"/>
      <c r="C5939" s="36" t="s">
        <v>3454</v>
      </c>
      <c r="D5939" s="162" t="s">
        <v>20</v>
      </c>
      <c r="E5939" s="163">
        <v>1</v>
      </c>
      <c r="F5939" s="31">
        <v>768.83499999999992</v>
      </c>
      <c r="G5939" s="54">
        <f>IF(ISNUMBER(F5939),E5939*F5939,"")</f>
        <v>768.83499999999992</v>
      </c>
      <c r="H5939" s="39">
        <f>SUM(G5939:G5939)</f>
        <v>768.83499999999992</v>
      </c>
      <c r="I5939" s="40"/>
      <c r="J5939" s="155">
        <v>0</v>
      </c>
    </row>
    <row r="5940" spans="1:10" ht="15.75" hidden="1" thickBot="1" x14ac:dyDescent="0.3">
      <c r="A5940" s="196"/>
      <c r="B5940" s="188"/>
      <c r="C5940" s="55"/>
      <c r="D5940" s="165"/>
      <c r="E5940" s="66"/>
      <c r="F5940" s="76" t="s">
        <v>558</v>
      </c>
      <c r="G5940" s="76" t="str">
        <f>IF(ISNUMBER(F5940),E5940*F5940,"")</f>
        <v/>
      </c>
      <c r="H5940" s="77"/>
      <c r="I5940" s="74"/>
      <c r="J5940" s="155">
        <v>0</v>
      </c>
    </row>
    <row r="5941" spans="1:10" ht="15.75" hidden="1" thickBot="1" x14ac:dyDescent="0.3">
      <c r="A5941" s="180" t="s">
        <v>6103</v>
      </c>
      <c r="B5941" s="186" t="str">
        <f>INDEX(Orçamentária!A:B,MATCH(Composições!A5941,Orçamentária!A:A,0),2)</f>
        <v>Solda exotérmica</v>
      </c>
      <c r="C5941" s="41"/>
      <c r="D5941" s="26" t="str">
        <f>TRIM(INDEX(Orçamentária!C:C,MATCH(Composições!A5941,Orçamentária!A:A,0),1))</f>
        <v>un</v>
      </c>
      <c r="E5941" s="27"/>
      <c r="F5941" s="49" t="s">
        <v>558</v>
      </c>
      <c r="G5941" s="28" t="str">
        <f>IF(ISNUMBER(F5941),E5941*F5941,"")</f>
        <v/>
      </c>
      <c r="H5941" s="29"/>
      <c r="I5941" s="30"/>
      <c r="J5941" s="155">
        <v>0</v>
      </c>
    </row>
    <row r="5942" spans="1:10" hidden="1" x14ac:dyDescent="0.25">
      <c r="A5942" s="181"/>
      <c r="B5942" s="187"/>
      <c r="C5942" s="169"/>
      <c r="D5942" s="169"/>
      <c r="E5942" s="170"/>
      <c r="F5942" s="54" t="s">
        <v>558</v>
      </c>
      <c r="G5942" s="54" t="str">
        <f>IF(ISNUMBER(F5942),E5942*F5942,"")</f>
        <v/>
      </c>
      <c r="H5942" s="73"/>
      <c r="I5942" s="74"/>
      <c r="J5942" s="155">
        <v>0</v>
      </c>
    </row>
    <row r="5943" spans="1:10" hidden="1" x14ac:dyDescent="0.25">
      <c r="A5943" s="181"/>
      <c r="B5943" s="187"/>
      <c r="C5943" s="36" t="s">
        <v>1214</v>
      </c>
      <c r="D5943" s="162" t="s">
        <v>12</v>
      </c>
      <c r="E5943" s="163">
        <v>0.08</v>
      </c>
      <c r="F5943" s="31">
        <v>22.895</v>
      </c>
      <c r="G5943" s="54">
        <f>IF(ISNUMBER(F5943),E5943*F5943,"")</f>
        <v>1.8315999999999999</v>
      </c>
      <c r="H5943" s="39">
        <f>SUM(G5943:G5947)</f>
        <v>3.1699599999999997</v>
      </c>
      <c r="I5943" s="40"/>
      <c r="J5943" s="155">
        <v>0</v>
      </c>
    </row>
    <row r="5944" spans="1:10" hidden="1" x14ac:dyDescent="0.25">
      <c r="A5944" s="181"/>
      <c r="B5944" s="187"/>
      <c r="C5944" s="36" t="s">
        <v>743</v>
      </c>
      <c r="D5944" s="162" t="s">
        <v>12</v>
      </c>
      <c r="E5944" s="163">
        <v>0.08</v>
      </c>
      <c r="F5944" s="31">
        <v>16.729499999999998</v>
      </c>
      <c r="G5944" s="54">
        <f>IF(ISNUMBER(F5944),E5944*F5944,"")</f>
        <v>1.3383599999999998</v>
      </c>
      <c r="H5944" s="44"/>
      <c r="I5944" s="40"/>
      <c r="J5944" s="155">
        <v>0</v>
      </c>
    </row>
    <row r="5945" spans="1:10" hidden="1" x14ac:dyDescent="0.25">
      <c r="A5945" s="181"/>
      <c r="B5945" s="187"/>
      <c r="C5945" s="36" t="s">
        <v>6486</v>
      </c>
      <c r="D5945" s="162" t="s">
        <v>20</v>
      </c>
      <c r="E5945" s="163">
        <v>1</v>
      </c>
      <c r="F5945" s="31">
        <v>0</v>
      </c>
      <c r="G5945" s="54">
        <f>IF(ISNUMBER(F5945),E5945*F5945,"")</f>
        <v>0</v>
      </c>
      <c r="H5945" s="44"/>
      <c r="I5945" s="40"/>
      <c r="J5945" s="155">
        <v>0</v>
      </c>
    </row>
    <row r="5946" spans="1:10" hidden="1" x14ac:dyDescent="0.25">
      <c r="A5946" s="181"/>
      <c r="B5946" s="187"/>
      <c r="C5946" s="36" t="s">
        <v>6487</v>
      </c>
      <c r="D5946" s="162" t="s">
        <v>20</v>
      </c>
      <c r="E5946" s="163">
        <v>1</v>
      </c>
      <c r="F5946" s="31">
        <v>0</v>
      </c>
      <c r="G5946" s="54">
        <f>IF(ISNUMBER(F5946),E5946*F5946,"")</f>
        <v>0</v>
      </c>
      <c r="H5946" s="44"/>
      <c r="I5946" s="40"/>
      <c r="J5946" s="155">
        <v>0</v>
      </c>
    </row>
    <row r="5947" spans="1:10" hidden="1" x14ac:dyDescent="0.25">
      <c r="A5947" s="181"/>
      <c r="B5947" s="187"/>
      <c r="C5947" s="36" t="s">
        <v>6488</v>
      </c>
      <c r="D5947" s="162" t="s">
        <v>20</v>
      </c>
      <c r="E5947" s="163">
        <v>0.04</v>
      </c>
      <c r="F5947" s="31">
        <v>0</v>
      </c>
      <c r="G5947" s="54">
        <f>IF(ISNUMBER(F5947),E5947*F5947,"")</f>
        <v>0</v>
      </c>
      <c r="H5947" s="44"/>
      <c r="I5947" s="40"/>
      <c r="J5947" s="155">
        <v>0</v>
      </c>
    </row>
    <row r="5948" spans="1:10" ht="15.75" hidden="1" thickBot="1" x14ac:dyDescent="0.3">
      <c r="A5948" s="182"/>
      <c r="B5948" s="188"/>
      <c r="C5948" s="36"/>
      <c r="D5948" s="162"/>
      <c r="E5948" s="163"/>
      <c r="F5948" s="31"/>
      <c r="G5948" s="54"/>
      <c r="H5948" s="44"/>
      <c r="I5948" s="40"/>
      <c r="J5948" s="155">
        <v>0</v>
      </c>
    </row>
    <row r="5949" spans="1:10" ht="15.75" hidden="1" thickBot="1" x14ac:dyDescent="0.3">
      <c r="A5949" s="189" t="s">
        <v>6113</v>
      </c>
      <c r="B5949" s="186" t="str">
        <f>INDEX(Orçamentária!A:B,MATCH(Composições!A5949,Orçamentária!A:A,0),2)</f>
        <v>Cone de sinalização</v>
      </c>
      <c r="C5949" s="41"/>
      <c r="D5949" s="26" t="str">
        <f>TRIM(INDEX(Orçamentária!C:C,MATCH(Composições!A5949,Orçamentária!A:A,0),1))</f>
        <v>un</v>
      </c>
      <c r="E5949" s="27"/>
      <c r="F5949" s="49" t="s">
        <v>558</v>
      </c>
      <c r="G5949" s="28" t="str">
        <f>IF(ISNUMBER(F5949),E5949*F5949,"")</f>
        <v/>
      </c>
      <c r="H5949" s="29"/>
      <c r="I5949" s="30"/>
      <c r="J5949" s="155">
        <v>0</v>
      </c>
    </row>
    <row r="5950" spans="1:10" hidden="1" x14ac:dyDescent="0.25">
      <c r="A5950" s="195"/>
      <c r="B5950" s="187"/>
      <c r="C5950" s="169"/>
      <c r="D5950" s="169"/>
      <c r="E5950" s="170"/>
      <c r="F5950" s="54" t="s">
        <v>558</v>
      </c>
      <c r="G5950" s="54" t="str">
        <f>IF(ISNUMBER(F5950),E5950*F5950,"")</f>
        <v/>
      </c>
      <c r="H5950" s="73"/>
      <c r="I5950" s="74"/>
      <c r="J5950" s="155">
        <v>0</v>
      </c>
    </row>
    <row r="5951" spans="1:10" ht="25.5" hidden="1" x14ac:dyDescent="0.25">
      <c r="A5951" s="195"/>
      <c r="B5951" s="187"/>
      <c r="C5951" s="36" t="s">
        <v>3355</v>
      </c>
      <c r="D5951" s="162" t="s">
        <v>20</v>
      </c>
      <c r="E5951" s="163">
        <v>1</v>
      </c>
      <c r="F5951" s="31">
        <v>54.91</v>
      </c>
      <c r="G5951" s="54">
        <f>IF(ISNUMBER(F5951),E5951*F5951,"")</f>
        <v>54.91</v>
      </c>
      <c r="H5951" s="39">
        <f>SUM(G5951:G5951)</f>
        <v>54.91</v>
      </c>
      <c r="I5951" s="40"/>
      <c r="J5951" s="155">
        <v>0</v>
      </c>
    </row>
    <row r="5952" spans="1:10" ht="15.75" hidden="1" thickBot="1" x14ac:dyDescent="0.3">
      <c r="A5952" s="196"/>
      <c r="B5952" s="188"/>
      <c r="C5952" s="55"/>
      <c r="D5952" s="165"/>
      <c r="E5952" s="66"/>
      <c r="F5952" s="76" t="s">
        <v>558</v>
      </c>
      <c r="G5952" s="76" t="str">
        <f>IF(ISNUMBER(F5952),E5952*F5952,"")</f>
        <v/>
      </c>
      <c r="H5952" s="77"/>
      <c r="I5952" s="74"/>
      <c r="J5952" s="155">
        <v>0</v>
      </c>
    </row>
    <row r="5953" spans="1:10" ht="15.75" hidden="1" thickBot="1" x14ac:dyDescent="0.3">
      <c r="A5953" s="189" t="s">
        <v>6223</v>
      </c>
      <c r="B5953" s="186" t="str">
        <f>INDEX(Orçamentária!A:B,MATCH(Composições!A5953,Orçamentária!A:A,0),2)</f>
        <v>Alicate crimpador com catraca para terminal RJ45</v>
      </c>
      <c r="C5953" s="41"/>
      <c r="D5953" s="26" t="str">
        <f>TRIM(INDEX(Orçamentária!C:C,MATCH(Composições!A5953,Orçamentária!A:A,0),1))</f>
        <v>un</v>
      </c>
      <c r="E5953" s="27"/>
      <c r="F5953" s="49" t="s">
        <v>558</v>
      </c>
      <c r="G5953" s="28" t="str">
        <f>IF(ISNUMBER(F5953),E5953*F5953,"")</f>
        <v/>
      </c>
      <c r="H5953" s="29"/>
      <c r="I5953" s="30"/>
      <c r="J5953" s="155">
        <v>0</v>
      </c>
    </row>
    <row r="5954" spans="1:10" hidden="1" x14ac:dyDescent="0.25">
      <c r="A5954" s="195"/>
      <c r="B5954" s="187"/>
      <c r="C5954" s="169"/>
      <c r="D5954" s="169"/>
      <c r="E5954" s="170"/>
      <c r="F5954" s="54" t="s">
        <v>558</v>
      </c>
      <c r="G5954" s="54" t="str">
        <f>IF(ISNUMBER(F5954),E5954*F5954,"")</f>
        <v/>
      </c>
      <c r="H5954" s="73"/>
      <c r="I5954" s="74"/>
      <c r="J5954" s="155">
        <v>0</v>
      </c>
    </row>
    <row r="5955" spans="1:10" hidden="1" x14ac:dyDescent="0.25">
      <c r="A5955" s="195"/>
      <c r="B5955" s="187"/>
      <c r="C5955" s="36" t="s">
        <v>3323</v>
      </c>
      <c r="D5955" s="162" t="s">
        <v>20</v>
      </c>
      <c r="E5955" s="163">
        <v>1</v>
      </c>
      <c r="F5955" s="31">
        <v>107.274</v>
      </c>
      <c r="G5955" s="54">
        <f>IF(ISNUMBER(F5955),E5955*F5955,"")</f>
        <v>107.274</v>
      </c>
      <c r="H5955" s="39">
        <f>SUM(G5955:G5955)</f>
        <v>107.274</v>
      </c>
      <c r="I5955" s="40"/>
      <c r="J5955" s="155">
        <v>0</v>
      </c>
    </row>
    <row r="5956" spans="1:10" ht="15.75" hidden="1" thickBot="1" x14ac:dyDescent="0.3">
      <c r="A5956" s="196"/>
      <c r="B5956" s="188"/>
      <c r="C5956" s="55"/>
      <c r="D5956" s="165"/>
      <c r="E5956" s="66"/>
      <c r="F5956" s="76" t="s">
        <v>558</v>
      </c>
      <c r="G5956" s="76" t="str">
        <f>IF(ISNUMBER(F5956),E5956*F5956,"")</f>
        <v/>
      </c>
      <c r="H5956" s="77"/>
      <c r="I5956" s="74"/>
      <c r="J5956" s="155">
        <v>0</v>
      </c>
    </row>
    <row r="5957" spans="1:10" ht="15.75" hidden="1" thickBot="1" x14ac:dyDescent="0.3">
      <c r="A5957" s="189" t="s">
        <v>6312</v>
      </c>
      <c r="B5957" s="186" t="str">
        <f>INDEX(Orçamentária!A:B,MATCH(Composições!A5957,Orçamentária!A:A,0),2)</f>
        <v>Protetor solar</v>
      </c>
      <c r="C5957" s="41"/>
      <c r="D5957" s="26" t="str">
        <f>TRIM(INDEX(Orçamentária!C:C,MATCH(Composições!A5957,Orçamentária!A:A,0),1))</f>
        <v>L</v>
      </c>
      <c r="E5957" s="27"/>
      <c r="F5957" s="49" t="s">
        <v>558</v>
      </c>
      <c r="G5957" s="28" t="str">
        <f>IF(ISNUMBER(F5957),E5957*F5957,"")</f>
        <v/>
      </c>
      <c r="H5957" s="29"/>
      <c r="I5957" s="30"/>
      <c r="J5957" s="155">
        <v>0</v>
      </c>
    </row>
    <row r="5958" spans="1:10" hidden="1" x14ac:dyDescent="0.25">
      <c r="A5958" s="195"/>
      <c r="B5958" s="187"/>
      <c r="C5958" s="169"/>
      <c r="D5958" s="169"/>
      <c r="E5958" s="170"/>
      <c r="F5958" s="54" t="s">
        <v>558</v>
      </c>
      <c r="G5958" s="54" t="str">
        <f>IF(ISNUMBER(F5958),E5958*F5958,"")</f>
        <v/>
      </c>
      <c r="H5958" s="73"/>
      <c r="I5958" s="74"/>
      <c r="J5958" s="155">
        <v>0</v>
      </c>
    </row>
    <row r="5959" spans="1:10" hidden="1" x14ac:dyDescent="0.25">
      <c r="A5959" s="195"/>
      <c r="B5959" s="187"/>
      <c r="C5959" s="36" t="s">
        <v>3440</v>
      </c>
      <c r="D5959" s="162" t="s">
        <v>20</v>
      </c>
      <c r="E5959" s="163">
        <v>0.5</v>
      </c>
      <c r="F5959" s="31">
        <v>223.51599999999999</v>
      </c>
      <c r="G5959" s="54">
        <f>IF(ISNUMBER(F5959),E5959*F5959,"")</f>
        <v>111.758</v>
      </c>
      <c r="H5959" s="39">
        <f>SUM(G5959:G5959)</f>
        <v>111.758</v>
      </c>
      <c r="I5959" s="40"/>
      <c r="J5959" s="155">
        <v>0</v>
      </c>
    </row>
    <row r="5960" spans="1:10" ht="15.75" hidden="1" thickBot="1" x14ac:dyDescent="0.3">
      <c r="A5960" s="196"/>
      <c r="B5960" s="188"/>
      <c r="C5960" s="55"/>
      <c r="D5960" s="165"/>
      <c r="E5960" s="66"/>
      <c r="F5960" s="76" t="s">
        <v>558</v>
      </c>
      <c r="G5960" s="76" t="str">
        <f>IF(ISNUMBER(F5960),E5960*F5960,"")</f>
        <v/>
      </c>
      <c r="H5960" s="77"/>
      <c r="I5960" s="74"/>
      <c r="J5960" s="155">
        <v>0</v>
      </c>
    </row>
    <row r="5961" spans="1:10" ht="15.75" hidden="1" thickBot="1" x14ac:dyDescent="0.3">
      <c r="A5961" s="189" t="s">
        <v>6314</v>
      </c>
      <c r="B5961" s="192" t="str">
        <f>INDEX(Orçamentária!A:B,MATCH(Composições!A5961,Orçamentária!A:A,0),2)</f>
        <v>Carpete em placa para o Bloco 2 (Interlegis) - fornecimento e instalação</v>
      </c>
      <c r="C5961" s="41"/>
      <c r="D5961" s="26" t="str">
        <f>TRIM(INDEX(Orçamentária!C:C,MATCH(Composições!A5961,Orçamentária!A:A,0),1))</f>
        <v>m2</v>
      </c>
      <c r="E5961" s="27"/>
      <c r="F5961" s="42" t="s">
        <v>558</v>
      </c>
      <c r="G5961" s="28" t="str">
        <f>IF(ISNUMBER(F5961),E5961*F5961,"")</f>
        <v/>
      </c>
      <c r="H5961" s="29"/>
      <c r="I5961" s="30"/>
      <c r="J5961" s="155">
        <v>0</v>
      </c>
    </row>
    <row r="5962" spans="1:10" hidden="1" x14ac:dyDescent="0.25">
      <c r="A5962" s="190"/>
      <c r="B5962" s="193"/>
      <c r="C5962" s="32"/>
      <c r="D5962" s="32"/>
      <c r="E5962" s="33"/>
      <c r="F5962" s="43" t="s">
        <v>558</v>
      </c>
      <c r="G5962" s="31" t="str">
        <f>IF(ISNUMBER(F5962),E5962*F5962,"")</f>
        <v/>
      </c>
      <c r="H5962" s="35"/>
      <c r="I5962" s="31"/>
      <c r="J5962" s="155">
        <v>0</v>
      </c>
    </row>
    <row r="5963" spans="1:10" hidden="1" x14ac:dyDescent="0.25">
      <c r="A5963" s="190"/>
      <c r="B5963" s="193"/>
      <c r="C5963" s="36" t="s">
        <v>750</v>
      </c>
      <c r="D5963" s="36" t="s">
        <v>742</v>
      </c>
      <c r="E5963" s="37">
        <f>0.1*1.3</f>
        <v>0.13</v>
      </c>
      <c r="F5963" s="31">
        <v>22.704999999999998</v>
      </c>
      <c r="G5963" s="34">
        <f>IF(ISNUMBER(F5963),E5963*F5963,"")</f>
        <v>2.9516499999999999</v>
      </c>
      <c r="H5963" s="39">
        <f>SUM(G5963:G5970)</f>
        <v>26.293135000000003</v>
      </c>
      <c r="I5963" s="40"/>
      <c r="J5963" s="155">
        <v>0</v>
      </c>
    </row>
    <row r="5964" spans="1:10" hidden="1" x14ac:dyDescent="0.25">
      <c r="A5964" s="190"/>
      <c r="B5964" s="193"/>
      <c r="C5964" s="36" t="s">
        <v>743</v>
      </c>
      <c r="D5964" s="36" t="s">
        <v>742</v>
      </c>
      <c r="E5964" s="37">
        <f>0.1*1.3</f>
        <v>0.13</v>
      </c>
      <c r="F5964" s="31">
        <v>16.729499999999998</v>
      </c>
      <c r="G5964" s="34">
        <f>IF(ISNUMBER(F5964),E5964*F5964,"")</f>
        <v>2.1748349999999999</v>
      </c>
      <c r="H5964" s="35"/>
      <c r="I5964" s="31"/>
      <c r="J5964" s="155">
        <v>0</v>
      </c>
    </row>
    <row r="5965" spans="1:10" hidden="1" x14ac:dyDescent="0.25">
      <c r="A5965" s="190"/>
      <c r="B5965" s="193"/>
      <c r="C5965" s="36" t="s">
        <v>6530</v>
      </c>
      <c r="D5965" s="36" t="s">
        <v>938</v>
      </c>
      <c r="E5965" s="37">
        <v>0.1</v>
      </c>
      <c r="F5965" s="34">
        <v>102.28</v>
      </c>
      <c r="G5965" s="31">
        <f>IF(ISNUMBER(F5965),E5965*F5965,"")</f>
        <v>10.228000000000002</v>
      </c>
      <c r="H5965" s="35"/>
      <c r="I5965" s="31"/>
      <c r="J5965" s="155">
        <v>0</v>
      </c>
    </row>
    <row r="5966" spans="1:10" ht="25.5" hidden="1" x14ac:dyDescent="0.25">
      <c r="A5966" s="190"/>
      <c r="B5966" s="193"/>
      <c r="C5966" s="36" t="s">
        <v>6531</v>
      </c>
      <c r="D5966" s="36" t="s">
        <v>95</v>
      </c>
      <c r="E5966" s="37">
        <v>1.1000000000000001</v>
      </c>
      <c r="F5966" s="31" t="s">
        <v>558</v>
      </c>
      <c r="G5966" s="34" t="str">
        <f>IF(ISNUMBER(F5966),E5966*F5966,"")</f>
        <v/>
      </c>
      <c r="H5966" s="35"/>
      <c r="I5966" s="40"/>
      <c r="J5966" s="155">
        <v>0</v>
      </c>
    </row>
    <row r="5967" spans="1:10" hidden="1" x14ac:dyDescent="0.25">
      <c r="A5967" s="190"/>
      <c r="B5967" s="193"/>
      <c r="C5967" s="36" t="s">
        <v>750</v>
      </c>
      <c r="D5967" s="36" t="s">
        <v>742</v>
      </c>
      <c r="E5967" s="37">
        <v>0.2</v>
      </c>
      <c r="F5967" s="31">
        <v>22.704999999999998</v>
      </c>
      <c r="G5967" s="34">
        <f>IF(ISNUMBER(F5967),E5967*F5967,"")</f>
        <v>4.5409999999999995</v>
      </c>
      <c r="H5967" s="35"/>
      <c r="I5967" s="31"/>
      <c r="J5967" s="155">
        <v>0</v>
      </c>
    </row>
    <row r="5968" spans="1:10" hidden="1" x14ac:dyDescent="0.25">
      <c r="A5968" s="190"/>
      <c r="B5968" s="193"/>
      <c r="C5968" s="36" t="s">
        <v>743</v>
      </c>
      <c r="D5968" s="36" t="s">
        <v>742</v>
      </c>
      <c r="E5968" s="37">
        <v>0.2</v>
      </c>
      <c r="F5968" s="34">
        <v>16.729499999999998</v>
      </c>
      <c r="G5968" s="31">
        <f>IF(ISNUMBER(F5968),E5968*F5968,"")</f>
        <v>3.3458999999999999</v>
      </c>
      <c r="H5968" s="35"/>
      <c r="I5968" s="31"/>
      <c r="J5968" s="155">
        <v>0</v>
      </c>
    </row>
    <row r="5969" spans="1:10" hidden="1" x14ac:dyDescent="0.25">
      <c r="A5969" s="190"/>
      <c r="B5969" s="193"/>
      <c r="C5969" s="36" t="s">
        <v>787</v>
      </c>
      <c r="D5969" s="36" t="s">
        <v>938</v>
      </c>
      <c r="E5969" s="37">
        <v>1.5</v>
      </c>
      <c r="F5969" s="31">
        <v>0.52249999999999996</v>
      </c>
      <c r="G5969" s="34">
        <f>IF(ISNUMBER(F5969),E5969*F5969,"")</f>
        <v>0.78374999999999995</v>
      </c>
      <c r="H5969" s="35"/>
      <c r="I5969" s="40"/>
      <c r="J5969" s="155">
        <v>0</v>
      </c>
    </row>
    <row r="5970" spans="1:10" hidden="1" x14ac:dyDescent="0.25">
      <c r="A5970" s="190"/>
      <c r="B5970" s="193"/>
      <c r="C5970" s="36" t="s">
        <v>1480</v>
      </c>
      <c r="D5970" s="36" t="s">
        <v>938</v>
      </c>
      <c r="E5970" s="37">
        <f>ROUND(E5969*0.1,2)</f>
        <v>0.15</v>
      </c>
      <c r="F5970" s="31">
        <v>15.12</v>
      </c>
      <c r="G5970" s="34">
        <f>IF(ISNUMBER(F5970),E5970*F5970,"")</f>
        <v>2.2679999999999998</v>
      </c>
      <c r="H5970" s="35"/>
      <c r="I5970" s="31"/>
      <c r="J5970" s="155">
        <v>0</v>
      </c>
    </row>
    <row r="5971" spans="1:10" ht="15.75" hidden="1" thickBot="1" x14ac:dyDescent="0.3">
      <c r="A5971" s="191"/>
      <c r="B5971" s="194"/>
      <c r="C5971" s="36"/>
      <c r="D5971" s="36"/>
      <c r="E5971" s="37"/>
      <c r="F5971" s="31" t="s">
        <v>558</v>
      </c>
      <c r="G5971" s="31" t="str">
        <f>IF(ISNUMBER(F5971),E5971*F5971,"")</f>
        <v/>
      </c>
      <c r="H5971" s="35"/>
      <c r="I5971" s="31"/>
      <c r="J5971" s="155">
        <v>0</v>
      </c>
    </row>
    <row r="5972" spans="1:10" ht="15.75" hidden="1" thickBot="1" x14ac:dyDescent="0.3">
      <c r="A5972" s="189" t="s">
        <v>6315</v>
      </c>
      <c r="B5972" s="192" t="str">
        <f>INDEX(Orçamentária!A:B,MATCH(Composições!A5972,Orçamentária!A:A,0),2)</f>
        <v>Carpete em rolo para o Bloco 2 (Interlegis) - fornecimento e instalação</v>
      </c>
      <c r="C5972" s="41"/>
      <c r="D5972" s="26" t="str">
        <f>TRIM(INDEX(Orçamentária!C:C,MATCH(Composições!A5972,Orçamentária!A:A,0),1))</f>
        <v>m2</v>
      </c>
      <c r="E5972" s="27"/>
      <c r="F5972" s="42" t="s">
        <v>558</v>
      </c>
      <c r="G5972" s="28" t="str">
        <f>IF(ISNUMBER(F5972),E5972*F5972,"")</f>
        <v/>
      </c>
      <c r="H5972" s="29"/>
      <c r="I5972" s="30"/>
      <c r="J5972" s="155">
        <v>0</v>
      </c>
    </row>
    <row r="5973" spans="1:10" hidden="1" x14ac:dyDescent="0.25">
      <c r="A5973" s="190"/>
      <c r="B5973" s="193"/>
      <c r="C5973" s="32"/>
      <c r="D5973" s="32"/>
      <c r="E5973" s="33"/>
      <c r="F5973" s="43" t="s">
        <v>558</v>
      </c>
      <c r="G5973" s="31" t="str">
        <f>IF(ISNUMBER(F5973),E5973*F5973,"")</f>
        <v/>
      </c>
      <c r="H5973" s="35"/>
      <c r="I5973" s="31"/>
      <c r="J5973" s="155">
        <v>0</v>
      </c>
    </row>
    <row r="5974" spans="1:10" hidden="1" x14ac:dyDescent="0.25">
      <c r="A5974" s="190"/>
      <c r="B5974" s="193"/>
      <c r="C5974" s="36" t="s">
        <v>750</v>
      </c>
      <c r="D5974" s="36" t="s">
        <v>742</v>
      </c>
      <c r="E5974" s="37">
        <v>0.1</v>
      </c>
      <c r="F5974" s="31">
        <v>22.704999999999998</v>
      </c>
      <c r="G5974" s="34">
        <f>IF(ISNUMBER(F5974),E5974*F5974,"")</f>
        <v>2.2704999999999997</v>
      </c>
      <c r="H5974" s="39">
        <f>SUM(G5974:G5981)</f>
        <v>25.110100000000003</v>
      </c>
      <c r="I5974" s="40"/>
      <c r="J5974" s="155">
        <v>0</v>
      </c>
    </row>
    <row r="5975" spans="1:10" hidden="1" x14ac:dyDescent="0.25">
      <c r="A5975" s="190"/>
      <c r="B5975" s="193"/>
      <c r="C5975" s="36" t="s">
        <v>743</v>
      </c>
      <c r="D5975" s="36" t="s">
        <v>742</v>
      </c>
      <c r="E5975" s="37">
        <v>0.1</v>
      </c>
      <c r="F5975" s="31">
        <v>16.729499999999998</v>
      </c>
      <c r="G5975" s="34">
        <f>IF(ISNUMBER(F5975),E5975*F5975,"")</f>
        <v>1.6729499999999999</v>
      </c>
      <c r="H5975" s="35"/>
      <c r="I5975" s="31"/>
      <c r="J5975" s="155">
        <v>0</v>
      </c>
    </row>
    <row r="5976" spans="1:10" hidden="1" x14ac:dyDescent="0.25">
      <c r="A5976" s="190"/>
      <c r="B5976" s="193"/>
      <c r="C5976" s="36" t="s">
        <v>6530</v>
      </c>
      <c r="D5976" s="36" t="s">
        <v>938</v>
      </c>
      <c r="E5976" s="37">
        <v>0.1</v>
      </c>
      <c r="F5976" s="34">
        <v>102.28</v>
      </c>
      <c r="G5976" s="31">
        <f>IF(ISNUMBER(F5976),E5976*F5976,"")</f>
        <v>10.228000000000002</v>
      </c>
      <c r="H5976" s="35"/>
      <c r="I5976" s="31"/>
      <c r="J5976" s="155">
        <v>0</v>
      </c>
    </row>
    <row r="5977" spans="1:10" ht="25.5" hidden="1" x14ac:dyDescent="0.25">
      <c r="A5977" s="190"/>
      <c r="B5977" s="193"/>
      <c r="C5977" s="36" t="s">
        <v>6532</v>
      </c>
      <c r="D5977" s="36" t="s">
        <v>95</v>
      </c>
      <c r="E5977" s="37">
        <v>1.1000000000000001</v>
      </c>
      <c r="F5977" s="31" t="s">
        <v>558</v>
      </c>
      <c r="G5977" s="34" t="str">
        <f>IF(ISNUMBER(F5977),E5977*F5977,"")</f>
        <v/>
      </c>
      <c r="H5977" s="35"/>
      <c r="I5977" s="40"/>
      <c r="J5977" s="155">
        <v>0</v>
      </c>
    </row>
    <row r="5978" spans="1:10" hidden="1" x14ac:dyDescent="0.25">
      <c r="A5978" s="190"/>
      <c r="B5978" s="193"/>
      <c r="C5978" s="36" t="s">
        <v>750</v>
      </c>
      <c r="D5978" s="36" t="s">
        <v>742</v>
      </c>
      <c r="E5978" s="37">
        <v>0.2</v>
      </c>
      <c r="F5978" s="31">
        <v>22.704999999999998</v>
      </c>
      <c r="G5978" s="34">
        <f>IF(ISNUMBER(F5978),E5978*F5978,"")</f>
        <v>4.5409999999999995</v>
      </c>
      <c r="H5978" s="35"/>
      <c r="I5978" s="31"/>
      <c r="J5978" s="155">
        <v>0</v>
      </c>
    </row>
    <row r="5979" spans="1:10" hidden="1" x14ac:dyDescent="0.25">
      <c r="A5979" s="190"/>
      <c r="B5979" s="193"/>
      <c r="C5979" s="36" t="s">
        <v>743</v>
      </c>
      <c r="D5979" s="36" t="s">
        <v>742</v>
      </c>
      <c r="E5979" s="37">
        <v>0.2</v>
      </c>
      <c r="F5979" s="34">
        <v>16.729499999999998</v>
      </c>
      <c r="G5979" s="31">
        <f>IF(ISNUMBER(F5979),E5979*F5979,"")</f>
        <v>3.3458999999999999</v>
      </c>
      <c r="H5979" s="35"/>
      <c r="I5979" s="31"/>
      <c r="J5979" s="155">
        <v>0</v>
      </c>
    </row>
    <row r="5980" spans="1:10" hidden="1" x14ac:dyDescent="0.25">
      <c r="A5980" s="190"/>
      <c r="B5980" s="193"/>
      <c r="C5980" s="36" t="s">
        <v>787</v>
      </c>
      <c r="D5980" s="36" t="s">
        <v>938</v>
      </c>
      <c r="E5980" s="37">
        <v>1.5</v>
      </c>
      <c r="F5980" s="31">
        <v>0.52249999999999996</v>
      </c>
      <c r="G5980" s="34">
        <f>IF(ISNUMBER(F5980),E5980*F5980,"")</f>
        <v>0.78374999999999995</v>
      </c>
      <c r="H5980" s="35"/>
      <c r="I5980" s="40"/>
      <c r="J5980" s="155">
        <v>0</v>
      </c>
    </row>
    <row r="5981" spans="1:10" hidden="1" x14ac:dyDescent="0.25">
      <c r="A5981" s="190"/>
      <c r="B5981" s="193"/>
      <c r="C5981" s="36" t="s">
        <v>1480</v>
      </c>
      <c r="D5981" s="36" t="s">
        <v>938</v>
      </c>
      <c r="E5981" s="37">
        <f>ROUND(E5980*0.1,2)</f>
        <v>0.15</v>
      </c>
      <c r="F5981" s="31">
        <v>15.12</v>
      </c>
      <c r="G5981" s="34">
        <f>IF(ISNUMBER(F5981),E5981*F5981,"")</f>
        <v>2.2679999999999998</v>
      </c>
      <c r="H5981" s="35"/>
      <c r="I5981" s="31"/>
      <c r="J5981" s="155">
        <v>0</v>
      </c>
    </row>
    <row r="5982" spans="1:10" ht="15.75" hidden="1" thickBot="1" x14ac:dyDescent="0.3">
      <c r="A5982" s="191"/>
      <c r="B5982" s="194"/>
      <c r="C5982" s="36"/>
      <c r="D5982" s="36"/>
      <c r="E5982" s="37"/>
      <c r="F5982" s="31" t="s">
        <v>558</v>
      </c>
      <c r="G5982" s="31" t="str">
        <f>IF(ISNUMBER(F5982),E5982*F5982,"")</f>
        <v/>
      </c>
      <c r="H5982" s="35"/>
      <c r="I5982" s="31"/>
      <c r="J5982" s="155">
        <v>0</v>
      </c>
    </row>
    <row r="5983" spans="1:10" ht="15.75" hidden="1" thickBot="1" x14ac:dyDescent="0.3">
      <c r="A5983" s="180" t="s">
        <v>6316</v>
      </c>
      <c r="B5983" s="186" t="str">
        <f>INDEX(Orçamentária!A:B,MATCH(Composições!A5983,Orçamentária!A:A,0),2)</f>
        <v>Corte em chapas metálicas</v>
      </c>
      <c r="C5983" s="41"/>
      <c r="D5983" s="26" t="str">
        <f>TRIM(INDEX(Orçamentária!C:C,MATCH(Composições!A5983,Orçamentária!A:A,0),1))</f>
        <v>m</v>
      </c>
      <c r="E5983" s="27"/>
      <c r="F5983" s="49" t="s">
        <v>558</v>
      </c>
      <c r="G5983" s="28" t="str">
        <f>IF(ISNUMBER(F5983),E5983*F5983,"")</f>
        <v/>
      </c>
      <c r="H5983" s="29"/>
      <c r="I5983" s="30"/>
      <c r="J5983" s="155">
        <v>0</v>
      </c>
    </row>
    <row r="5984" spans="1:10" hidden="1" x14ac:dyDescent="0.25">
      <c r="A5984" s="181"/>
      <c r="B5984" s="187"/>
      <c r="C5984" s="169"/>
      <c r="D5984" s="169"/>
      <c r="E5984" s="170"/>
      <c r="F5984" s="54" t="s">
        <v>558</v>
      </c>
      <c r="G5984" s="54" t="str">
        <f>IF(ISNUMBER(F5984),E5984*F5984,"")</f>
        <v/>
      </c>
      <c r="H5984" s="73"/>
      <c r="I5984" s="74"/>
      <c r="J5984" s="155">
        <v>0</v>
      </c>
    </row>
    <row r="5985" spans="1:10" ht="25.5" hidden="1" x14ac:dyDescent="0.25">
      <c r="A5985" s="181"/>
      <c r="B5985" s="187"/>
      <c r="C5985" s="36" t="s">
        <v>136</v>
      </c>
      <c r="D5985" s="162" t="s">
        <v>110</v>
      </c>
      <c r="E5985" s="163">
        <v>0.23</v>
      </c>
      <c r="F5985" s="31">
        <v>9.7089999999999996</v>
      </c>
      <c r="G5985" s="54">
        <f>IF(ISNUMBER(F5985),E5985*F5985,"")</f>
        <v>2.2330700000000001</v>
      </c>
      <c r="H5985" s="39">
        <f>SUM(G5985:G5988)</f>
        <v>9.6569903500000009</v>
      </c>
      <c r="I5985" s="40"/>
      <c r="J5985" s="155">
        <v>0</v>
      </c>
    </row>
    <row r="5986" spans="1:10" ht="25.5" hidden="1" x14ac:dyDescent="0.25">
      <c r="A5986" s="181"/>
      <c r="B5986" s="187"/>
      <c r="C5986" s="36" t="s">
        <v>132</v>
      </c>
      <c r="D5986" s="162" t="s">
        <v>42</v>
      </c>
      <c r="E5986" s="163">
        <v>3.2000000000000001E-2</v>
      </c>
      <c r="F5986" s="31">
        <v>44.336500000000001</v>
      </c>
      <c r="G5986" s="54">
        <f>IF(ISNUMBER(F5986),E5986*F5986,"")</f>
        <v>1.418768</v>
      </c>
      <c r="H5986" s="44"/>
      <c r="I5986" s="40"/>
      <c r="J5986" s="155">
        <v>0</v>
      </c>
    </row>
    <row r="5987" spans="1:10" hidden="1" x14ac:dyDescent="0.25">
      <c r="A5987" s="181"/>
      <c r="B5987" s="187"/>
      <c r="C5987" s="36" t="s">
        <v>654</v>
      </c>
      <c r="D5987" s="162" t="s">
        <v>742</v>
      </c>
      <c r="E5987" s="163">
        <v>9.2700000000000005E-2</v>
      </c>
      <c r="F5987" s="31">
        <v>18.344499999999996</v>
      </c>
      <c r="G5987" s="54">
        <f>IF(ISNUMBER(F5987),E5987*F5987,"")</f>
        <v>1.7005351499999997</v>
      </c>
      <c r="H5987" s="44"/>
      <c r="I5987" s="40"/>
      <c r="J5987" s="155">
        <v>0</v>
      </c>
    </row>
    <row r="5988" spans="1:10" hidden="1" x14ac:dyDescent="0.25">
      <c r="A5988" s="181"/>
      <c r="B5988" s="187"/>
      <c r="C5988" s="36" t="s">
        <v>3312</v>
      </c>
      <c r="D5988" s="162" t="s">
        <v>742</v>
      </c>
      <c r="E5988" s="163">
        <v>0.18540000000000001</v>
      </c>
      <c r="F5988" s="31">
        <v>23.218</v>
      </c>
      <c r="G5988" s="54">
        <f>IF(ISNUMBER(F5988),E5988*F5988,"")</f>
        <v>4.3046172</v>
      </c>
      <c r="H5988" s="44"/>
      <c r="I5988" s="40"/>
      <c r="J5988" s="155">
        <v>0</v>
      </c>
    </row>
    <row r="5989" spans="1:10" ht="15.75" hidden="1" thickBot="1" x14ac:dyDescent="0.3">
      <c r="A5989" s="182"/>
      <c r="B5989" s="188"/>
      <c r="C5989" s="36"/>
      <c r="D5989" s="162"/>
      <c r="E5989" s="163"/>
      <c r="F5989" s="31"/>
      <c r="G5989" s="54"/>
      <c r="H5989" s="44"/>
      <c r="I5989" s="40"/>
      <c r="J5989" s="155">
        <v>0</v>
      </c>
    </row>
    <row r="5990" spans="1:10" ht="15.75" hidden="1" thickBot="1" x14ac:dyDescent="0.3">
      <c r="A5990" s="180" t="s">
        <v>6317</v>
      </c>
      <c r="B5990" s="186" t="str">
        <f>INDEX(Orçamentária!A:B,MATCH(Composições!A5990,Orçamentária!A:A,0),2)</f>
        <v>Remoção de revestimento em chapa de alumínio ACM para aproveitamento</v>
      </c>
      <c r="C5990" s="41"/>
      <c r="D5990" s="26" t="str">
        <f>TRIM(INDEX(Orçamentária!C:C,MATCH(Composições!A5990,Orçamentária!A:A,0),1))</f>
        <v>m2</v>
      </c>
      <c r="E5990" s="27"/>
      <c r="F5990" s="49" t="s">
        <v>558</v>
      </c>
      <c r="G5990" s="28" t="str">
        <f>IF(ISNUMBER(F5990),E5990*F5990,"")</f>
        <v/>
      </c>
      <c r="H5990" s="29"/>
      <c r="I5990" s="30"/>
      <c r="J5990" s="155">
        <v>0</v>
      </c>
    </row>
    <row r="5991" spans="1:10" hidden="1" x14ac:dyDescent="0.25">
      <c r="A5991" s="181"/>
      <c r="B5991" s="187"/>
      <c r="C5991" s="169"/>
      <c r="D5991" s="169"/>
      <c r="E5991" s="170"/>
      <c r="F5991" s="54" t="s">
        <v>558</v>
      </c>
      <c r="G5991" s="54" t="str">
        <f>IF(ISNUMBER(F5991),E5991*F5991,"")</f>
        <v/>
      </c>
      <c r="H5991" s="73"/>
      <c r="I5991" s="74"/>
      <c r="J5991" s="155">
        <v>0</v>
      </c>
    </row>
    <row r="5992" spans="1:10" hidden="1" x14ac:dyDescent="0.25">
      <c r="A5992" s="181"/>
      <c r="B5992" s="187"/>
      <c r="C5992" s="36" t="s">
        <v>750</v>
      </c>
      <c r="D5992" s="36" t="s">
        <v>742</v>
      </c>
      <c r="E5992" s="37">
        <v>0.5</v>
      </c>
      <c r="F5992" s="31">
        <v>22.704999999999998</v>
      </c>
      <c r="G5992" s="34">
        <f>IF(ISNUMBER(F5992),E5992*F5992,"")</f>
        <v>11.352499999999999</v>
      </c>
      <c r="H5992" s="39">
        <f>SUM(G5992:G5993)</f>
        <v>28.081999999999997</v>
      </c>
      <c r="I5992" s="40"/>
      <c r="J5992" s="155">
        <v>0</v>
      </c>
    </row>
    <row r="5993" spans="1:10" hidden="1" x14ac:dyDescent="0.25">
      <c r="A5993" s="181"/>
      <c r="B5993" s="187"/>
      <c r="C5993" s="36" t="s">
        <v>743</v>
      </c>
      <c r="D5993" s="36" t="s">
        <v>742</v>
      </c>
      <c r="E5993" s="37">
        <v>1</v>
      </c>
      <c r="F5993" s="34">
        <v>16.729499999999998</v>
      </c>
      <c r="G5993" s="31">
        <f>IF(ISNUMBER(F5993),E5993*F5993,"")</f>
        <v>16.729499999999998</v>
      </c>
      <c r="H5993" s="44"/>
      <c r="I5993" s="40"/>
      <c r="J5993" s="155">
        <v>0</v>
      </c>
    </row>
    <row r="5994" spans="1:10" ht="15.75" hidden="1" thickBot="1" x14ac:dyDescent="0.3">
      <c r="A5994" s="182"/>
      <c r="B5994" s="188"/>
      <c r="C5994" s="36"/>
      <c r="D5994" s="162"/>
      <c r="E5994" s="163"/>
      <c r="F5994" s="31"/>
      <c r="G5994" s="54"/>
      <c r="H5994" s="44"/>
      <c r="I5994" s="40"/>
      <c r="J5994" s="155">
        <v>0</v>
      </c>
    </row>
    <row r="5995" spans="1:10" ht="15.75" hidden="1" thickBot="1" x14ac:dyDescent="0.3">
      <c r="A5995" s="180" t="s">
        <v>6318</v>
      </c>
      <c r="B5995" s="186" t="str">
        <f>INDEX(Orçamentária!A:B,MATCH(Composições!A5995,Orçamentária!A:A,0),2)</f>
        <v>Instalação de revestimento em chapa de alumínio ACM reaproveitado</v>
      </c>
      <c r="C5995" s="41"/>
      <c r="D5995" s="26" t="str">
        <f>TRIM(INDEX(Orçamentária!C:C,MATCH(Composições!A5995,Orçamentária!A:A,0),1))</f>
        <v>m2</v>
      </c>
      <c r="E5995" s="27"/>
      <c r="F5995" s="49" t="s">
        <v>558</v>
      </c>
      <c r="G5995" s="28" t="str">
        <f>IF(ISNUMBER(F5995),E5995*F5995,"")</f>
        <v/>
      </c>
      <c r="H5995" s="29"/>
      <c r="I5995" s="30"/>
      <c r="J5995" s="155">
        <v>0</v>
      </c>
    </row>
    <row r="5996" spans="1:10" hidden="1" x14ac:dyDescent="0.25">
      <c r="A5996" s="181"/>
      <c r="B5996" s="187"/>
      <c r="C5996" s="169"/>
      <c r="D5996" s="169"/>
      <c r="E5996" s="170"/>
      <c r="F5996" s="54" t="s">
        <v>558</v>
      </c>
      <c r="G5996" s="54" t="str">
        <f>IF(ISNUMBER(F5996),E5996*F5996,"")</f>
        <v/>
      </c>
      <c r="H5996" s="73"/>
      <c r="I5996" s="74"/>
      <c r="J5996" s="155">
        <v>0</v>
      </c>
    </row>
    <row r="5997" spans="1:10" hidden="1" x14ac:dyDescent="0.25">
      <c r="A5997" s="181"/>
      <c r="B5997" s="187"/>
      <c r="C5997" s="36" t="s">
        <v>750</v>
      </c>
      <c r="D5997" s="36" t="s">
        <v>742</v>
      </c>
      <c r="E5997" s="37">
        <v>1.5</v>
      </c>
      <c r="F5997" s="31">
        <v>22.704999999999998</v>
      </c>
      <c r="G5997" s="34">
        <f>IF(ISNUMBER(F5997),E5997*F5997,"")</f>
        <v>34.057499999999997</v>
      </c>
      <c r="H5997" s="39">
        <f>SUM(G5997:G5998)</f>
        <v>50.786999999999992</v>
      </c>
      <c r="I5997" s="40"/>
      <c r="J5997" s="155">
        <v>0</v>
      </c>
    </row>
    <row r="5998" spans="1:10" hidden="1" x14ac:dyDescent="0.25">
      <c r="A5998" s="181"/>
      <c r="B5998" s="187"/>
      <c r="C5998" s="36" t="s">
        <v>743</v>
      </c>
      <c r="D5998" s="36" t="s">
        <v>742</v>
      </c>
      <c r="E5998" s="37">
        <v>1</v>
      </c>
      <c r="F5998" s="34">
        <v>16.729499999999998</v>
      </c>
      <c r="G5998" s="31">
        <f>IF(ISNUMBER(F5998),E5998*F5998,"")</f>
        <v>16.729499999999998</v>
      </c>
      <c r="H5998" s="44"/>
      <c r="I5998" s="40"/>
      <c r="J5998" s="155">
        <v>0</v>
      </c>
    </row>
    <row r="5999" spans="1:10" ht="15.75" hidden="1" thickBot="1" x14ac:dyDescent="0.3">
      <c r="A5999" s="182"/>
      <c r="B5999" s="188"/>
      <c r="C5999" s="36"/>
      <c r="D5999" s="162"/>
      <c r="E5999" s="163"/>
      <c r="F5999" s="31"/>
      <c r="G5999" s="54"/>
      <c r="H5999" s="44"/>
      <c r="I5999" s="40"/>
      <c r="J5999" s="155">
        <v>0</v>
      </c>
    </row>
    <row r="6000" spans="1:10" ht="15.75" hidden="1" thickBot="1" x14ac:dyDescent="0.3">
      <c r="A6000" s="180" t="s">
        <v>6319</v>
      </c>
      <c r="B6000" s="186" t="str">
        <f>INDEX(Orçamentária!A:B,MATCH(Composições!A6000,Orçamentária!A:A,0),2)</f>
        <v>Graute industrializado, fck ≥ 100MPa</v>
      </c>
      <c r="C6000" s="41"/>
      <c r="D6000" s="26" t="str">
        <f>TRIM(INDEX(Orçamentária!C:C,MATCH(Composições!A6000,Orçamentária!A:A,0),1))</f>
        <v>m3</v>
      </c>
      <c r="E6000" s="27"/>
      <c r="F6000" s="49" t="s">
        <v>558</v>
      </c>
      <c r="G6000" s="28" t="str">
        <f>IF(ISNUMBER(F6000),E6000*F6000,"")</f>
        <v/>
      </c>
      <c r="H6000" s="29"/>
      <c r="I6000" s="30"/>
      <c r="J6000" s="155">
        <v>0</v>
      </c>
    </row>
    <row r="6001" spans="1:10" hidden="1" x14ac:dyDescent="0.25">
      <c r="A6001" s="181"/>
      <c r="B6001" s="187"/>
      <c r="C6001" s="169"/>
      <c r="D6001" s="169"/>
      <c r="E6001" s="170"/>
      <c r="F6001" s="54" t="s">
        <v>558</v>
      </c>
      <c r="G6001" s="54" t="str">
        <f>IF(ISNUMBER(F6001),E6001*F6001,"")</f>
        <v/>
      </c>
      <c r="H6001" s="73"/>
      <c r="I6001" s="74"/>
      <c r="J6001" s="155">
        <v>0</v>
      </c>
    </row>
    <row r="6002" spans="1:10" hidden="1" x14ac:dyDescent="0.25">
      <c r="A6002" s="181"/>
      <c r="B6002" s="187"/>
      <c r="C6002" s="36" t="s">
        <v>750</v>
      </c>
      <c r="D6002" s="162" t="s">
        <v>742</v>
      </c>
      <c r="E6002" s="163">
        <v>7.2382999999999997</v>
      </c>
      <c r="F6002" s="31">
        <v>22.704999999999998</v>
      </c>
      <c r="G6002" s="54">
        <f>IF(ISNUMBER(F6002),E6002*F6002,"")</f>
        <v>164.34560149999999</v>
      </c>
      <c r="H6002" s="39">
        <f>SUM(G6002:G6004)</f>
        <v>249.99562264999997</v>
      </c>
      <c r="I6002" s="40"/>
      <c r="J6002" s="155">
        <v>0</v>
      </c>
    </row>
    <row r="6003" spans="1:10" hidden="1" x14ac:dyDescent="0.25">
      <c r="A6003" s="181"/>
      <c r="B6003" s="187"/>
      <c r="C6003" s="36" t="s">
        <v>743</v>
      </c>
      <c r="D6003" s="162" t="s">
        <v>742</v>
      </c>
      <c r="E6003" s="163">
        <v>5.1196999999999999</v>
      </c>
      <c r="F6003" s="31">
        <v>16.729499999999998</v>
      </c>
      <c r="G6003" s="54">
        <f>IF(ISNUMBER(F6003),E6003*F6003,"")</f>
        <v>85.650021149999986</v>
      </c>
      <c r="H6003" s="44"/>
      <c r="I6003" s="40"/>
      <c r="J6003" s="155">
        <v>0</v>
      </c>
    </row>
    <row r="6004" spans="1:10" hidden="1" x14ac:dyDescent="0.25">
      <c r="A6004" s="181"/>
      <c r="B6004" s="187"/>
      <c r="C6004" s="36" t="s">
        <v>6533</v>
      </c>
      <c r="D6004" s="162" t="s">
        <v>42</v>
      </c>
      <c r="E6004" s="163">
        <f>1.203*2000</f>
        <v>2406</v>
      </c>
      <c r="F6004" s="31" t="s">
        <v>558</v>
      </c>
      <c r="G6004" s="54" t="str">
        <f>IF(ISNUMBER(F6004),E6004*F6004,"")</f>
        <v/>
      </c>
      <c r="H6004" s="44"/>
      <c r="I6004" s="40"/>
      <c r="J6004" s="155">
        <v>0</v>
      </c>
    </row>
    <row r="6005" spans="1:10" hidden="1" x14ac:dyDescent="0.25">
      <c r="A6005" s="181"/>
      <c r="B6005" s="187"/>
      <c r="C6005" s="36"/>
      <c r="D6005" s="162"/>
      <c r="E6005" s="163"/>
      <c r="F6005" s="31"/>
      <c r="G6005" s="54"/>
      <c r="H6005" s="44"/>
      <c r="I6005" s="40"/>
      <c r="J6005" s="155">
        <v>0</v>
      </c>
    </row>
    <row r="6006" spans="1:10" hidden="1" x14ac:dyDescent="0.25">
      <c r="A6006" s="181"/>
      <c r="B6006" s="187"/>
      <c r="C6006" s="2" t="s">
        <v>6534</v>
      </c>
      <c r="D6006" s="162"/>
      <c r="E6006" s="163"/>
      <c r="F6006" s="31"/>
      <c r="G6006" s="54"/>
      <c r="H6006" s="44"/>
      <c r="I6006" s="40"/>
      <c r="J6006" s="155">
        <v>0</v>
      </c>
    </row>
    <row r="6007" spans="1:10" ht="15.75" hidden="1" thickBot="1" x14ac:dyDescent="0.3">
      <c r="A6007" s="182"/>
      <c r="B6007" s="188"/>
      <c r="C6007" s="36"/>
      <c r="D6007" s="162"/>
      <c r="E6007" s="163"/>
      <c r="F6007" s="31"/>
      <c r="G6007" s="54"/>
      <c r="H6007" s="44"/>
      <c r="I6007" s="40"/>
      <c r="J6007" s="155">
        <v>0</v>
      </c>
    </row>
    <row r="6008" spans="1:10" ht="15.75" hidden="1" thickBot="1" x14ac:dyDescent="0.3">
      <c r="A6008" s="180" t="s">
        <v>6320</v>
      </c>
      <c r="B6008" s="186" t="str">
        <f>INDEX(Orçamentária!A:B,MATCH(Composições!A6008,Orçamentária!A:A,0),2)</f>
        <v>Armação de aço CA-25 bitola de 16mm</v>
      </c>
      <c r="C6008" s="41"/>
      <c r="D6008" s="26" t="str">
        <f>TRIM(INDEX(Orçamentária!C:C,MATCH(Composições!A6008,Orçamentária!A:A,0),1))</f>
        <v>kg</v>
      </c>
      <c r="E6008" s="27"/>
      <c r="F6008" s="49" t="s">
        <v>558</v>
      </c>
      <c r="G6008" s="28" t="str">
        <f>IF(ISNUMBER(F6008),E6008*F6008,"")</f>
        <v/>
      </c>
      <c r="H6008" s="29"/>
      <c r="I6008" s="30"/>
      <c r="J6008" s="155">
        <v>0</v>
      </c>
    </row>
    <row r="6009" spans="1:10" hidden="1" x14ac:dyDescent="0.25">
      <c r="A6009" s="181"/>
      <c r="B6009" s="187"/>
      <c r="C6009" s="169"/>
      <c r="D6009" s="169"/>
      <c r="E6009" s="170"/>
      <c r="F6009" s="54" t="s">
        <v>558</v>
      </c>
      <c r="G6009" s="54" t="str">
        <f>IF(ISNUMBER(F6009),E6009*F6009,"")</f>
        <v/>
      </c>
      <c r="H6009" s="73"/>
      <c r="I6009" s="74"/>
      <c r="J6009" s="155">
        <v>0</v>
      </c>
    </row>
    <row r="6010" spans="1:10" ht="38.25" hidden="1" x14ac:dyDescent="0.25">
      <c r="A6010" s="181"/>
      <c r="B6010" s="187"/>
      <c r="C6010" s="36" t="s">
        <v>939</v>
      </c>
      <c r="D6010" s="162" t="s">
        <v>292</v>
      </c>
      <c r="E6010" s="163">
        <v>0.21199999999999999</v>
      </c>
      <c r="F6010" s="31">
        <v>0.19949999999999998</v>
      </c>
      <c r="G6010" s="54">
        <f>IF(ISNUMBER(F6010),E6010*F6010,"")</f>
        <v>4.2293999999999998E-2</v>
      </c>
      <c r="H6010" s="39">
        <f>SUM(G6010:G6014)</f>
        <v>15.117023200000002</v>
      </c>
      <c r="I6010" s="40"/>
      <c r="J6010" s="155">
        <v>0</v>
      </c>
    </row>
    <row r="6011" spans="1:10" ht="25.5" hidden="1" x14ac:dyDescent="0.25">
      <c r="A6011" s="181"/>
      <c r="B6011" s="187"/>
      <c r="C6011" s="36" t="s">
        <v>3598</v>
      </c>
      <c r="D6011" s="162" t="s">
        <v>938</v>
      </c>
      <c r="E6011" s="163">
        <v>2.5000000000000001E-2</v>
      </c>
      <c r="F6011" s="31">
        <v>21.754999999999999</v>
      </c>
      <c r="G6011" s="54">
        <f>IF(ISNUMBER(F6011),E6011*F6011,"")</f>
        <v>0.543875</v>
      </c>
      <c r="H6011" s="44"/>
      <c r="I6011" s="40"/>
      <c r="J6011" s="155">
        <v>0</v>
      </c>
    </row>
    <row r="6012" spans="1:10" hidden="1" x14ac:dyDescent="0.25">
      <c r="A6012" s="181"/>
      <c r="B6012" s="187"/>
      <c r="C6012" s="36" t="s">
        <v>940</v>
      </c>
      <c r="D6012" s="162" t="s">
        <v>742</v>
      </c>
      <c r="E6012" s="163">
        <v>4.3E-3</v>
      </c>
      <c r="F6012" s="31">
        <v>17.518000000000001</v>
      </c>
      <c r="G6012" s="54">
        <f>IF(ISNUMBER(F6012),E6012*F6012,"")</f>
        <v>7.5327400000000003E-2</v>
      </c>
      <c r="H6012" s="44"/>
      <c r="I6012" s="40"/>
      <c r="J6012" s="155">
        <v>0</v>
      </c>
    </row>
    <row r="6013" spans="1:10" hidden="1" x14ac:dyDescent="0.25">
      <c r="A6013" s="181"/>
      <c r="B6013" s="187"/>
      <c r="C6013" s="36" t="s">
        <v>941</v>
      </c>
      <c r="D6013" s="162" t="s">
        <v>742</v>
      </c>
      <c r="E6013" s="163">
        <v>2.6100000000000002E-2</v>
      </c>
      <c r="F6013" s="31">
        <v>22.591000000000001</v>
      </c>
      <c r="G6013" s="54">
        <f>IF(ISNUMBER(F6013),E6013*F6013,"")</f>
        <v>0.58962510000000001</v>
      </c>
      <c r="H6013" s="44"/>
      <c r="I6013" s="40"/>
      <c r="J6013" s="155">
        <v>0</v>
      </c>
    </row>
    <row r="6014" spans="1:10" hidden="1" x14ac:dyDescent="0.25">
      <c r="A6014" s="181"/>
      <c r="B6014" s="187"/>
      <c r="C6014" s="36" t="s">
        <v>3286</v>
      </c>
      <c r="D6014" s="162" t="s">
        <v>938</v>
      </c>
      <c r="E6014" s="163">
        <v>1</v>
      </c>
      <c r="F6014" s="31">
        <v>13.865901700000002</v>
      </c>
      <c r="G6014" s="54">
        <f>IF(ISNUMBER(F6014),E6014*F6014,"")</f>
        <v>13.865901700000002</v>
      </c>
      <c r="H6014" s="44"/>
      <c r="I6014" s="40"/>
      <c r="J6014" s="155">
        <v>0</v>
      </c>
    </row>
    <row r="6015" spans="1:10" ht="15.75" hidden="1" thickBot="1" x14ac:dyDescent="0.3">
      <c r="A6015" s="182"/>
      <c r="B6015" s="188"/>
      <c r="C6015" s="36"/>
      <c r="D6015" s="162"/>
      <c r="E6015" s="163"/>
      <c r="F6015" s="31" t="s">
        <v>558</v>
      </c>
      <c r="G6015" s="54"/>
      <c r="H6015" s="44"/>
      <c r="I6015" s="40"/>
      <c r="J6015" s="155">
        <v>0</v>
      </c>
    </row>
    <row r="6016" spans="1:10" ht="15.75" hidden="1" thickBot="1" x14ac:dyDescent="0.3">
      <c r="A6016" s="180" t="s">
        <v>6321</v>
      </c>
      <c r="B6016" s="186" t="str">
        <f>INDEX(Orçamentária!A:B,MATCH(Composições!A6016,Orçamentária!A:A,0),2)</f>
        <v>Concreto virado em betoneira, fck = 20MPa</v>
      </c>
      <c r="C6016" s="41"/>
      <c r="D6016" s="26" t="str">
        <f>TRIM(INDEX(Orçamentária!C:C,MATCH(Composições!A6016,Orçamentária!A:A,0),1))</f>
        <v>m3</v>
      </c>
      <c r="E6016" s="27"/>
      <c r="F6016" s="49" t="s">
        <v>558</v>
      </c>
      <c r="G6016" s="28" t="str">
        <f>IF(ISNUMBER(F6016),E6016*F6016,"")</f>
        <v/>
      </c>
      <c r="H6016" s="29"/>
      <c r="I6016" s="30"/>
      <c r="J6016" s="155">
        <v>0</v>
      </c>
    </row>
    <row r="6017" spans="1:10" hidden="1" x14ac:dyDescent="0.25">
      <c r="A6017" s="181"/>
      <c r="B6017" s="187"/>
      <c r="C6017" s="169"/>
      <c r="D6017" s="169"/>
      <c r="E6017" s="170"/>
      <c r="F6017" s="54" t="s">
        <v>558</v>
      </c>
      <c r="G6017" s="54" t="str">
        <f>IF(ISNUMBER(F6017),E6017*F6017,"")</f>
        <v/>
      </c>
      <c r="H6017" s="73"/>
      <c r="I6017" s="74"/>
      <c r="J6017" s="155">
        <v>0</v>
      </c>
    </row>
    <row r="6018" spans="1:10" ht="25.5" hidden="1" x14ac:dyDescent="0.25">
      <c r="A6018" s="181"/>
      <c r="B6018" s="187"/>
      <c r="C6018" s="36" t="s">
        <v>3291</v>
      </c>
      <c r="D6018" s="162" t="s">
        <v>122</v>
      </c>
      <c r="E6018" s="163">
        <v>1.103</v>
      </c>
      <c r="F6018" s="31">
        <v>430.14854703559996</v>
      </c>
      <c r="G6018" s="54">
        <f>IF(ISNUMBER(F6018),E6018*F6018,"")</f>
        <v>474.45384738026672</v>
      </c>
      <c r="H6018" s="39">
        <f>SUM(G6018:G6023)</f>
        <v>724.10108888026684</v>
      </c>
      <c r="I6018" s="40"/>
      <c r="J6018" s="155">
        <v>0</v>
      </c>
    </row>
    <row r="6019" spans="1:10" hidden="1" x14ac:dyDescent="0.25">
      <c r="A6019" s="181"/>
      <c r="B6019" s="187"/>
      <c r="C6019" s="36" t="s">
        <v>1035</v>
      </c>
      <c r="D6019" s="162" t="s">
        <v>742</v>
      </c>
      <c r="E6019" s="163">
        <v>1.19</v>
      </c>
      <c r="F6019" s="31">
        <v>22.495999999999999</v>
      </c>
      <c r="G6019" s="54">
        <f>IF(ISNUMBER(F6019),E6019*F6019,"")</f>
        <v>26.770239999999998</v>
      </c>
      <c r="H6019" s="44"/>
      <c r="I6019" s="40"/>
      <c r="J6019" s="155">
        <v>0</v>
      </c>
    </row>
    <row r="6020" spans="1:10" hidden="1" x14ac:dyDescent="0.25">
      <c r="A6020" s="181"/>
      <c r="B6020" s="187"/>
      <c r="C6020" s="36" t="s">
        <v>750</v>
      </c>
      <c r="D6020" s="162" t="s">
        <v>742</v>
      </c>
      <c r="E6020" s="163">
        <v>3.5710000000000002</v>
      </c>
      <c r="F6020" s="31">
        <v>22.704999999999998</v>
      </c>
      <c r="G6020" s="54">
        <f>IF(ISNUMBER(F6020),E6020*F6020,"")</f>
        <v>81.079554999999999</v>
      </c>
      <c r="H6020" s="44"/>
      <c r="I6020" s="40"/>
      <c r="J6020" s="155">
        <v>0</v>
      </c>
    </row>
    <row r="6021" spans="1:10" hidden="1" x14ac:dyDescent="0.25">
      <c r="A6021" s="181"/>
      <c r="B6021" s="187"/>
      <c r="C6021" s="36" t="s">
        <v>743</v>
      </c>
      <c r="D6021" s="162" t="s">
        <v>742</v>
      </c>
      <c r="E6021" s="163">
        <v>8.407</v>
      </c>
      <c r="F6021" s="31">
        <v>16.729499999999998</v>
      </c>
      <c r="G6021" s="54">
        <f>IF(ISNUMBER(F6021),E6021*F6021,"")</f>
        <v>140.64490649999999</v>
      </c>
      <c r="H6021" s="44"/>
      <c r="I6021" s="40"/>
      <c r="J6021" s="155">
        <v>0</v>
      </c>
    </row>
    <row r="6022" spans="1:10" ht="25.5" hidden="1" x14ac:dyDescent="0.25">
      <c r="A6022" s="181"/>
      <c r="B6022" s="187"/>
      <c r="C6022" s="36" t="s">
        <v>1205</v>
      </c>
      <c r="D6022" s="162" t="s">
        <v>982</v>
      </c>
      <c r="E6022" s="163">
        <v>0.61499999999999999</v>
      </c>
      <c r="F6022" s="31">
        <v>1.5009999999999999</v>
      </c>
      <c r="G6022" s="54">
        <f>IF(ISNUMBER(F6022),E6022*F6022,"")</f>
        <v>0.92311499999999991</v>
      </c>
      <c r="H6022" s="44"/>
      <c r="I6022" s="40"/>
      <c r="J6022" s="155">
        <v>0</v>
      </c>
    </row>
    <row r="6023" spans="1:10" ht="25.5" hidden="1" x14ac:dyDescent="0.25">
      <c r="A6023" s="181"/>
      <c r="B6023" s="187"/>
      <c r="C6023" s="36" t="s">
        <v>1206</v>
      </c>
      <c r="D6023" s="162" t="s">
        <v>984</v>
      </c>
      <c r="E6023" s="163">
        <v>0.57499999999999996</v>
      </c>
      <c r="F6023" s="31">
        <v>0.39899999999999997</v>
      </c>
      <c r="G6023" s="54">
        <f>IF(ISNUMBER(F6023),E6023*F6023,"")</f>
        <v>0.22942499999999996</v>
      </c>
      <c r="H6023" s="44"/>
      <c r="I6023" s="40"/>
      <c r="J6023" s="155">
        <v>0</v>
      </c>
    </row>
    <row r="6024" spans="1:10" ht="15.75" hidden="1" thickBot="1" x14ac:dyDescent="0.3">
      <c r="A6024" s="182"/>
      <c r="B6024" s="188"/>
      <c r="C6024" s="36"/>
      <c r="D6024" s="162"/>
      <c r="E6024" s="163"/>
      <c r="F6024" s="31"/>
      <c r="G6024" s="54"/>
      <c r="H6024" s="44"/>
      <c r="I6024" s="40"/>
      <c r="J6024" s="155">
        <v>0</v>
      </c>
    </row>
    <row r="6025" spans="1:10" ht="15.75" hidden="1" thickBot="1" x14ac:dyDescent="0.3">
      <c r="A6025" s="180" t="s">
        <v>6322</v>
      </c>
      <c r="B6025" s="186" t="str">
        <f>INDEX(Orçamentária!A:B,MATCH(Composições!A6025,Orçamentária!A:A,0),2)</f>
        <v>Furo em concreto de até 40mm de diâmetro</v>
      </c>
      <c r="C6025" s="41"/>
      <c r="D6025" s="26" t="str">
        <f>TRIM(INDEX(Orçamentária!C:C,MATCH(Composições!A6025,Orçamentária!A:A,0),1))</f>
        <v>un</v>
      </c>
      <c r="E6025" s="27"/>
      <c r="F6025" s="49" t="s">
        <v>558</v>
      </c>
      <c r="G6025" s="28" t="str">
        <f>IF(ISNUMBER(F6025),E6025*F6025,"")</f>
        <v/>
      </c>
      <c r="H6025" s="29"/>
      <c r="I6025" s="30"/>
      <c r="J6025" s="155">
        <v>0</v>
      </c>
    </row>
    <row r="6026" spans="1:10" hidden="1" x14ac:dyDescent="0.25">
      <c r="A6026" s="181"/>
      <c r="B6026" s="187"/>
      <c r="C6026" s="169"/>
      <c r="D6026" s="169"/>
      <c r="E6026" s="170"/>
      <c r="F6026" s="54" t="s">
        <v>558</v>
      </c>
      <c r="G6026" s="54" t="str">
        <f>IF(ISNUMBER(F6026),E6026*F6026,"")</f>
        <v/>
      </c>
      <c r="H6026" s="73"/>
      <c r="I6026" s="74"/>
      <c r="J6026" s="155">
        <v>0</v>
      </c>
    </row>
    <row r="6027" spans="1:10" ht="25.5" hidden="1" x14ac:dyDescent="0.25">
      <c r="A6027" s="181"/>
      <c r="B6027" s="187"/>
      <c r="C6027" s="36" t="s">
        <v>1152</v>
      </c>
      <c r="D6027" s="162" t="s">
        <v>982</v>
      </c>
      <c r="E6027" s="163">
        <v>0.36699999999999999</v>
      </c>
      <c r="F6027" s="31">
        <v>21.127999999999997</v>
      </c>
      <c r="G6027" s="54">
        <f>IF(ISNUMBER(F6027),E6027*F6027,"")</f>
        <v>7.7539759999999989</v>
      </c>
      <c r="H6027" s="39">
        <f>SUM(G6027:G6030)</f>
        <v>52.680625500000005</v>
      </c>
      <c r="I6027" s="40"/>
      <c r="J6027" s="155">
        <v>0</v>
      </c>
    </row>
    <row r="6028" spans="1:10" ht="25.5" hidden="1" x14ac:dyDescent="0.25">
      <c r="A6028" s="181"/>
      <c r="B6028" s="187"/>
      <c r="C6028" s="36" t="s">
        <v>1153</v>
      </c>
      <c r="D6028" s="162" t="s">
        <v>984</v>
      </c>
      <c r="E6028" s="163">
        <v>0.80500000000000005</v>
      </c>
      <c r="F6028" s="31">
        <v>19.494</v>
      </c>
      <c r="G6028" s="54">
        <f>IF(ISNUMBER(F6028),E6028*F6028,"")</f>
        <v>15.692670000000001</v>
      </c>
      <c r="H6028" s="44"/>
      <c r="I6028" s="40"/>
      <c r="J6028" s="155">
        <v>0</v>
      </c>
    </row>
    <row r="6029" spans="1:10" ht="25.5" hidden="1" x14ac:dyDescent="0.25">
      <c r="A6029" s="181"/>
      <c r="B6029" s="187"/>
      <c r="C6029" s="36" t="s">
        <v>993</v>
      </c>
      <c r="D6029" s="162" t="s">
        <v>742</v>
      </c>
      <c r="E6029" s="163">
        <v>0.183</v>
      </c>
      <c r="F6029" s="31">
        <v>17.3185</v>
      </c>
      <c r="G6029" s="54">
        <f>IF(ISNUMBER(F6029),E6029*F6029,"")</f>
        <v>3.1692855</v>
      </c>
      <c r="H6029" s="44"/>
      <c r="I6029" s="40"/>
      <c r="J6029" s="155">
        <v>0</v>
      </c>
    </row>
    <row r="6030" spans="1:10" ht="25.5" hidden="1" x14ac:dyDescent="0.25">
      <c r="A6030" s="181"/>
      <c r="B6030" s="187"/>
      <c r="C6030" s="36" t="s">
        <v>994</v>
      </c>
      <c r="D6030" s="162" t="s">
        <v>742</v>
      </c>
      <c r="E6030" s="163">
        <v>1.1719999999999999</v>
      </c>
      <c r="F6030" s="31">
        <v>22.2395</v>
      </c>
      <c r="G6030" s="54">
        <f>IF(ISNUMBER(F6030),E6030*F6030,"")</f>
        <v>26.064693999999999</v>
      </c>
      <c r="H6030" s="44"/>
      <c r="I6030" s="40"/>
      <c r="J6030" s="155">
        <v>0</v>
      </c>
    </row>
    <row r="6031" spans="1:10" ht="15.75" hidden="1" thickBot="1" x14ac:dyDescent="0.3">
      <c r="A6031" s="182"/>
      <c r="B6031" s="188"/>
      <c r="C6031" s="36"/>
      <c r="D6031" s="162"/>
      <c r="E6031" s="163"/>
      <c r="F6031" s="31" t="s">
        <v>558</v>
      </c>
      <c r="G6031" s="54"/>
      <c r="H6031" s="44"/>
      <c r="I6031" s="40"/>
      <c r="J6031" s="155">
        <v>0</v>
      </c>
    </row>
    <row r="6032" spans="1:10" ht="15.75" hidden="1" thickBot="1" x14ac:dyDescent="0.3">
      <c r="A6032" s="180" t="s">
        <v>6323</v>
      </c>
      <c r="B6032" s="183" t="str">
        <f>INDEX(Orçamentária!A:B,MATCH(Composições!A6032,Orçamentária!A:A,0),2)</f>
        <v>Adesivo Estrutural Epóxi Bicomponente – fornecimento e aplicação</v>
      </c>
      <c r="C6032" s="41"/>
      <c r="D6032" s="26" t="str">
        <f>TRIM(INDEX(Orçamentária!C:C,MATCH(Composições!A6032,Orçamentária!A:A,0),1))</f>
        <v>m2</v>
      </c>
      <c r="E6032" s="27"/>
      <c r="F6032" s="49" t="s">
        <v>558</v>
      </c>
      <c r="G6032" s="28" t="str">
        <f>IF(ISNUMBER(F6032),E6032*F6032,"")</f>
        <v/>
      </c>
      <c r="H6032" s="29"/>
      <c r="I6032" s="30"/>
      <c r="J6032" s="155">
        <v>0</v>
      </c>
    </row>
    <row r="6033" spans="1:10" hidden="1" x14ac:dyDescent="0.25">
      <c r="A6033" s="181"/>
      <c r="B6033" s="184"/>
      <c r="C6033" s="169"/>
      <c r="D6033" s="169"/>
      <c r="E6033" s="170"/>
      <c r="F6033" s="54" t="s">
        <v>558</v>
      </c>
      <c r="G6033" s="54" t="str">
        <f>IF(ISNUMBER(F6033),E6033*F6033,"")</f>
        <v/>
      </c>
      <c r="H6033" s="73"/>
      <c r="I6033" s="74"/>
      <c r="J6033" s="155">
        <v>0</v>
      </c>
    </row>
    <row r="6034" spans="1:10" hidden="1" x14ac:dyDescent="0.25">
      <c r="A6034" s="181"/>
      <c r="B6034" s="184"/>
      <c r="C6034" s="36" t="s">
        <v>750</v>
      </c>
      <c r="D6034" s="162" t="s">
        <v>742</v>
      </c>
      <c r="E6034" s="163">
        <v>0.2</v>
      </c>
      <c r="F6034" s="31">
        <v>22.704999999999998</v>
      </c>
      <c r="G6034" s="54">
        <f>IF(ISNUMBER(F6034),E6034*F6034,"")</f>
        <v>4.5409999999999995</v>
      </c>
      <c r="H6034" s="39">
        <f>SUM(G6034:G6036)</f>
        <v>55.130399999999995</v>
      </c>
      <c r="I6034" s="40"/>
      <c r="J6034" s="155">
        <v>0</v>
      </c>
    </row>
    <row r="6035" spans="1:10" hidden="1" x14ac:dyDescent="0.25">
      <c r="A6035" s="181"/>
      <c r="B6035" s="184"/>
      <c r="C6035" s="36" t="s">
        <v>743</v>
      </c>
      <c r="D6035" s="162" t="s">
        <v>742</v>
      </c>
      <c r="E6035" s="163">
        <v>0.2</v>
      </c>
      <c r="F6035" s="31">
        <v>16.729499999999998</v>
      </c>
      <c r="G6035" s="54">
        <f>IF(ISNUMBER(F6035),E6035*F6035,"")</f>
        <v>3.3458999999999999</v>
      </c>
      <c r="H6035" s="44"/>
      <c r="I6035" s="40"/>
      <c r="J6035" s="155">
        <v>0</v>
      </c>
    </row>
    <row r="6036" spans="1:10" ht="25.5" hidden="1" x14ac:dyDescent="0.25">
      <c r="A6036" s="181"/>
      <c r="B6036" s="184"/>
      <c r="C6036" s="36" t="s">
        <v>3321</v>
      </c>
      <c r="D6036" s="162" t="s">
        <v>42</v>
      </c>
      <c r="E6036" s="163">
        <v>1</v>
      </c>
      <c r="F6036" s="31">
        <v>47.243499999999997</v>
      </c>
      <c r="G6036" s="54">
        <f>IF(ISNUMBER(F6036),E6036*F6036,"")</f>
        <v>47.243499999999997</v>
      </c>
      <c r="H6036" s="44"/>
      <c r="I6036" s="40"/>
      <c r="J6036" s="155">
        <v>0</v>
      </c>
    </row>
    <row r="6037" spans="1:10" ht="15.75" hidden="1" thickBot="1" x14ac:dyDescent="0.3">
      <c r="A6037" s="182"/>
      <c r="B6037" s="185"/>
      <c r="C6037" s="36"/>
      <c r="D6037" s="162"/>
      <c r="E6037" s="163"/>
      <c r="F6037" s="31" t="s">
        <v>558</v>
      </c>
      <c r="G6037" s="54"/>
      <c r="H6037" s="44"/>
      <c r="I6037" s="40"/>
      <c r="J6037" s="155">
        <v>0</v>
      </c>
    </row>
    <row r="6038" spans="1:10" ht="15.75" hidden="1" thickBot="1" x14ac:dyDescent="0.3">
      <c r="A6038" s="180" t="s">
        <v>6324</v>
      </c>
      <c r="B6038" s="186" t="str">
        <f>INDEX(Orçamentária!A:B,MATCH(Composições!A6038,Orçamentária!A:A,0),2)</f>
        <v>Estaca escavada manualmente de diâmetro 30cm</v>
      </c>
      <c r="C6038" s="41"/>
      <c r="D6038" s="26" t="str">
        <f>TRIM(INDEX(Orçamentária!C:C,MATCH(Composições!A6038,Orçamentária!A:A,0),1))</f>
        <v>m</v>
      </c>
      <c r="E6038" s="27"/>
      <c r="F6038" s="49" t="s">
        <v>558</v>
      </c>
      <c r="G6038" s="28" t="str">
        <f>IF(ISNUMBER(F6038),E6038*F6038,"")</f>
        <v/>
      </c>
      <c r="H6038" s="29"/>
      <c r="I6038" s="30"/>
      <c r="J6038" s="155">
        <v>0</v>
      </c>
    </row>
    <row r="6039" spans="1:10" hidden="1" x14ac:dyDescent="0.25">
      <c r="A6039" s="181"/>
      <c r="B6039" s="187"/>
      <c r="C6039" s="169"/>
      <c r="D6039" s="169"/>
      <c r="E6039" s="170"/>
      <c r="F6039" s="54" t="s">
        <v>558</v>
      </c>
      <c r="G6039" s="54" t="str">
        <f>IF(ISNUMBER(F6039),E6039*F6039,"")</f>
        <v/>
      </c>
      <c r="H6039" s="73"/>
      <c r="I6039" s="74"/>
      <c r="J6039" s="155">
        <v>0</v>
      </c>
    </row>
    <row r="6040" spans="1:10" hidden="1" x14ac:dyDescent="0.25">
      <c r="A6040" s="181"/>
      <c r="B6040" s="187"/>
      <c r="C6040" s="36" t="s">
        <v>750</v>
      </c>
      <c r="D6040" s="162" t="s">
        <v>742</v>
      </c>
      <c r="E6040" s="163">
        <v>1.103</v>
      </c>
      <c r="F6040" s="31">
        <v>22.704999999999998</v>
      </c>
      <c r="G6040" s="54">
        <f>IF(ISNUMBER(F6040),E6040*F6040,"")</f>
        <v>25.043614999999999</v>
      </c>
      <c r="H6040" s="39">
        <f>SUM(G6040:G6043)</f>
        <v>108.25547550006159</v>
      </c>
      <c r="I6040" s="40"/>
      <c r="J6040" s="155">
        <v>0</v>
      </c>
    </row>
    <row r="6041" spans="1:10" hidden="1" x14ac:dyDescent="0.25">
      <c r="A6041" s="181"/>
      <c r="B6041" s="187"/>
      <c r="C6041" s="36" t="s">
        <v>743</v>
      </c>
      <c r="D6041" s="162" t="s">
        <v>742</v>
      </c>
      <c r="E6041" s="163">
        <v>1.33</v>
      </c>
      <c r="F6041" s="31">
        <v>16.729499999999998</v>
      </c>
      <c r="G6041" s="54">
        <f>IF(ISNUMBER(F6041),E6041*F6041,"")</f>
        <v>22.250235</v>
      </c>
      <c r="H6041" s="44"/>
      <c r="I6041" s="40"/>
      <c r="J6041" s="155">
        <v>0</v>
      </c>
    </row>
    <row r="6042" spans="1:10" ht="25.5" hidden="1" x14ac:dyDescent="0.25">
      <c r="A6042" s="181"/>
      <c r="B6042" s="187"/>
      <c r="C6042" s="36" t="s">
        <v>975</v>
      </c>
      <c r="D6042" s="162" t="s">
        <v>938</v>
      </c>
      <c r="E6042" s="163">
        <v>2.1230000000000002</v>
      </c>
      <c r="F6042" s="31">
        <v>11.290085000000001</v>
      </c>
      <c r="G6042" s="54">
        <f>IF(ISNUMBER(F6042),E6042*F6042,"")</f>
        <v>23.968850455000005</v>
      </c>
      <c r="H6042" s="44"/>
      <c r="I6042" s="40"/>
      <c r="J6042" s="155">
        <v>0</v>
      </c>
    </row>
    <row r="6043" spans="1:10" ht="25.5" hidden="1" x14ac:dyDescent="0.25">
      <c r="A6043" s="181"/>
      <c r="B6043" s="187"/>
      <c r="C6043" s="36" t="s">
        <v>1115</v>
      </c>
      <c r="D6043" s="162" t="s">
        <v>122</v>
      </c>
      <c r="E6043" s="163">
        <v>8.5999999999999993E-2</v>
      </c>
      <c r="F6043" s="31">
        <v>430.14854703559996</v>
      </c>
      <c r="G6043" s="54">
        <f>IF(ISNUMBER(F6043),E6043*F6043,"")</f>
        <v>36.992775045061592</v>
      </c>
      <c r="H6043" s="44"/>
      <c r="I6043" s="40"/>
      <c r="J6043" s="155">
        <v>0</v>
      </c>
    </row>
    <row r="6044" spans="1:10" ht="15.75" hidden="1" thickBot="1" x14ac:dyDescent="0.3">
      <c r="A6044" s="182"/>
      <c r="B6044" s="188"/>
      <c r="C6044" s="36"/>
      <c r="D6044" s="162"/>
      <c r="E6044" s="163"/>
      <c r="F6044" s="31" t="s">
        <v>558</v>
      </c>
      <c r="G6044" s="54"/>
      <c r="H6044" s="44"/>
      <c r="I6044" s="40"/>
      <c r="J6044" s="155">
        <v>0</v>
      </c>
    </row>
    <row r="6045" spans="1:10" ht="15.75" hidden="1" thickBot="1" x14ac:dyDescent="0.3">
      <c r="A6045" s="180" t="s">
        <v>6325</v>
      </c>
      <c r="B6045" s="186" t="str">
        <f>INDEX(Orçamentária!A:B,MATCH(Composições!A6045,Orçamentária!A:A,0),2)</f>
        <v>Arrasamento mecânico de estacas de concreto armado com diâmetros de até 40cm</v>
      </c>
      <c r="C6045" s="41"/>
      <c r="D6045" s="26" t="str">
        <f>TRIM(INDEX(Orçamentária!C:C,MATCH(Composições!A6045,Orçamentária!A:A,0),1))</f>
        <v>un</v>
      </c>
      <c r="E6045" s="27"/>
      <c r="F6045" s="49" t="s">
        <v>558</v>
      </c>
      <c r="G6045" s="28" t="str">
        <f>IF(ISNUMBER(F6045),E6045*F6045,"")</f>
        <v/>
      </c>
      <c r="H6045" s="29"/>
      <c r="I6045" s="30"/>
      <c r="J6045" s="155">
        <v>0</v>
      </c>
    </row>
    <row r="6046" spans="1:10" hidden="1" x14ac:dyDescent="0.25">
      <c r="A6046" s="181"/>
      <c r="B6046" s="187"/>
      <c r="C6046" s="169"/>
      <c r="D6046" s="169"/>
      <c r="E6046" s="170"/>
      <c r="F6046" s="54" t="s">
        <v>558</v>
      </c>
      <c r="G6046" s="54" t="str">
        <f>IF(ISNUMBER(F6046),E6046*F6046,"")</f>
        <v/>
      </c>
      <c r="H6046" s="73"/>
      <c r="I6046" s="74"/>
      <c r="J6046" s="155">
        <v>0</v>
      </c>
    </row>
    <row r="6047" spans="1:10" hidden="1" x14ac:dyDescent="0.25">
      <c r="A6047" s="181"/>
      <c r="B6047" s="187"/>
      <c r="C6047" s="36" t="s">
        <v>743</v>
      </c>
      <c r="D6047" s="162" t="s">
        <v>742</v>
      </c>
      <c r="E6047" s="163">
        <v>0.32600000000000001</v>
      </c>
      <c r="F6047" s="31">
        <v>16.729499999999998</v>
      </c>
      <c r="G6047" s="54">
        <f>IF(ISNUMBER(F6047),E6047*F6047,"")</f>
        <v>5.4538169999999999</v>
      </c>
      <c r="H6047" s="39">
        <f>SUM(G6047:G6049)</f>
        <v>11.89115</v>
      </c>
      <c r="I6047" s="40"/>
      <c r="J6047" s="155">
        <v>0</v>
      </c>
    </row>
    <row r="6048" spans="1:10" ht="38.25" hidden="1" x14ac:dyDescent="0.25">
      <c r="A6048" s="181"/>
      <c r="B6048" s="187"/>
      <c r="C6048" s="36" t="s">
        <v>3274</v>
      </c>
      <c r="D6048" s="162" t="s">
        <v>982</v>
      </c>
      <c r="E6048" s="163">
        <v>0.18</v>
      </c>
      <c r="F6048" s="31">
        <v>20.282499999999999</v>
      </c>
      <c r="G6048" s="54">
        <f>IF(ISNUMBER(F6048),E6048*F6048,"")</f>
        <v>3.6508499999999997</v>
      </c>
      <c r="H6048" s="44"/>
      <c r="I6048" s="40"/>
      <c r="J6048" s="155">
        <v>0</v>
      </c>
    </row>
    <row r="6049" spans="1:10" ht="38.25" hidden="1" x14ac:dyDescent="0.25">
      <c r="A6049" s="181"/>
      <c r="B6049" s="187"/>
      <c r="C6049" s="36" t="s">
        <v>3279</v>
      </c>
      <c r="D6049" s="162" t="s">
        <v>984</v>
      </c>
      <c r="E6049" s="163">
        <v>0.14599999999999999</v>
      </c>
      <c r="F6049" s="31">
        <v>19.0855</v>
      </c>
      <c r="G6049" s="54">
        <f>IF(ISNUMBER(F6049),E6049*F6049,"")</f>
        <v>2.7864829999999996</v>
      </c>
      <c r="H6049" s="44"/>
      <c r="I6049" s="40"/>
      <c r="J6049" s="155">
        <v>0</v>
      </c>
    </row>
    <row r="6050" spans="1:10" ht="15.75" hidden="1" thickBot="1" x14ac:dyDescent="0.3">
      <c r="A6050" s="182"/>
      <c r="B6050" s="188"/>
      <c r="C6050" s="36"/>
      <c r="D6050" s="162"/>
      <c r="E6050" s="163"/>
      <c r="F6050" s="31" t="s">
        <v>558</v>
      </c>
      <c r="G6050" s="54"/>
      <c r="H6050" s="44"/>
      <c r="I6050" s="40"/>
      <c r="J6050" s="155">
        <v>0</v>
      </c>
    </row>
    <row r="6051" spans="1:10" ht="15.75" hidden="1" thickBot="1" x14ac:dyDescent="0.3">
      <c r="A6051" s="180" t="s">
        <v>6326</v>
      </c>
      <c r="B6051" s="186" t="str">
        <f>INDEX(Orçamentária!A:B,MATCH(Composições!A6051,Orçamentária!A:A,0),2)</f>
        <v>Quadro 400x300x200 mm – fornecimento e instalação</v>
      </c>
      <c r="C6051" s="41"/>
      <c r="D6051" s="26" t="str">
        <f>TRIM(INDEX(Orçamentária!C:C,MATCH(Composições!A6051,Orçamentária!A:A,0),1))</f>
        <v>un</v>
      </c>
      <c r="E6051" s="27"/>
      <c r="F6051" s="49" t="s">
        <v>558</v>
      </c>
      <c r="G6051" s="28" t="str">
        <f>IF(ISNUMBER(F6051),E6051*F6051,"")</f>
        <v/>
      </c>
      <c r="H6051" s="29"/>
      <c r="I6051" s="30"/>
      <c r="J6051" s="155">
        <v>0</v>
      </c>
    </row>
    <row r="6052" spans="1:10" hidden="1" x14ac:dyDescent="0.25">
      <c r="A6052" s="181"/>
      <c r="B6052" s="187"/>
      <c r="C6052" s="169"/>
      <c r="D6052" s="169"/>
      <c r="E6052" s="170"/>
      <c r="F6052" s="54" t="s">
        <v>558</v>
      </c>
      <c r="G6052" s="54" t="str">
        <f>IF(ISNUMBER(F6052),E6052*F6052,"")</f>
        <v/>
      </c>
      <c r="H6052" s="73"/>
      <c r="I6052" s="74"/>
      <c r="J6052" s="155">
        <v>0</v>
      </c>
    </row>
    <row r="6053" spans="1:10" ht="38.25" hidden="1" x14ac:dyDescent="0.25">
      <c r="A6053" s="181"/>
      <c r="B6053" s="187"/>
      <c r="C6053" s="36" t="s">
        <v>3442</v>
      </c>
      <c r="D6053" s="162" t="s">
        <v>292</v>
      </c>
      <c r="E6053" s="163">
        <v>1</v>
      </c>
      <c r="F6053" s="31" t="s">
        <v>558</v>
      </c>
      <c r="G6053" s="54" t="str">
        <f>IF(ISNUMBER(F6053),E6053*F6053,"")</f>
        <v/>
      </c>
      <c r="H6053" s="39">
        <f>SUM(G6053:G6055)</f>
        <v>61.995263399999999</v>
      </c>
      <c r="I6053" s="40"/>
      <c r="J6053" s="155">
        <v>0</v>
      </c>
    </row>
    <row r="6054" spans="1:10" hidden="1" x14ac:dyDescent="0.25">
      <c r="A6054" s="181"/>
      <c r="B6054" s="187"/>
      <c r="C6054" s="36" t="s">
        <v>1213</v>
      </c>
      <c r="D6054" s="162" t="s">
        <v>742</v>
      </c>
      <c r="E6054" s="163">
        <v>1.5233000000000001</v>
      </c>
      <c r="F6054" s="31">
        <v>17.802999999999997</v>
      </c>
      <c r="G6054" s="54">
        <f>IF(ISNUMBER(F6054),E6054*F6054,"")</f>
        <v>27.119309899999998</v>
      </c>
      <c r="H6054" s="44"/>
      <c r="I6054" s="40"/>
      <c r="J6054" s="155">
        <v>0</v>
      </c>
    </row>
    <row r="6055" spans="1:10" hidden="1" x14ac:dyDescent="0.25">
      <c r="A6055" s="181"/>
      <c r="B6055" s="187"/>
      <c r="C6055" s="36" t="s">
        <v>1214</v>
      </c>
      <c r="D6055" s="162" t="s">
        <v>742</v>
      </c>
      <c r="E6055" s="163">
        <v>1.5233000000000001</v>
      </c>
      <c r="F6055" s="31">
        <v>22.895</v>
      </c>
      <c r="G6055" s="54">
        <f>IF(ISNUMBER(F6055),E6055*F6055,"")</f>
        <v>34.875953500000001</v>
      </c>
      <c r="H6055" s="44"/>
      <c r="I6055" s="40"/>
      <c r="J6055" s="155">
        <v>0</v>
      </c>
    </row>
    <row r="6056" spans="1:10" ht="15.75" hidden="1" thickBot="1" x14ac:dyDescent="0.3">
      <c r="A6056" s="182"/>
      <c r="B6056" s="188"/>
      <c r="C6056" s="36"/>
      <c r="D6056" s="162"/>
      <c r="E6056" s="163"/>
      <c r="F6056" s="31" t="s">
        <v>558</v>
      </c>
      <c r="G6056" s="54"/>
      <c r="H6056" s="44"/>
      <c r="I6056" s="40"/>
      <c r="J6056" s="155">
        <v>0</v>
      </c>
    </row>
    <row r="6057" spans="1:10" ht="15.75" hidden="1" thickBot="1" x14ac:dyDescent="0.3">
      <c r="A6057" s="180" t="s">
        <v>6327</v>
      </c>
      <c r="B6057" s="186" t="str">
        <f>INDEX(Orçamentária!A:B,MATCH(Composições!A6057,Orçamentária!A:A,0),2)</f>
        <v>Concreto Usinado, fck = 25MPa</v>
      </c>
      <c r="C6057" s="41"/>
      <c r="D6057" s="26" t="str">
        <f>TRIM(INDEX(Orçamentária!C:C,MATCH(Composições!A6057,Orçamentária!A:A,0),1))</f>
        <v>m3</v>
      </c>
      <c r="E6057" s="27"/>
      <c r="F6057" s="49" t="s">
        <v>558</v>
      </c>
      <c r="G6057" s="28" t="str">
        <f>IF(ISNUMBER(F6057),E6057*F6057,"")</f>
        <v/>
      </c>
      <c r="H6057" s="29"/>
      <c r="I6057" s="30"/>
      <c r="J6057" s="155">
        <v>0</v>
      </c>
    </row>
    <row r="6058" spans="1:10" hidden="1" x14ac:dyDescent="0.25">
      <c r="A6058" s="181"/>
      <c r="B6058" s="187"/>
      <c r="C6058" s="169"/>
      <c r="D6058" s="169"/>
      <c r="E6058" s="170"/>
      <c r="F6058" s="54" t="s">
        <v>558</v>
      </c>
      <c r="G6058" s="54" t="str">
        <f>IF(ISNUMBER(F6058),E6058*F6058,"")</f>
        <v/>
      </c>
      <c r="H6058" s="73"/>
      <c r="I6058" s="74"/>
      <c r="J6058" s="155">
        <v>0</v>
      </c>
    </row>
    <row r="6059" spans="1:10" ht="38.25" hidden="1" x14ac:dyDescent="0.25">
      <c r="A6059" s="181"/>
      <c r="B6059" s="187"/>
      <c r="C6059" s="36" t="s">
        <v>3345</v>
      </c>
      <c r="D6059" s="162" t="s">
        <v>122</v>
      </c>
      <c r="E6059" s="163">
        <v>1.103</v>
      </c>
      <c r="F6059" s="31">
        <v>322.2115</v>
      </c>
      <c r="G6059" s="54">
        <f>IF(ISNUMBER(F6059),E6059*F6059,"")</f>
        <v>355.39928450000002</v>
      </c>
      <c r="H6059" s="39">
        <f>SUM(G6059:G6064)</f>
        <v>380.877724</v>
      </c>
      <c r="I6059" s="40"/>
      <c r="J6059" s="155">
        <v>0</v>
      </c>
    </row>
    <row r="6060" spans="1:10" hidden="1" x14ac:dyDescent="0.25">
      <c r="A6060" s="181"/>
      <c r="B6060" s="187"/>
      <c r="C6060" s="36" t="s">
        <v>1035</v>
      </c>
      <c r="D6060" s="162" t="s">
        <v>742</v>
      </c>
      <c r="E6060" s="163">
        <v>0.17399999999999999</v>
      </c>
      <c r="F6060" s="31">
        <v>22.495999999999999</v>
      </c>
      <c r="G6060" s="54">
        <f>IF(ISNUMBER(F6060),E6060*F6060,"")</f>
        <v>3.9143039999999996</v>
      </c>
      <c r="H6060" s="44"/>
      <c r="I6060" s="40"/>
      <c r="J6060" s="155">
        <v>0</v>
      </c>
    </row>
    <row r="6061" spans="1:10" hidden="1" x14ac:dyDescent="0.25">
      <c r="A6061" s="181"/>
      <c r="B6061" s="187"/>
      <c r="C6061" s="36" t="s">
        <v>750</v>
      </c>
      <c r="D6061" s="162" t="s">
        <v>742</v>
      </c>
      <c r="E6061" s="163">
        <v>0.17399999999999999</v>
      </c>
      <c r="F6061" s="31">
        <v>22.704999999999998</v>
      </c>
      <c r="G6061" s="54">
        <f>IF(ISNUMBER(F6061),E6061*F6061,"")</f>
        <v>3.9506699999999992</v>
      </c>
      <c r="H6061" s="44"/>
      <c r="I6061" s="40"/>
      <c r="J6061" s="155">
        <v>0</v>
      </c>
    </row>
    <row r="6062" spans="1:10" hidden="1" x14ac:dyDescent="0.25">
      <c r="A6062" s="181"/>
      <c r="B6062" s="187"/>
      <c r="C6062" s="36" t="s">
        <v>743</v>
      </c>
      <c r="D6062" s="162" t="s">
        <v>742</v>
      </c>
      <c r="E6062" s="163">
        <v>1.0449999999999999</v>
      </c>
      <c r="F6062" s="31">
        <v>16.729499999999998</v>
      </c>
      <c r="G6062" s="54">
        <f>IF(ISNUMBER(F6062),E6062*F6062,"")</f>
        <v>17.482327499999997</v>
      </c>
      <c r="H6062" s="44"/>
      <c r="I6062" s="40"/>
      <c r="J6062" s="155">
        <v>0</v>
      </c>
    </row>
    <row r="6063" spans="1:10" ht="25.5" hidden="1" x14ac:dyDescent="0.25">
      <c r="A6063" s="181"/>
      <c r="B6063" s="187"/>
      <c r="C6063" s="36" t="s">
        <v>1205</v>
      </c>
      <c r="D6063" s="162" t="s">
        <v>982</v>
      </c>
      <c r="E6063" s="163">
        <v>5.6000000000000001E-2</v>
      </c>
      <c r="F6063" s="31">
        <v>1.5009999999999999</v>
      </c>
      <c r="G6063" s="54">
        <f>IF(ISNUMBER(F6063),E6063*F6063,"")</f>
        <v>8.4055999999999992E-2</v>
      </c>
      <c r="H6063" s="44"/>
      <c r="I6063" s="40"/>
      <c r="J6063" s="155">
        <v>0</v>
      </c>
    </row>
    <row r="6064" spans="1:10" ht="25.5" hidden="1" x14ac:dyDescent="0.25">
      <c r="A6064" s="181"/>
      <c r="B6064" s="187"/>
      <c r="C6064" s="36" t="s">
        <v>1206</v>
      </c>
      <c r="D6064" s="162" t="s">
        <v>984</v>
      </c>
      <c r="E6064" s="163">
        <v>0.11799999999999999</v>
      </c>
      <c r="F6064" s="31">
        <v>0.39899999999999997</v>
      </c>
      <c r="G6064" s="54">
        <f>IF(ISNUMBER(F6064),E6064*F6064,"")</f>
        <v>4.7081999999999992E-2</v>
      </c>
      <c r="H6064" s="44"/>
      <c r="I6064" s="40"/>
      <c r="J6064" s="155">
        <v>0</v>
      </c>
    </row>
    <row r="6065" spans="1:10" ht="15.75" hidden="1" thickBot="1" x14ac:dyDescent="0.3">
      <c r="A6065" s="182"/>
      <c r="B6065" s="188"/>
      <c r="C6065" s="36"/>
      <c r="D6065" s="162"/>
      <c r="E6065" s="163"/>
      <c r="F6065" s="31" t="s">
        <v>558</v>
      </c>
      <c r="G6065" s="54"/>
      <c r="H6065" s="44"/>
      <c r="I6065" s="40"/>
      <c r="J6065" s="155">
        <v>0</v>
      </c>
    </row>
    <row r="6066" spans="1:10" ht="15.75" hidden="1" thickBot="1" x14ac:dyDescent="0.3">
      <c r="A6066" s="180" t="s">
        <v>6328</v>
      </c>
      <c r="B6066" s="186" t="str">
        <f>INDEX(Orçamentária!A:B,MATCH(Composições!A6066,Orçamentária!A:A,0),2)</f>
        <v>Estaca escavada mecanicamente - 40cm de diâmetro</v>
      </c>
      <c r="C6066" s="41"/>
      <c r="D6066" s="26" t="str">
        <f>TRIM(INDEX(Orçamentária!C:C,MATCH(Composições!A6066,Orçamentária!A:A,0),1))</f>
        <v>m</v>
      </c>
      <c r="E6066" s="27"/>
      <c r="F6066" s="49" t="s">
        <v>558</v>
      </c>
      <c r="G6066" s="28" t="str">
        <f>IF(ISNUMBER(F6066),E6066*F6066,"")</f>
        <v/>
      </c>
      <c r="H6066" s="29"/>
      <c r="I6066" s="30"/>
      <c r="J6066" s="155">
        <v>0</v>
      </c>
    </row>
    <row r="6067" spans="1:10" hidden="1" x14ac:dyDescent="0.25">
      <c r="A6067" s="181"/>
      <c r="B6067" s="187"/>
      <c r="C6067" s="169"/>
      <c r="D6067" s="169"/>
      <c r="E6067" s="170"/>
      <c r="F6067" s="54" t="s">
        <v>558</v>
      </c>
      <c r="G6067" s="54" t="str">
        <f>IF(ISNUMBER(F6067),E6067*F6067,"")</f>
        <v/>
      </c>
      <c r="H6067" s="73"/>
      <c r="I6067" s="74"/>
      <c r="J6067" s="155">
        <v>0</v>
      </c>
    </row>
    <row r="6068" spans="1:10" ht="38.25" hidden="1" x14ac:dyDescent="0.25">
      <c r="A6068" s="181"/>
      <c r="B6068" s="187"/>
      <c r="C6068" s="36" t="s">
        <v>3346</v>
      </c>
      <c r="D6068" s="162" t="s">
        <v>122</v>
      </c>
      <c r="E6068" s="163">
        <v>0.1426</v>
      </c>
      <c r="F6068" s="31">
        <v>308.87349999999998</v>
      </c>
      <c r="G6068" s="54">
        <f>IF(ISNUMBER(F6068),E6068*F6068,"")</f>
        <v>44.045361100000001</v>
      </c>
      <c r="H6068" s="39">
        <f>SUM(G6068:G6075)</f>
        <v>83.899700612740006</v>
      </c>
      <c r="I6068" s="40"/>
      <c r="J6068" s="155">
        <v>0</v>
      </c>
    </row>
    <row r="6069" spans="1:10" hidden="1" x14ac:dyDescent="0.25">
      <c r="A6069" s="181"/>
      <c r="B6069" s="187"/>
      <c r="C6069" s="36" t="s">
        <v>743</v>
      </c>
      <c r="D6069" s="162" t="s">
        <v>742</v>
      </c>
      <c r="E6069" s="163">
        <v>0.27950000000000003</v>
      </c>
      <c r="F6069" s="31">
        <v>16.729499999999998</v>
      </c>
      <c r="G6069" s="54">
        <f>IF(ISNUMBER(F6069),E6069*F6069,"")</f>
        <v>4.6758952499999999</v>
      </c>
      <c r="H6069" s="44"/>
      <c r="I6069" s="40"/>
      <c r="J6069" s="155">
        <v>0</v>
      </c>
    </row>
    <row r="6070" spans="1:10" ht="51" hidden="1" x14ac:dyDescent="0.25">
      <c r="A6070" s="181"/>
      <c r="B6070" s="187"/>
      <c r="C6070" s="36" t="s">
        <v>3272</v>
      </c>
      <c r="D6070" s="162" t="s">
        <v>982</v>
      </c>
      <c r="E6070" s="163">
        <v>3.4200000000000001E-2</v>
      </c>
      <c r="F6070" s="31">
        <v>269.79050000000001</v>
      </c>
      <c r="G6070" s="54">
        <f>IF(ISNUMBER(F6070),E6070*F6070,"")</f>
        <v>9.2268351000000006</v>
      </c>
      <c r="H6070" s="44"/>
      <c r="I6070" s="40"/>
      <c r="J6070" s="155">
        <v>0</v>
      </c>
    </row>
    <row r="6071" spans="1:10" ht="51" hidden="1" x14ac:dyDescent="0.25">
      <c r="A6071" s="181"/>
      <c r="B6071" s="187"/>
      <c r="C6071" s="36" t="s">
        <v>3278</v>
      </c>
      <c r="D6071" s="162" t="s">
        <v>984</v>
      </c>
      <c r="E6071" s="163">
        <v>6.1199999999999997E-2</v>
      </c>
      <c r="F6071" s="31">
        <v>107.122</v>
      </c>
      <c r="G6071" s="54">
        <f>IF(ISNUMBER(F6071),E6071*F6071,"")</f>
        <v>6.5558663999999993</v>
      </c>
      <c r="H6071" s="44"/>
      <c r="I6071" s="40"/>
      <c r="J6071" s="155">
        <v>0</v>
      </c>
    </row>
    <row r="6072" spans="1:10" ht="25.5" hidden="1" x14ac:dyDescent="0.25">
      <c r="A6072" s="181"/>
      <c r="B6072" s="187"/>
      <c r="C6072" s="36" t="s">
        <v>819</v>
      </c>
      <c r="D6072" s="162" t="s">
        <v>742</v>
      </c>
      <c r="E6072" s="163">
        <v>6.4000000000000003E-3</v>
      </c>
      <c r="F6072" s="31">
        <v>100.3295</v>
      </c>
      <c r="G6072" s="54">
        <f>IF(ISNUMBER(F6072),E6072*F6072,"")</f>
        <v>0.64210880000000004</v>
      </c>
      <c r="H6072" s="44"/>
      <c r="I6072" s="40"/>
      <c r="J6072" s="155">
        <v>0</v>
      </c>
    </row>
    <row r="6073" spans="1:10" ht="25.5" hidden="1" x14ac:dyDescent="0.25">
      <c r="A6073" s="181"/>
      <c r="B6073" s="187"/>
      <c r="C6073" s="36" t="s">
        <v>3287</v>
      </c>
      <c r="D6073" s="162" t="s">
        <v>938</v>
      </c>
      <c r="E6073" s="163">
        <v>1.3913</v>
      </c>
      <c r="F6073" s="31">
        <v>12.714710700000001</v>
      </c>
      <c r="G6073" s="54">
        <f>IF(ISNUMBER(F6073),E6073*F6073,"")</f>
        <v>17.689976996910001</v>
      </c>
      <c r="H6073" s="44"/>
      <c r="I6073" s="40"/>
      <c r="J6073" s="155">
        <v>0</v>
      </c>
    </row>
    <row r="6074" spans="1:10" ht="38.25" hidden="1" x14ac:dyDescent="0.25">
      <c r="A6074" s="181"/>
      <c r="B6074" s="187"/>
      <c r="C6074" s="36" t="s">
        <v>3615</v>
      </c>
      <c r="D6074" s="162" t="s">
        <v>1511</v>
      </c>
      <c r="E6074" s="163">
        <v>5.2400000000000002E-2</v>
      </c>
      <c r="F6074" s="31">
        <v>2.1846294999999998</v>
      </c>
      <c r="G6074" s="54">
        <f>IF(ISNUMBER(F6074),E6074*F6074,"")</f>
        <v>0.11447458579999999</v>
      </c>
      <c r="H6074" s="44"/>
      <c r="I6074" s="40"/>
      <c r="J6074" s="155">
        <v>0</v>
      </c>
    </row>
    <row r="6075" spans="1:10" ht="51" hidden="1" x14ac:dyDescent="0.25">
      <c r="A6075" s="181"/>
      <c r="B6075" s="187"/>
      <c r="C6075" s="36" t="s">
        <v>3617</v>
      </c>
      <c r="D6075" s="162" t="s">
        <v>122</v>
      </c>
      <c r="E6075" s="163">
        <v>0.15709999999999999</v>
      </c>
      <c r="F6075" s="31">
        <v>6.0418992999999999</v>
      </c>
      <c r="G6075" s="54">
        <f>IF(ISNUMBER(F6075),E6075*F6075,"")</f>
        <v>0.94918238002999988</v>
      </c>
      <c r="H6075" s="44"/>
      <c r="I6075" s="40"/>
      <c r="J6075" s="155">
        <v>0</v>
      </c>
    </row>
    <row r="6076" spans="1:10" ht="15.75" hidden="1" thickBot="1" x14ac:dyDescent="0.3">
      <c r="A6076" s="182"/>
      <c r="B6076" s="188"/>
      <c r="C6076" s="36"/>
      <c r="D6076" s="162"/>
      <c r="E6076" s="163"/>
      <c r="F6076" s="31" t="s">
        <v>558</v>
      </c>
      <c r="G6076" s="54"/>
      <c r="H6076" s="44"/>
      <c r="I6076" s="40"/>
      <c r="J6076" s="155">
        <v>0</v>
      </c>
    </row>
    <row r="6077" spans="1:10" ht="15.75" hidden="1" thickBot="1" x14ac:dyDescent="0.3">
      <c r="A6077" s="180" t="s">
        <v>6330</v>
      </c>
      <c r="B6077" s="186" t="str">
        <f>INDEX(Orçamentária!A:B,MATCH(Composições!A6077,Orçamentária!A:A,0),2)</f>
        <v>Armação de aço CA-60 bitolas de 5,0mm a 8,00mm</v>
      </c>
      <c r="C6077" s="41"/>
      <c r="D6077" s="26" t="str">
        <f>TRIM(INDEX(Orçamentária!C:C,MATCH(Composições!A6077,Orçamentária!A:A,0),1))</f>
        <v>kg</v>
      </c>
      <c r="E6077" s="27"/>
      <c r="F6077" s="49" t="s">
        <v>558</v>
      </c>
      <c r="G6077" s="28" t="str">
        <f>IF(ISNUMBER(F6077),E6077*F6077,"")</f>
        <v/>
      </c>
      <c r="H6077" s="29"/>
      <c r="I6077" s="30"/>
      <c r="J6077" s="155">
        <v>0</v>
      </c>
    </row>
    <row r="6078" spans="1:10" hidden="1" x14ac:dyDescent="0.25">
      <c r="A6078" s="181"/>
      <c r="B6078" s="187"/>
      <c r="C6078" s="169"/>
      <c r="D6078" s="169"/>
      <c r="E6078" s="170"/>
      <c r="F6078" s="54" t="s">
        <v>558</v>
      </c>
      <c r="G6078" s="54" t="str">
        <f>IF(ISNUMBER(F6078),E6078*F6078,"")</f>
        <v/>
      </c>
      <c r="H6078" s="73"/>
      <c r="I6078" s="74"/>
      <c r="J6078" s="155">
        <v>0</v>
      </c>
    </row>
    <row r="6079" spans="1:10" ht="38.25" hidden="1" x14ac:dyDescent="0.25">
      <c r="A6079" s="181"/>
      <c r="B6079" s="187"/>
      <c r="C6079" s="36" t="s">
        <v>939</v>
      </c>
      <c r="D6079" s="162" t="s">
        <v>292</v>
      </c>
      <c r="E6079" s="163">
        <v>1.333</v>
      </c>
      <c r="F6079" s="31">
        <v>0.19949999999999998</v>
      </c>
      <c r="G6079" s="54">
        <f>IF(ISNUMBER(F6079),E6079*F6079,"")</f>
        <v>0.26593349999999999</v>
      </c>
      <c r="H6079" s="39">
        <f>SUM(G6079:G6083)</f>
        <v>17.612291300000003</v>
      </c>
      <c r="I6079" s="40"/>
      <c r="J6079" s="155">
        <v>0</v>
      </c>
    </row>
    <row r="6080" spans="1:10" ht="25.5" hidden="1" x14ac:dyDescent="0.25">
      <c r="A6080" s="181"/>
      <c r="B6080" s="187"/>
      <c r="C6080" s="36" t="s">
        <v>3598</v>
      </c>
      <c r="D6080" s="162" t="s">
        <v>938</v>
      </c>
      <c r="E6080" s="163">
        <v>2.5000000000000001E-2</v>
      </c>
      <c r="F6080" s="31">
        <v>21.754999999999999</v>
      </c>
      <c r="G6080" s="54">
        <f>IF(ISNUMBER(F6080),E6080*F6080,"")</f>
        <v>0.543875</v>
      </c>
      <c r="H6080" s="44"/>
      <c r="I6080" s="40"/>
      <c r="J6080" s="155">
        <v>0</v>
      </c>
    </row>
    <row r="6081" spans="1:10" hidden="1" x14ac:dyDescent="0.25">
      <c r="A6081" s="181"/>
      <c r="B6081" s="187"/>
      <c r="C6081" s="36" t="s">
        <v>940</v>
      </c>
      <c r="D6081" s="162" t="s">
        <v>742</v>
      </c>
      <c r="E6081" s="163">
        <v>1.9099999999999999E-2</v>
      </c>
      <c r="F6081" s="31">
        <v>17.518000000000001</v>
      </c>
      <c r="G6081" s="54">
        <f>IF(ISNUMBER(F6081),E6081*F6081,"")</f>
        <v>0.3345938</v>
      </c>
      <c r="H6081" s="44"/>
      <c r="I6081" s="40"/>
      <c r="J6081" s="155">
        <v>0</v>
      </c>
    </row>
    <row r="6082" spans="1:10" hidden="1" x14ac:dyDescent="0.25">
      <c r="A6082" s="181"/>
      <c r="B6082" s="187"/>
      <c r="C6082" s="36" t="s">
        <v>941</v>
      </c>
      <c r="D6082" s="162" t="s">
        <v>742</v>
      </c>
      <c r="E6082" s="163">
        <v>0.1168</v>
      </c>
      <c r="F6082" s="31">
        <v>22.591000000000001</v>
      </c>
      <c r="G6082" s="54">
        <f>IF(ISNUMBER(F6082),E6082*F6082,"")</f>
        <v>2.6386288000000002</v>
      </c>
      <c r="H6082" s="44"/>
      <c r="I6082" s="40"/>
      <c r="J6082" s="155">
        <v>0</v>
      </c>
    </row>
    <row r="6083" spans="1:10" ht="25.5" hidden="1" x14ac:dyDescent="0.25">
      <c r="A6083" s="181"/>
      <c r="B6083" s="187"/>
      <c r="C6083" s="36" t="s">
        <v>3285</v>
      </c>
      <c r="D6083" s="162" t="s">
        <v>938</v>
      </c>
      <c r="E6083" s="163">
        <v>1</v>
      </c>
      <c r="F6083" s="31">
        <v>13.829260200000002</v>
      </c>
      <c r="G6083" s="54">
        <f>IF(ISNUMBER(F6083),E6083*F6083,"")</f>
        <v>13.829260200000002</v>
      </c>
      <c r="H6083" s="44"/>
      <c r="I6083" s="40"/>
      <c r="J6083" s="155">
        <v>0</v>
      </c>
    </row>
    <row r="6084" spans="1:10" ht="15.75" hidden="1" thickBot="1" x14ac:dyDescent="0.3">
      <c r="A6084" s="182"/>
      <c r="B6084" s="188"/>
      <c r="C6084" s="36"/>
      <c r="D6084" s="162"/>
      <c r="E6084" s="163"/>
      <c r="F6084" s="31" t="s">
        <v>558</v>
      </c>
      <c r="G6084" s="54"/>
      <c r="H6084" s="44"/>
      <c r="I6084" s="40"/>
      <c r="J6084" s="155">
        <v>0</v>
      </c>
    </row>
    <row r="6085" spans="1:10" ht="15.75" hidden="1" thickBot="1" x14ac:dyDescent="0.3">
      <c r="A6085" s="180" t="s">
        <v>6331</v>
      </c>
      <c r="B6085" s="186" t="str">
        <f>INDEX(Orçamentária!A:B,MATCH(Composições!A6085,Orçamentária!A:A,0),2)</f>
        <v>Pavimentação em concreto simples</v>
      </c>
      <c r="C6085" s="41"/>
      <c r="D6085" s="26" t="str">
        <f>TRIM(INDEX(Orçamentária!C:C,MATCH(Composições!A6085,Orçamentária!A:A,0),1))</f>
        <v>m2</v>
      </c>
      <c r="E6085" s="27"/>
      <c r="F6085" s="49" t="s">
        <v>558</v>
      </c>
      <c r="G6085" s="28" t="str">
        <f>IF(ISNUMBER(F6085),E6085*F6085,"")</f>
        <v/>
      </c>
      <c r="H6085" s="29"/>
      <c r="I6085" s="30"/>
      <c r="J6085" s="155">
        <v>0</v>
      </c>
    </row>
    <row r="6086" spans="1:10" hidden="1" x14ac:dyDescent="0.25">
      <c r="A6086" s="181"/>
      <c r="B6086" s="187"/>
      <c r="C6086" s="169"/>
      <c r="D6086" s="169"/>
      <c r="E6086" s="170"/>
      <c r="F6086" s="54" t="s">
        <v>558</v>
      </c>
      <c r="G6086" s="54" t="str">
        <f>IF(ISNUMBER(F6086),E6086*F6086,"")</f>
        <v/>
      </c>
      <c r="H6086" s="73"/>
      <c r="I6086" s="74"/>
      <c r="J6086" s="155">
        <v>0</v>
      </c>
    </row>
    <row r="6087" spans="1:10" ht="38.25" hidden="1" x14ac:dyDescent="0.25">
      <c r="A6087" s="181"/>
      <c r="B6087" s="187"/>
      <c r="C6087" s="36" t="s">
        <v>3344</v>
      </c>
      <c r="D6087" s="162" t="s">
        <v>122</v>
      </c>
      <c r="E6087" s="163">
        <v>8.14E-2</v>
      </c>
      <c r="F6087" s="31">
        <v>289.27499999999998</v>
      </c>
      <c r="G6087" s="54">
        <f>IF(ISNUMBER(F6087),E6087*F6087,"")</f>
        <v>23.546984999999999</v>
      </c>
      <c r="H6087" s="39">
        <f>SUM(G6087:G6091)</f>
        <v>58.321170699999996</v>
      </c>
      <c r="I6087" s="40"/>
      <c r="J6087" s="155">
        <v>0</v>
      </c>
    </row>
    <row r="6088" spans="1:10" ht="25.5" hidden="1" x14ac:dyDescent="0.25">
      <c r="A6088" s="181"/>
      <c r="B6088" s="187"/>
      <c r="C6088" s="36" t="s">
        <v>3401</v>
      </c>
      <c r="D6088" s="162" t="s">
        <v>938</v>
      </c>
      <c r="E6088" s="163">
        <v>4</v>
      </c>
      <c r="F6088" s="31">
        <v>7.8469999999999995</v>
      </c>
      <c r="G6088" s="54">
        <f>IF(ISNUMBER(F6088),E6088*F6088,"")</f>
        <v>31.387999999999998</v>
      </c>
      <c r="H6088" s="44"/>
      <c r="I6088" s="40"/>
      <c r="J6088" s="155">
        <v>0</v>
      </c>
    </row>
    <row r="6089" spans="1:10" hidden="1" x14ac:dyDescent="0.25">
      <c r="A6089" s="181"/>
      <c r="B6089" s="187"/>
      <c r="C6089" s="36" t="s">
        <v>750</v>
      </c>
      <c r="D6089" s="162" t="s">
        <v>742</v>
      </c>
      <c r="E6089" s="163">
        <v>0.1119</v>
      </c>
      <c r="F6089" s="31">
        <v>22.704999999999998</v>
      </c>
      <c r="G6089" s="54">
        <f>IF(ISNUMBER(F6089),E6089*F6089,"")</f>
        <v>2.5406894999999996</v>
      </c>
      <c r="H6089" s="44"/>
      <c r="I6089" s="40"/>
      <c r="J6089" s="155">
        <v>0</v>
      </c>
    </row>
    <row r="6090" spans="1:10" hidden="1" x14ac:dyDescent="0.25">
      <c r="A6090" s="181"/>
      <c r="B6090" s="187"/>
      <c r="C6090" s="36" t="s">
        <v>743</v>
      </c>
      <c r="D6090" s="162" t="s">
        <v>742</v>
      </c>
      <c r="E6090" s="163">
        <v>4.6600000000000003E-2</v>
      </c>
      <c r="F6090" s="31">
        <v>16.729499999999998</v>
      </c>
      <c r="G6090" s="54">
        <f>IF(ISNUMBER(F6090),E6090*F6090,"")</f>
        <v>0.77959469999999997</v>
      </c>
      <c r="H6090" s="44"/>
      <c r="I6090" s="40"/>
      <c r="J6090" s="155">
        <v>0</v>
      </c>
    </row>
    <row r="6091" spans="1:10" ht="25.5" hidden="1" x14ac:dyDescent="0.25">
      <c r="A6091" s="181"/>
      <c r="B6091" s="187"/>
      <c r="C6091" s="36" t="s">
        <v>3273</v>
      </c>
      <c r="D6091" s="162" t="s">
        <v>982</v>
      </c>
      <c r="E6091" s="163">
        <v>7.0000000000000001E-3</v>
      </c>
      <c r="F6091" s="31">
        <v>9.4145000000000003</v>
      </c>
      <c r="G6091" s="54">
        <f>IF(ISNUMBER(F6091),E6091*F6091,"")</f>
        <v>6.5901500000000002E-2</v>
      </c>
      <c r="H6091" s="44"/>
      <c r="I6091" s="40"/>
      <c r="J6091" s="155">
        <v>0</v>
      </c>
    </row>
    <row r="6092" spans="1:10" ht="15.75" hidden="1" thickBot="1" x14ac:dyDescent="0.3">
      <c r="A6092" s="182"/>
      <c r="B6092" s="188"/>
      <c r="C6092" s="36"/>
      <c r="D6092" s="162"/>
      <c r="E6092" s="163"/>
      <c r="F6092" s="31" t="s">
        <v>558</v>
      </c>
      <c r="G6092" s="54"/>
      <c r="H6092" s="44"/>
      <c r="I6092" s="40"/>
      <c r="J6092" s="155">
        <v>0</v>
      </c>
    </row>
    <row r="6093" spans="1:10" ht="15.75" hidden="1" thickBot="1" x14ac:dyDescent="0.3">
      <c r="A6093" s="180" t="s">
        <v>6332</v>
      </c>
      <c r="B6093" s="186" t="str">
        <f>INDEX(Orçamentária!A:B,MATCH(Composições!A6093,Orçamentária!A:A,0),2)</f>
        <v>Tubo PVC esgoto ou águas pluviais predial DN 150mm</v>
      </c>
      <c r="C6093" s="41"/>
      <c r="D6093" s="26" t="str">
        <f>TRIM(INDEX(Orçamentária!C:C,MATCH(Composições!A6093,Orçamentária!A:A,0),1))</f>
        <v>m</v>
      </c>
      <c r="E6093" s="27"/>
      <c r="F6093" s="49" t="s">
        <v>558</v>
      </c>
      <c r="G6093" s="28" t="str">
        <f>IF(ISNUMBER(F6093),E6093*F6093,"")</f>
        <v/>
      </c>
      <c r="H6093" s="29"/>
      <c r="I6093" s="30"/>
      <c r="J6093" s="155">
        <v>0</v>
      </c>
    </row>
    <row r="6094" spans="1:10" hidden="1" x14ac:dyDescent="0.25">
      <c r="A6094" s="181"/>
      <c r="B6094" s="187"/>
      <c r="C6094" s="169"/>
      <c r="D6094" s="169"/>
      <c r="E6094" s="170"/>
      <c r="F6094" s="54" t="s">
        <v>558</v>
      </c>
      <c r="G6094" s="54" t="str">
        <f>IF(ISNUMBER(F6094),E6094*F6094,"")</f>
        <v/>
      </c>
      <c r="H6094" s="73"/>
      <c r="I6094" s="74"/>
      <c r="J6094" s="155">
        <v>0</v>
      </c>
    </row>
    <row r="6095" spans="1:10" hidden="1" x14ac:dyDescent="0.25">
      <c r="A6095" s="181"/>
      <c r="B6095" s="187"/>
      <c r="C6095" s="36" t="s">
        <v>1405</v>
      </c>
      <c r="D6095" s="162" t="s">
        <v>292</v>
      </c>
      <c r="E6095" s="163">
        <v>6.1999999999999998E-3</v>
      </c>
      <c r="F6095" s="31">
        <v>75.515499999999989</v>
      </c>
      <c r="G6095" s="54">
        <f>IF(ISNUMBER(F6095),E6095*F6095,"")</f>
        <v>0.46819609999999989</v>
      </c>
      <c r="H6095" s="39">
        <f>SUM(G6095:G6100)</f>
        <v>76.82302679999998</v>
      </c>
      <c r="I6095" s="40"/>
      <c r="J6095" s="155">
        <v>0</v>
      </c>
    </row>
    <row r="6096" spans="1:10" ht="25.5" hidden="1" x14ac:dyDescent="0.25">
      <c r="A6096" s="181"/>
      <c r="B6096" s="187"/>
      <c r="C6096" s="36" t="s">
        <v>3847</v>
      </c>
      <c r="D6096" s="162" t="s">
        <v>513</v>
      </c>
      <c r="E6096" s="163">
        <v>1.04</v>
      </c>
      <c r="F6096" s="31">
        <v>65.853999999999985</v>
      </c>
      <c r="G6096" s="54">
        <f>IF(ISNUMBER(F6096),E6096*F6096,"")</f>
        <v>68.488159999999993</v>
      </c>
      <c r="H6096" s="44"/>
      <c r="I6096" s="40"/>
      <c r="J6096" s="155">
        <v>0</v>
      </c>
    </row>
    <row r="6097" spans="1:10" hidden="1" x14ac:dyDescent="0.25">
      <c r="A6097" s="181"/>
      <c r="B6097" s="187"/>
      <c r="C6097" s="36" t="s">
        <v>1406</v>
      </c>
      <c r="D6097" s="162" t="s">
        <v>292</v>
      </c>
      <c r="E6097" s="163">
        <v>1.0200000000000001E-2</v>
      </c>
      <c r="F6097" s="31">
        <v>65.578499999999991</v>
      </c>
      <c r="G6097" s="54">
        <f>IF(ISNUMBER(F6097),E6097*F6097,"")</f>
        <v>0.6689006999999999</v>
      </c>
      <c r="H6097" s="44"/>
      <c r="I6097" s="40"/>
      <c r="J6097" s="155">
        <v>0</v>
      </c>
    </row>
    <row r="6098" spans="1:10" hidden="1" x14ac:dyDescent="0.25">
      <c r="A6098" s="181"/>
      <c r="B6098" s="187"/>
      <c r="C6098" s="36" t="s">
        <v>1248</v>
      </c>
      <c r="D6098" s="162" t="s">
        <v>292</v>
      </c>
      <c r="E6098" s="163">
        <v>3.6999999999999998E-2</v>
      </c>
      <c r="F6098" s="31">
        <v>2.09</v>
      </c>
      <c r="G6098" s="54">
        <f>IF(ISNUMBER(F6098),E6098*F6098,"")</f>
        <v>7.7329999999999996E-2</v>
      </c>
      <c r="H6098" s="44"/>
      <c r="I6098" s="40"/>
      <c r="J6098" s="155">
        <v>0</v>
      </c>
    </row>
    <row r="6099" spans="1:10" ht="25.5" hidden="1" x14ac:dyDescent="0.25">
      <c r="A6099" s="181"/>
      <c r="B6099" s="187"/>
      <c r="C6099" s="36" t="s">
        <v>993</v>
      </c>
      <c r="D6099" s="162" t="s">
        <v>742</v>
      </c>
      <c r="E6099" s="163">
        <v>0.18</v>
      </c>
      <c r="F6099" s="31">
        <v>17.3185</v>
      </c>
      <c r="G6099" s="54">
        <f>IF(ISNUMBER(F6099),E6099*F6099,"")</f>
        <v>3.1173299999999999</v>
      </c>
      <c r="H6099" s="44"/>
      <c r="I6099" s="40"/>
      <c r="J6099" s="155">
        <v>0</v>
      </c>
    </row>
    <row r="6100" spans="1:10" ht="25.5" hidden="1" x14ac:dyDescent="0.25">
      <c r="A6100" s="181"/>
      <c r="B6100" s="187"/>
      <c r="C6100" s="36" t="s">
        <v>994</v>
      </c>
      <c r="D6100" s="162" t="s">
        <v>742</v>
      </c>
      <c r="E6100" s="163">
        <v>0.18</v>
      </c>
      <c r="F6100" s="31">
        <v>22.2395</v>
      </c>
      <c r="G6100" s="54">
        <f>IF(ISNUMBER(F6100),E6100*F6100,"")</f>
        <v>4.0031099999999995</v>
      </c>
      <c r="H6100" s="44"/>
      <c r="I6100" s="40"/>
      <c r="J6100" s="155">
        <v>0</v>
      </c>
    </row>
    <row r="6101" spans="1:10" ht="15.75" hidden="1" thickBot="1" x14ac:dyDescent="0.3">
      <c r="A6101" s="182"/>
      <c r="B6101" s="188"/>
      <c r="C6101" s="36"/>
      <c r="D6101" s="162"/>
      <c r="E6101" s="163"/>
      <c r="F6101" s="31" t="s">
        <v>558</v>
      </c>
      <c r="G6101" s="54"/>
      <c r="H6101" s="44"/>
      <c r="I6101" s="40"/>
      <c r="J6101" s="155">
        <v>0</v>
      </c>
    </row>
    <row r="6102" spans="1:10" ht="15.75" hidden="1" thickBot="1" x14ac:dyDescent="0.3">
      <c r="A6102" s="180" t="s">
        <v>6333</v>
      </c>
      <c r="B6102" s="192" t="str">
        <f>INDEX(Orçamentária!A:B,MATCH(Composições!A6102,Orçamentária!A:A,0),2)</f>
        <v>Alvenaria Estrutural</v>
      </c>
      <c r="C6102" s="41"/>
      <c r="D6102" s="26" t="str">
        <f>TRIM(INDEX(Orçamentária!C:C,MATCH(Composições!A6102,Orçamentária!A:A,0),1))</f>
        <v>m2</v>
      </c>
      <c r="E6102" s="27"/>
      <c r="F6102" s="49" t="s">
        <v>558</v>
      </c>
      <c r="G6102" s="28" t="str">
        <f>IF(ISNUMBER(F6102),E6102*F6102,"")</f>
        <v/>
      </c>
      <c r="H6102" s="29"/>
      <c r="I6102" s="30"/>
      <c r="J6102" s="155">
        <v>0</v>
      </c>
    </row>
    <row r="6103" spans="1:10" hidden="1" x14ac:dyDescent="0.25">
      <c r="A6103" s="181"/>
      <c r="B6103" s="193"/>
      <c r="C6103" s="169"/>
      <c r="D6103" s="169"/>
      <c r="E6103" s="170"/>
      <c r="F6103" s="54" t="s">
        <v>558</v>
      </c>
      <c r="G6103" s="54" t="str">
        <f>IF(ISNUMBER(F6103),E6103*F6103,"")</f>
        <v/>
      </c>
      <c r="H6103" s="73"/>
      <c r="I6103" s="74"/>
      <c r="J6103" s="155">
        <v>0</v>
      </c>
    </row>
    <row r="6104" spans="1:10" ht="25.5" hidden="1" x14ac:dyDescent="0.25">
      <c r="A6104" s="181"/>
      <c r="B6104" s="193"/>
      <c r="C6104" s="36" t="s">
        <v>3602</v>
      </c>
      <c r="D6104" s="162" t="s">
        <v>292</v>
      </c>
      <c r="E6104" s="163">
        <v>10.220000000000001</v>
      </c>
      <c r="F6104" s="31">
        <v>3.306</v>
      </c>
      <c r="G6104" s="54">
        <f>IF(ISNUMBER(F6104),E6104*F6104,"")</f>
        <v>33.787320000000001</v>
      </c>
      <c r="H6104" s="39">
        <f>SUM(G6104:G6111)</f>
        <v>72.654498981402796</v>
      </c>
      <c r="I6104" s="40"/>
      <c r="J6104" s="155">
        <v>0</v>
      </c>
    </row>
    <row r="6105" spans="1:10" ht="25.5" hidden="1" x14ac:dyDescent="0.25">
      <c r="A6105" s="181"/>
      <c r="B6105" s="193"/>
      <c r="C6105" s="36" t="s">
        <v>3456</v>
      </c>
      <c r="D6105" s="162" t="s">
        <v>513</v>
      </c>
      <c r="E6105" s="163">
        <v>0.87</v>
      </c>
      <c r="F6105" s="31">
        <v>6.8019999999999996</v>
      </c>
      <c r="G6105" s="54">
        <f>IF(ISNUMBER(F6105),E6105*F6105,"")</f>
        <v>5.9177399999999993</v>
      </c>
      <c r="H6105" s="44"/>
      <c r="I6105" s="40"/>
      <c r="J6105" s="155">
        <v>0</v>
      </c>
    </row>
    <row r="6106" spans="1:10" ht="25.5" hidden="1" x14ac:dyDescent="0.25">
      <c r="A6106" s="181"/>
      <c r="B6106" s="193"/>
      <c r="C6106" s="36" t="s">
        <v>3608</v>
      </c>
      <c r="D6106" s="162" t="s">
        <v>292</v>
      </c>
      <c r="E6106" s="163">
        <v>1.46</v>
      </c>
      <c r="F6106" s="31">
        <v>1.8904999999999998</v>
      </c>
      <c r="G6106" s="54">
        <f>IF(ISNUMBER(F6106),E6106*F6106,"")</f>
        <v>2.7601299999999998</v>
      </c>
      <c r="H6106" s="44"/>
      <c r="I6106" s="40"/>
      <c r="J6106" s="155">
        <v>0</v>
      </c>
    </row>
    <row r="6107" spans="1:10" ht="25.5" hidden="1" x14ac:dyDescent="0.25">
      <c r="A6107" s="181"/>
      <c r="B6107" s="193"/>
      <c r="C6107" s="36" t="s">
        <v>3601</v>
      </c>
      <c r="D6107" s="162" t="s">
        <v>292</v>
      </c>
      <c r="E6107" s="163">
        <v>1.46</v>
      </c>
      <c r="F6107" s="31">
        <v>3.0209999999999999</v>
      </c>
      <c r="G6107" s="54">
        <f>IF(ISNUMBER(F6107),E6107*F6107,"")</f>
        <v>4.41066</v>
      </c>
      <c r="H6107" s="44"/>
      <c r="I6107" s="40"/>
      <c r="J6107" s="155">
        <v>0</v>
      </c>
    </row>
    <row r="6108" spans="1:10" ht="25.5" hidden="1" x14ac:dyDescent="0.25">
      <c r="A6108" s="181"/>
      <c r="B6108" s="193"/>
      <c r="C6108" s="36" t="s">
        <v>3606</v>
      </c>
      <c r="D6108" s="162" t="s">
        <v>292</v>
      </c>
      <c r="E6108" s="163">
        <v>0.97</v>
      </c>
      <c r="F6108" s="31">
        <v>3.7239999999999998</v>
      </c>
      <c r="G6108" s="54">
        <f>IF(ISNUMBER(F6108),E6108*F6108,"")</f>
        <v>3.6122799999999997</v>
      </c>
      <c r="H6108" s="44"/>
      <c r="I6108" s="40"/>
      <c r="J6108" s="155">
        <v>0</v>
      </c>
    </row>
    <row r="6109" spans="1:10" hidden="1" x14ac:dyDescent="0.25">
      <c r="A6109" s="181"/>
      <c r="B6109" s="193"/>
      <c r="C6109" s="36" t="s">
        <v>750</v>
      </c>
      <c r="D6109" s="162" t="s">
        <v>742</v>
      </c>
      <c r="E6109" s="163">
        <v>0.49</v>
      </c>
      <c r="F6109" s="31">
        <v>22.704999999999998</v>
      </c>
      <c r="G6109" s="54">
        <f>IF(ISNUMBER(F6109),E6109*F6109,"")</f>
        <v>11.125449999999999</v>
      </c>
      <c r="H6109" s="44"/>
      <c r="I6109" s="40"/>
      <c r="J6109" s="155">
        <v>0</v>
      </c>
    </row>
    <row r="6110" spans="1:10" hidden="1" x14ac:dyDescent="0.25">
      <c r="A6110" s="181"/>
      <c r="B6110" s="193"/>
      <c r="C6110" s="36" t="s">
        <v>743</v>
      </c>
      <c r="D6110" s="162" t="s">
        <v>742</v>
      </c>
      <c r="E6110" s="163">
        <v>0.37</v>
      </c>
      <c r="F6110" s="31">
        <v>16.729499999999998</v>
      </c>
      <c r="G6110" s="54">
        <f>IF(ISNUMBER(F6110),E6110*F6110,"")</f>
        <v>6.1899149999999992</v>
      </c>
      <c r="H6110" s="44"/>
      <c r="I6110" s="40"/>
      <c r="J6110" s="155">
        <v>0</v>
      </c>
    </row>
    <row r="6111" spans="1:10" ht="51" hidden="1" x14ac:dyDescent="0.25">
      <c r="A6111" s="181"/>
      <c r="B6111" s="193"/>
      <c r="C6111" s="36" t="s">
        <v>3306</v>
      </c>
      <c r="D6111" s="162" t="s">
        <v>122</v>
      </c>
      <c r="E6111" s="163">
        <v>1.04E-2</v>
      </c>
      <c r="F6111" s="31">
        <v>466.44269051949999</v>
      </c>
      <c r="G6111" s="54">
        <f>IF(ISNUMBER(F6111),E6111*F6111,"")</f>
        <v>4.8510039814027994</v>
      </c>
      <c r="H6111" s="44"/>
      <c r="I6111" s="40"/>
      <c r="J6111" s="155">
        <v>0</v>
      </c>
    </row>
    <row r="6112" spans="1:10" ht="15.75" hidden="1" thickBot="1" x14ac:dyDescent="0.3">
      <c r="A6112" s="182"/>
      <c r="B6112" s="194"/>
      <c r="C6112" s="36"/>
      <c r="D6112" s="162"/>
      <c r="E6112" s="163"/>
      <c r="F6112" s="31" t="s">
        <v>558</v>
      </c>
      <c r="G6112" s="54"/>
      <c r="H6112" s="44"/>
      <c r="I6112" s="40"/>
      <c r="J6112" s="155">
        <v>0</v>
      </c>
    </row>
    <row r="6113" spans="1:10" ht="15.75" hidden="1" thickBot="1" x14ac:dyDescent="0.3">
      <c r="A6113" s="180" t="s">
        <v>6334</v>
      </c>
      <c r="B6113" s="186" t="str">
        <f>INDEX(Orçamentária!A:B,MATCH(Composições!A6113,Orçamentária!A:A,0),2)</f>
        <v>Boca de lobo simples em blocos de concreto, h=1,0 m</v>
      </c>
      <c r="C6113" s="41"/>
      <c r="D6113" s="26" t="str">
        <f>TRIM(INDEX(Orçamentária!C:C,MATCH(Composições!A6113,Orçamentária!A:A,0),1))</f>
        <v>un</v>
      </c>
      <c r="E6113" s="27"/>
      <c r="F6113" s="49" t="s">
        <v>558</v>
      </c>
      <c r="G6113" s="28" t="str">
        <f>IF(ISNUMBER(F6113),E6113*F6113,"")</f>
        <v/>
      </c>
      <c r="H6113" s="29"/>
      <c r="I6113" s="30"/>
      <c r="J6113" s="155">
        <v>0</v>
      </c>
    </row>
    <row r="6114" spans="1:10" hidden="1" x14ac:dyDescent="0.25">
      <c r="A6114" s="181"/>
      <c r="B6114" s="187"/>
      <c r="C6114" s="169"/>
      <c r="D6114" s="169"/>
      <c r="E6114" s="170"/>
      <c r="F6114" s="54" t="s">
        <v>558</v>
      </c>
      <c r="G6114" s="54" t="str">
        <f>IF(ISNUMBER(F6114),E6114*F6114,"")</f>
        <v/>
      </c>
      <c r="H6114" s="73"/>
      <c r="I6114" s="74"/>
      <c r="J6114" s="155">
        <v>0</v>
      </c>
    </row>
    <row r="6115" spans="1:10" hidden="1" x14ac:dyDescent="0.25">
      <c r="A6115" s="181"/>
      <c r="B6115" s="187"/>
      <c r="C6115" s="36" t="s">
        <v>3607</v>
      </c>
      <c r="D6115" s="162" t="s">
        <v>292</v>
      </c>
      <c r="E6115" s="163">
        <v>21</v>
      </c>
      <c r="F6115" s="31">
        <v>2.5649999999999999</v>
      </c>
      <c r="G6115" s="54">
        <f>IF(ISNUMBER(F6115),E6115*F6115,"")</f>
        <v>53.865000000000002</v>
      </c>
      <c r="H6115" s="39">
        <f>SUM(G6115:G6135)</f>
        <v>1204.9454319422937</v>
      </c>
      <c r="I6115" s="40"/>
      <c r="J6115" s="155">
        <v>0</v>
      </c>
    </row>
    <row r="6116" spans="1:10" ht="25.5" hidden="1" x14ac:dyDescent="0.25">
      <c r="A6116" s="181"/>
      <c r="B6116" s="187"/>
      <c r="C6116" s="36" t="s">
        <v>1203</v>
      </c>
      <c r="D6116" s="162" t="s">
        <v>103</v>
      </c>
      <c r="E6116" s="163">
        <v>8.2000000000000007E-3</v>
      </c>
      <c r="F6116" s="31">
        <v>6.1274999999999995</v>
      </c>
      <c r="G6116" s="54">
        <f>IF(ISNUMBER(F6116),E6116*F6116,"")</f>
        <v>5.0245499999999998E-2</v>
      </c>
      <c r="H6116" s="44"/>
      <c r="I6116" s="40"/>
      <c r="J6116" s="155">
        <v>0</v>
      </c>
    </row>
    <row r="6117" spans="1:10" ht="25.5" hidden="1" x14ac:dyDescent="0.25">
      <c r="A6117" s="181"/>
      <c r="B6117" s="187"/>
      <c r="C6117" s="36" t="s">
        <v>3792</v>
      </c>
      <c r="D6117" s="162" t="s">
        <v>513</v>
      </c>
      <c r="E6117" s="163">
        <v>0.17760000000000001</v>
      </c>
      <c r="F6117" s="31">
        <v>6.8874999999999993</v>
      </c>
      <c r="G6117" s="54">
        <f>IF(ISNUMBER(F6117),E6117*F6117,"")</f>
        <v>1.22322</v>
      </c>
      <c r="H6117" s="44"/>
      <c r="I6117" s="40"/>
      <c r="J6117" s="155">
        <v>0</v>
      </c>
    </row>
    <row r="6118" spans="1:10" ht="25.5" hidden="1" x14ac:dyDescent="0.25">
      <c r="A6118" s="181"/>
      <c r="B6118" s="187"/>
      <c r="C6118" s="36" t="s">
        <v>3794</v>
      </c>
      <c r="D6118" s="162" t="s">
        <v>513</v>
      </c>
      <c r="E6118" s="163">
        <v>0.2112</v>
      </c>
      <c r="F6118" s="31">
        <v>2.4129999999999998</v>
      </c>
      <c r="G6118" s="54">
        <f>IF(ISNUMBER(F6118),E6118*F6118,"")</f>
        <v>0.50962560000000001</v>
      </c>
      <c r="H6118" s="44"/>
      <c r="I6118" s="40"/>
      <c r="J6118" s="155">
        <v>0</v>
      </c>
    </row>
    <row r="6119" spans="1:10" hidden="1" x14ac:dyDescent="0.25">
      <c r="A6119" s="181"/>
      <c r="B6119" s="187"/>
      <c r="C6119" s="36" t="s">
        <v>3438</v>
      </c>
      <c r="D6119" s="162" t="s">
        <v>938</v>
      </c>
      <c r="E6119" s="163">
        <v>0.187</v>
      </c>
      <c r="F6119" s="31">
        <v>19.598499999999998</v>
      </c>
      <c r="G6119" s="54">
        <f>IF(ISNUMBER(F6119),E6119*F6119,"")</f>
        <v>3.6649194999999994</v>
      </c>
      <c r="H6119" s="44"/>
      <c r="I6119" s="40"/>
      <c r="J6119" s="155">
        <v>0</v>
      </c>
    </row>
    <row r="6120" spans="1:10" ht="63.75" hidden="1" x14ac:dyDescent="0.25">
      <c r="A6120" s="181"/>
      <c r="B6120" s="187"/>
      <c r="C6120" s="36" t="s">
        <v>3268</v>
      </c>
      <c r="D6120" s="162" t="s">
        <v>982</v>
      </c>
      <c r="E6120" s="163">
        <v>3.1300000000000001E-2</v>
      </c>
      <c r="F6120" s="31">
        <v>101.0515</v>
      </c>
      <c r="G6120" s="54">
        <f>IF(ISNUMBER(F6120),E6120*F6120,"")</f>
        <v>3.1629119500000002</v>
      </c>
      <c r="H6120" s="44"/>
      <c r="I6120" s="40"/>
      <c r="J6120" s="155">
        <v>0</v>
      </c>
    </row>
    <row r="6121" spans="1:10" ht="63.75" hidden="1" x14ac:dyDescent="0.25">
      <c r="A6121" s="181"/>
      <c r="B6121" s="187"/>
      <c r="C6121" s="36" t="s">
        <v>3276</v>
      </c>
      <c r="D6121" s="162" t="s">
        <v>984</v>
      </c>
      <c r="E6121" s="163">
        <v>6.3700000000000007E-2</v>
      </c>
      <c r="F6121" s="31">
        <v>40.412999999999997</v>
      </c>
      <c r="G6121" s="54">
        <f>IF(ISNUMBER(F6121),E6121*F6121,"")</f>
        <v>2.5743081000000001</v>
      </c>
      <c r="H6121" s="44"/>
      <c r="I6121" s="40"/>
      <c r="J6121" s="155">
        <v>0</v>
      </c>
    </row>
    <row r="6122" spans="1:10" ht="25.5" hidden="1" x14ac:dyDescent="0.25">
      <c r="A6122" s="181"/>
      <c r="B6122" s="187"/>
      <c r="C6122" s="36" t="s">
        <v>3844</v>
      </c>
      <c r="D6122" s="162" t="s">
        <v>513</v>
      </c>
      <c r="E6122" s="163">
        <v>0.66239999999999999</v>
      </c>
      <c r="F6122" s="31">
        <v>16.7105</v>
      </c>
      <c r="G6122" s="54">
        <f>IF(ISNUMBER(F6122),E6122*F6122,"")</f>
        <v>11.0690352</v>
      </c>
      <c r="H6122" s="44"/>
      <c r="I6122" s="40"/>
      <c r="J6122" s="155">
        <v>0</v>
      </c>
    </row>
    <row r="6123" spans="1:10" ht="25.5" hidden="1" x14ac:dyDescent="0.25">
      <c r="A6123" s="181"/>
      <c r="B6123" s="187"/>
      <c r="C6123" s="36" t="s">
        <v>3603</v>
      </c>
      <c r="D6123" s="162" t="s">
        <v>292</v>
      </c>
      <c r="E6123" s="163">
        <v>47.175699999999999</v>
      </c>
      <c r="F6123" s="31">
        <v>4.1324999999999994</v>
      </c>
      <c r="G6123" s="54">
        <f>IF(ISNUMBER(F6123),E6123*F6123,"")</f>
        <v>194.95358024999996</v>
      </c>
      <c r="H6123" s="44"/>
      <c r="I6123" s="40"/>
      <c r="J6123" s="155">
        <v>0</v>
      </c>
    </row>
    <row r="6124" spans="1:10" ht="25.5" hidden="1" x14ac:dyDescent="0.25">
      <c r="A6124" s="181"/>
      <c r="B6124" s="187"/>
      <c r="C6124" s="36" t="s">
        <v>3788</v>
      </c>
      <c r="D6124" s="162" t="s">
        <v>292</v>
      </c>
      <c r="E6124" s="163">
        <v>1</v>
      </c>
      <c r="F6124" s="31">
        <v>43.813999999999993</v>
      </c>
      <c r="G6124" s="54">
        <f>IF(ISNUMBER(F6124),E6124*F6124,"")</f>
        <v>43.813999999999993</v>
      </c>
      <c r="H6124" s="44"/>
      <c r="I6124" s="40"/>
      <c r="J6124" s="155">
        <v>0</v>
      </c>
    </row>
    <row r="6125" spans="1:10" ht="38.25" hidden="1" x14ac:dyDescent="0.25">
      <c r="A6125" s="181"/>
      <c r="B6125" s="187"/>
      <c r="C6125" s="36" t="s">
        <v>1044</v>
      </c>
      <c r="D6125" s="162" t="s">
        <v>122</v>
      </c>
      <c r="E6125" s="163">
        <v>4.3E-3</v>
      </c>
      <c r="F6125" s="31">
        <v>443.66862473099997</v>
      </c>
      <c r="G6125" s="54">
        <f>IF(ISNUMBER(F6125),E6125*F6125,"")</f>
        <v>1.9077750863432998</v>
      </c>
      <c r="H6125" s="44"/>
      <c r="I6125" s="40"/>
      <c r="J6125" s="155">
        <v>0</v>
      </c>
    </row>
    <row r="6126" spans="1:10" hidden="1" x14ac:dyDescent="0.25">
      <c r="A6126" s="181"/>
      <c r="B6126" s="187"/>
      <c r="C6126" s="36" t="s">
        <v>750</v>
      </c>
      <c r="D6126" s="162" t="s">
        <v>742</v>
      </c>
      <c r="E6126" s="163">
        <v>9.5631000000000004</v>
      </c>
      <c r="F6126" s="31">
        <v>22.704999999999998</v>
      </c>
      <c r="G6126" s="54">
        <f>IF(ISNUMBER(F6126),E6126*F6126,"")</f>
        <v>217.13018549999998</v>
      </c>
      <c r="H6126" s="44"/>
      <c r="I6126" s="40"/>
      <c r="J6126" s="155">
        <v>0</v>
      </c>
    </row>
    <row r="6127" spans="1:10" hidden="1" x14ac:dyDescent="0.25">
      <c r="A6127" s="181"/>
      <c r="B6127" s="187"/>
      <c r="C6127" s="36" t="s">
        <v>743</v>
      </c>
      <c r="D6127" s="162" t="s">
        <v>742</v>
      </c>
      <c r="E6127" s="163">
        <v>7.5138999999999996</v>
      </c>
      <c r="F6127" s="31">
        <v>16.729499999999998</v>
      </c>
      <c r="G6127" s="54">
        <f>IF(ISNUMBER(F6127),E6127*F6127,"")</f>
        <v>125.70379004999998</v>
      </c>
      <c r="H6127" s="44"/>
      <c r="I6127" s="40"/>
      <c r="J6127" s="155">
        <v>0</v>
      </c>
    </row>
    <row r="6128" spans="1:10" ht="25.5" hidden="1" x14ac:dyDescent="0.25">
      <c r="A6128" s="181"/>
      <c r="B6128" s="187"/>
      <c r="C6128" s="36" t="s">
        <v>3305</v>
      </c>
      <c r="D6128" s="162" t="s">
        <v>122</v>
      </c>
      <c r="E6128" s="163">
        <v>0.47460000000000002</v>
      </c>
      <c r="F6128" s="31">
        <v>453.32971143350005</v>
      </c>
      <c r="G6128" s="54">
        <f>IF(ISNUMBER(F6128),E6128*F6128,"")</f>
        <v>215.15028104633913</v>
      </c>
      <c r="H6128" s="44"/>
      <c r="I6128" s="40"/>
      <c r="J6128" s="155">
        <v>0</v>
      </c>
    </row>
    <row r="6129" spans="1:10" ht="25.5" hidden="1" x14ac:dyDescent="0.25">
      <c r="A6129" s="181"/>
      <c r="B6129" s="187"/>
      <c r="C6129" s="36" t="s">
        <v>3288</v>
      </c>
      <c r="D6129" s="162" t="s">
        <v>122</v>
      </c>
      <c r="E6129" s="163">
        <v>2.9899999999999999E-2</v>
      </c>
      <c r="F6129" s="31">
        <v>826.80031690760791</v>
      </c>
      <c r="G6129" s="54">
        <f>IF(ISNUMBER(F6129),E6129*F6129,"")</f>
        <v>24.721329475537477</v>
      </c>
      <c r="H6129" s="44"/>
      <c r="I6129" s="40"/>
      <c r="J6129" s="155">
        <v>0</v>
      </c>
    </row>
    <row r="6130" spans="1:10" ht="25.5" hidden="1" x14ac:dyDescent="0.25">
      <c r="A6130" s="181"/>
      <c r="B6130" s="187"/>
      <c r="C6130" s="36" t="s">
        <v>3289</v>
      </c>
      <c r="D6130" s="162" t="s">
        <v>122</v>
      </c>
      <c r="E6130" s="163">
        <v>6.1499999999999999E-2</v>
      </c>
      <c r="F6130" s="31">
        <v>797.0433291576079</v>
      </c>
      <c r="G6130" s="54">
        <f>IF(ISNUMBER(F6130),E6130*F6130,"")</f>
        <v>49.018164743192884</v>
      </c>
      <c r="H6130" s="44"/>
      <c r="I6130" s="40"/>
      <c r="J6130" s="155">
        <v>0</v>
      </c>
    </row>
    <row r="6131" spans="1:10" ht="25.5" hidden="1" x14ac:dyDescent="0.25">
      <c r="A6131" s="181"/>
      <c r="B6131" s="187"/>
      <c r="C6131" s="36" t="s">
        <v>3282</v>
      </c>
      <c r="D6131" s="162" t="s">
        <v>938</v>
      </c>
      <c r="E6131" s="163">
        <v>0.98719999999999997</v>
      </c>
      <c r="F6131" s="31">
        <v>13.72622035</v>
      </c>
      <c r="G6131" s="54">
        <f>IF(ISNUMBER(F6131),E6131*F6131,"")</f>
        <v>13.550524729519999</v>
      </c>
      <c r="H6131" s="44"/>
      <c r="I6131" s="40"/>
      <c r="J6131" s="155">
        <v>0</v>
      </c>
    </row>
    <row r="6132" spans="1:10" ht="25.5" hidden="1" x14ac:dyDescent="0.25">
      <c r="A6132" s="181"/>
      <c r="B6132" s="187"/>
      <c r="C6132" s="36" t="s">
        <v>3283</v>
      </c>
      <c r="D6132" s="162" t="s">
        <v>938</v>
      </c>
      <c r="E6132" s="163">
        <v>2.468</v>
      </c>
      <c r="F6132" s="31">
        <v>13.260772599999999</v>
      </c>
      <c r="G6132" s="54">
        <f>IF(ISNUMBER(F6132),E6132*F6132,"")</f>
        <v>32.727586776799996</v>
      </c>
      <c r="H6132" s="44"/>
      <c r="I6132" s="40"/>
      <c r="J6132" s="155">
        <v>0</v>
      </c>
    </row>
    <row r="6133" spans="1:10" ht="25.5" hidden="1" x14ac:dyDescent="0.25">
      <c r="A6133" s="181"/>
      <c r="B6133" s="187"/>
      <c r="C6133" s="36" t="s">
        <v>1115</v>
      </c>
      <c r="D6133" s="162" t="s">
        <v>122</v>
      </c>
      <c r="E6133" s="163">
        <v>0.1628</v>
      </c>
      <c r="F6133" s="31">
        <v>430.14854703559996</v>
      </c>
      <c r="G6133" s="54">
        <f>IF(ISNUMBER(F6133),E6133*F6133,"")</f>
        <v>70.02818345739567</v>
      </c>
      <c r="H6133" s="44"/>
      <c r="I6133" s="40"/>
      <c r="J6133" s="155">
        <v>0</v>
      </c>
    </row>
    <row r="6134" spans="1:10" ht="25.5" hidden="1" x14ac:dyDescent="0.25">
      <c r="A6134" s="181"/>
      <c r="B6134" s="187"/>
      <c r="C6134" s="36" t="s">
        <v>3296</v>
      </c>
      <c r="D6134" s="162" t="s">
        <v>122</v>
      </c>
      <c r="E6134" s="163">
        <v>6.1600000000000002E-2</v>
      </c>
      <c r="F6134" s="31">
        <v>2227.3419932169722</v>
      </c>
      <c r="G6134" s="54">
        <f>IF(ISNUMBER(F6134),E6134*F6134,"")</f>
        <v>137.20426678216549</v>
      </c>
      <c r="H6134" s="44"/>
      <c r="I6134" s="40"/>
      <c r="J6134" s="155">
        <v>0</v>
      </c>
    </row>
    <row r="6135" spans="1:10" ht="25.5" hidden="1" x14ac:dyDescent="0.25">
      <c r="A6135" s="181"/>
      <c r="B6135" s="187"/>
      <c r="C6135" s="36" t="s">
        <v>3777</v>
      </c>
      <c r="D6135" s="162" t="s">
        <v>1034</v>
      </c>
      <c r="E6135" s="163">
        <v>1.17</v>
      </c>
      <c r="F6135" s="31">
        <v>2.4927334999999999</v>
      </c>
      <c r="G6135" s="54">
        <f>IF(ISNUMBER(F6135),E6135*F6135,"")</f>
        <v>2.916498195</v>
      </c>
      <c r="H6135" s="44"/>
      <c r="I6135" s="40"/>
      <c r="J6135" s="155">
        <v>0</v>
      </c>
    </row>
    <row r="6136" spans="1:10" ht="15.75" hidden="1" thickBot="1" x14ac:dyDescent="0.3">
      <c r="A6136" s="182"/>
      <c r="B6136" s="188"/>
      <c r="C6136" s="36"/>
      <c r="D6136" s="162"/>
      <c r="E6136" s="163"/>
      <c r="F6136" s="31" t="s">
        <v>558</v>
      </c>
      <c r="G6136" s="54"/>
      <c r="H6136" s="44"/>
      <c r="I6136" s="40"/>
      <c r="J6136" s="155">
        <v>0</v>
      </c>
    </row>
    <row r="6137" spans="1:10" ht="15.75" hidden="1" thickBot="1" x14ac:dyDescent="0.3">
      <c r="A6137" s="180" t="s">
        <v>6335</v>
      </c>
      <c r="B6137" s="186" t="str">
        <f>INDEX(Orçamentária!A:B,MATCH(Composições!A6137,Orçamentária!A:A,0),2)</f>
        <v>Canaleta de concreto armado 30 cm x 30 cm com tampa</v>
      </c>
      <c r="C6137" s="41"/>
      <c r="D6137" s="26" t="str">
        <f>TRIM(INDEX(Orçamentária!C:C,MATCH(Composições!A6137,Orçamentária!A:A,0),1))</f>
        <v>m</v>
      </c>
      <c r="E6137" s="27"/>
      <c r="F6137" s="49" t="s">
        <v>558</v>
      </c>
      <c r="G6137" s="28" t="str">
        <f>IF(ISNUMBER(F6137),E6137*F6137,"")</f>
        <v/>
      </c>
      <c r="H6137" s="29"/>
      <c r="I6137" s="30"/>
      <c r="J6137" s="155">
        <v>0</v>
      </c>
    </row>
    <row r="6138" spans="1:10" hidden="1" x14ac:dyDescent="0.25">
      <c r="A6138" s="181"/>
      <c r="B6138" s="187"/>
      <c r="C6138" s="169"/>
      <c r="D6138" s="169"/>
      <c r="E6138" s="170"/>
      <c r="F6138" s="54" t="s">
        <v>558</v>
      </c>
      <c r="G6138" s="54" t="str">
        <f>IF(ISNUMBER(F6138),E6138*F6138,"")</f>
        <v/>
      </c>
      <c r="H6138" s="73"/>
      <c r="I6138" s="74"/>
      <c r="J6138" s="155">
        <v>0</v>
      </c>
    </row>
    <row r="6139" spans="1:10" hidden="1" x14ac:dyDescent="0.25">
      <c r="A6139" s="181"/>
      <c r="B6139" s="187"/>
      <c r="C6139" s="36" t="s">
        <v>6521</v>
      </c>
      <c r="D6139" s="162" t="s">
        <v>95</v>
      </c>
      <c r="E6139" s="163">
        <v>3.12</v>
      </c>
      <c r="F6139" s="31">
        <v>0</v>
      </c>
      <c r="G6139" s="54">
        <f>IF(ISNUMBER(F6139),E6139*F6139,"")</f>
        <v>0</v>
      </c>
      <c r="H6139" s="39">
        <f>SUM(G6139:G6145)</f>
        <v>14.040999999999999</v>
      </c>
      <c r="I6139" s="40"/>
      <c r="J6139" s="155">
        <v>0</v>
      </c>
    </row>
    <row r="6140" spans="1:10" hidden="1" x14ac:dyDescent="0.25">
      <c r="A6140" s="181"/>
      <c r="B6140" s="187"/>
      <c r="C6140" s="36" t="s">
        <v>6522</v>
      </c>
      <c r="D6140" s="162" t="s">
        <v>122</v>
      </c>
      <c r="E6140" s="163">
        <v>0.17299999999999999</v>
      </c>
      <c r="F6140" s="31">
        <v>0</v>
      </c>
      <c r="G6140" s="54">
        <f>IF(ISNUMBER(F6140),E6140*F6140,"")</f>
        <v>0</v>
      </c>
      <c r="H6140" s="44"/>
      <c r="I6140" s="40"/>
      <c r="J6140" s="155">
        <v>0</v>
      </c>
    </row>
    <row r="6141" spans="1:10" hidden="1" x14ac:dyDescent="0.25">
      <c r="A6141" s="181"/>
      <c r="B6141" s="187"/>
      <c r="C6141" s="36" t="s">
        <v>6523</v>
      </c>
      <c r="D6141" s="162" t="s">
        <v>95</v>
      </c>
      <c r="E6141" s="163">
        <v>2.56</v>
      </c>
      <c r="F6141" s="31">
        <v>0</v>
      </c>
      <c r="G6141" s="54">
        <f>IF(ISNUMBER(F6141),E6141*F6141,"")</f>
        <v>0</v>
      </c>
      <c r="H6141" s="44"/>
      <c r="I6141" s="40"/>
      <c r="J6141" s="155">
        <v>0</v>
      </c>
    </row>
    <row r="6142" spans="1:10" hidden="1" x14ac:dyDescent="0.25">
      <c r="A6142" s="181"/>
      <c r="B6142" s="187"/>
      <c r="C6142" s="36" t="s">
        <v>6524</v>
      </c>
      <c r="D6142" s="162" t="s">
        <v>122</v>
      </c>
      <c r="E6142" s="163">
        <v>3.3000000000000002E-2</v>
      </c>
      <c r="F6142" s="31">
        <v>0</v>
      </c>
      <c r="G6142" s="54">
        <f>IF(ISNUMBER(F6142),E6142*F6142,"")</f>
        <v>0</v>
      </c>
      <c r="H6142" s="44"/>
      <c r="I6142" s="40"/>
      <c r="J6142" s="155">
        <v>0</v>
      </c>
    </row>
    <row r="6143" spans="1:10" hidden="1" x14ac:dyDescent="0.25">
      <c r="A6143" s="181"/>
      <c r="B6143" s="187"/>
      <c r="C6143" s="36" t="s">
        <v>750</v>
      </c>
      <c r="D6143" s="162" t="s">
        <v>742</v>
      </c>
      <c r="E6143" s="163">
        <v>0.25</v>
      </c>
      <c r="F6143" s="31">
        <v>22.704999999999998</v>
      </c>
      <c r="G6143" s="54">
        <f>IF(ISNUMBER(F6143),E6143*F6143,"")</f>
        <v>5.6762499999999996</v>
      </c>
      <c r="H6143" s="44"/>
      <c r="I6143" s="40"/>
      <c r="J6143" s="155">
        <v>0</v>
      </c>
    </row>
    <row r="6144" spans="1:10" hidden="1" x14ac:dyDescent="0.25">
      <c r="A6144" s="181"/>
      <c r="B6144" s="187"/>
      <c r="C6144" s="36" t="s">
        <v>743</v>
      </c>
      <c r="D6144" s="162" t="s">
        <v>742</v>
      </c>
      <c r="E6144" s="163">
        <v>0.5</v>
      </c>
      <c r="F6144" s="31">
        <v>16.729499999999998</v>
      </c>
      <c r="G6144" s="54">
        <f>IF(ISNUMBER(F6144),E6144*F6144,"")</f>
        <v>8.364749999999999</v>
      </c>
      <c r="H6144" s="44"/>
      <c r="I6144" s="40"/>
      <c r="J6144" s="155">
        <v>0</v>
      </c>
    </row>
    <row r="6145" spans="1:10" hidden="1" x14ac:dyDescent="0.25">
      <c r="A6145" s="181"/>
      <c r="B6145" s="187"/>
      <c r="C6145" s="36" t="s">
        <v>6525</v>
      </c>
      <c r="D6145" s="162" t="s">
        <v>20</v>
      </c>
      <c r="E6145" s="163">
        <v>1.7</v>
      </c>
      <c r="F6145" s="31">
        <v>0</v>
      </c>
      <c r="G6145" s="54">
        <f>IF(ISNUMBER(F6145),E6145*F6145,"")</f>
        <v>0</v>
      </c>
      <c r="H6145" s="44"/>
      <c r="I6145" s="40"/>
      <c r="J6145" s="155">
        <v>0</v>
      </c>
    </row>
    <row r="6146" spans="1:10" ht="15.75" hidden="1" thickBot="1" x14ac:dyDescent="0.3">
      <c r="A6146" s="182"/>
      <c r="B6146" s="188"/>
      <c r="C6146" s="36"/>
      <c r="D6146" s="162"/>
      <c r="E6146" s="163"/>
      <c r="F6146" s="31" t="s">
        <v>558</v>
      </c>
      <c r="G6146" s="54"/>
      <c r="H6146" s="44"/>
      <c r="I6146" s="40"/>
      <c r="J6146" s="155">
        <v>0</v>
      </c>
    </row>
    <row r="6147" spans="1:10" ht="15.75" hidden="1" thickBot="1" x14ac:dyDescent="0.3">
      <c r="A6147" s="180" t="s">
        <v>6336</v>
      </c>
      <c r="B6147" s="186" t="str">
        <f>INDEX(Orçamentária!A:B,MATCH(Composições!A6147,Orçamentária!A:A,0),2)</f>
        <v>Remoção de árvore, inclusive raiz</v>
      </c>
      <c r="C6147" s="41"/>
      <c r="D6147" s="26" t="str">
        <f>TRIM(INDEX(Orçamentária!C:C,MATCH(Composições!A6147,Orçamentária!A:A,0),1))</f>
        <v>un</v>
      </c>
      <c r="E6147" s="27"/>
      <c r="F6147" s="49" t="s">
        <v>558</v>
      </c>
      <c r="G6147" s="28" t="str">
        <f>IF(ISNUMBER(F6147),E6147*F6147,"")</f>
        <v/>
      </c>
      <c r="H6147" s="29"/>
      <c r="I6147" s="30"/>
      <c r="J6147" s="155">
        <v>0</v>
      </c>
    </row>
    <row r="6148" spans="1:10" hidden="1" x14ac:dyDescent="0.25">
      <c r="A6148" s="181"/>
      <c r="B6148" s="187"/>
      <c r="C6148" s="169"/>
      <c r="D6148" s="169"/>
      <c r="E6148" s="170"/>
      <c r="F6148" s="54" t="s">
        <v>558</v>
      </c>
      <c r="G6148" s="54" t="str">
        <f>IF(ISNUMBER(F6148),E6148*F6148,"")</f>
        <v/>
      </c>
      <c r="H6148" s="73"/>
      <c r="I6148" s="74"/>
      <c r="J6148" s="155">
        <v>0</v>
      </c>
    </row>
    <row r="6149" spans="1:10" hidden="1" x14ac:dyDescent="0.25">
      <c r="A6149" s="181"/>
      <c r="B6149" s="187"/>
      <c r="C6149" s="36" t="s">
        <v>743</v>
      </c>
      <c r="D6149" s="162" t="s">
        <v>742</v>
      </c>
      <c r="E6149" s="163">
        <v>1.5444</v>
      </c>
      <c r="F6149" s="31">
        <v>16.729499999999998</v>
      </c>
      <c r="G6149" s="54">
        <f>IF(ISNUMBER(F6149),E6149*F6149,"")</f>
        <v>25.837039799999996</v>
      </c>
      <c r="H6149" s="39">
        <f>SUM(G6149:G6154)</f>
        <v>120.48376614999999</v>
      </c>
      <c r="I6149" s="40"/>
      <c r="J6149" s="155">
        <v>0</v>
      </c>
    </row>
    <row r="6150" spans="1:10" hidden="1" x14ac:dyDescent="0.25">
      <c r="A6150" s="181"/>
      <c r="B6150" s="187"/>
      <c r="C6150" s="36" t="s">
        <v>1128</v>
      </c>
      <c r="D6150" s="162" t="s">
        <v>742</v>
      </c>
      <c r="E6150" s="163">
        <v>1.5444</v>
      </c>
      <c r="F6150" s="31">
        <v>21.963999999999999</v>
      </c>
      <c r="G6150" s="54">
        <f>IF(ISNUMBER(F6150),E6150*F6150,"")</f>
        <v>33.921201599999996</v>
      </c>
      <c r="H6150" s="44"/>
      <c r="I6150" s="40"/>
      <c r="J6150" s="155">
        <v>0</v>
      </c>
    </row>
    <row r="6151" spans="1:10" ht="63.75" hidden="1" x14ac:dyDescent="0.25">
      <c r="A6151" s="181"/>
      <c r="B6151" s="187"/>
      <c r="C6151" s="36" t="s">
        <v>3276</v>
      </c>
      <c r="D6151" s="162" t="s">
        <v>984</v>
      </c>
      <c r="E6151" s="163">
        <v>0.54459999999999997</v>
      </c>
      <c r="F6151" s="31">
        <v>40.412999999999997</v>
      </c>
      <c r="G6151" s="54">
        <f>IF(ISNUMBER(F6151),E6151*F6151,"")</f>
        <v>22.008919799999997</v>
      </c>
      <c r="H6151" s="44"/>
      <c r="I6151" s="40"/>
      <c r="J6151" s="155">
        <v>0</v>
      </c>
    </row>
    <row r="6152" spans="1:10" ht="63.75" hidden="1" x14ac:dyDescent="0.25">
      <c r="A6152" s="181"/>
      <c r="B6152" s="187"/>
      <c r="C6152" s="36" t="s">
        <v>3269</v>
      </c>
      <c r="D6152" s="162" t="s">
        <v>982</v>
      </c>
      <c r="E6152" s="163">
        <v>0.1333</v>
      </c>
      <c r="F6152" s="31">
        <v>93.641499999999994</v>
      </c>
      <c r="G6152" s="54">
        <f>IF(ISNUMBER(F6152),E6152*F6152,"")</f>
        <v>12.482411949999999</v>
      </c>
      <c r="H6152" s="44"/>
      <c r="I6152" s="40"/>
      <c r="J6152" s="155">
        <v>0</v>
      </c>
    </row>
    <row r="6153" spans="1:10" hidden="1" x14ac:dyDescent="0.25">
      <c r="A6153" s="181"/>
      <c r="B6153" s="187"/>
      <c r="C6153" s="36" t="s">
        <v>743</v>
      </c>
      <c r="D6153" s="162" t="s">
        <v>742</v>
      </c>
      <c r="E6153" s="163">
        <v>0.67800000000000005</v>
      </c>
      <c r="F6153" s="31">
        <v>16.729499999999998</v>
      </c>
      <c r="G6153" s="54">
        <f>IF(ISNUMBER(F6153),E6153*F6153,"")</f>
        <v>11.342601</v>
      </c>
      <c r="H6153" s="44"/>
      <c r="I6153" s="40"/>
      <c r="J6153" s="155">
        <v>0</v>
      </c>
    </row>
    <row r="6154" spans="1:10" hidden="1" x14ac:dyDescent="0.25">
      <c r="A6154" s="181"/>
      <c r="B6154" s="187"/>
      <c r="C6154" s="36" t="s">
        <v>1128</v>
      </c>
      <c r="D6154" s="162" t="s">
        <v>742</v>
      </c>
      <c r="E6154" s="163">
        <v>0.67800000000000005</v>
      </c>
      <c r="F6154" s="31">
        <v>21.963999999999999</v>
      </c>
      <c r="G6154" s="54">
        <f>IF(ISNUMBER(F6154),E6154*F6154,"")</f>
        <v>14.891591999999999</v>
      </c>
      <c r="H6154" s="44"/>
      <c r="I6154" s="40"/>
      <c r="J6154" s="155">
        <v>0</v>
      </c>
    </row>
    <row r="6155" spans="1:10" ht="15.75" hidden="1" thickBot="1" x14ac:dyDescent="0.3">
      <c r="A6155" s="182"/>
      <c r="B6155" s="188"/>
      <c r="C6155" s="36"/>
      <c r="D6155" s="162"/>
      <c r="E6155" s="163"/>
      <c r="F6155" s="31" t="s">
        <v>558</v>
      </c>
      <c r="G6155" s="54"/>
      <c r="H6155" s="44"/>
      <c r="I6155" s="40"/>
      <c r="J6155" s="155">
        <v>0</v>
      </c>
    </row>
    <row r="6156" spans="1:10" ht="15.75" hidden="1" thickBot="1" x14ac:dyDescent="0.3">
      <c r="A6156" s="180" t="s">
        <v>6337</v>
      </c>
      <c r="B6156" s="186" t="str">
        <f>INDEX(Orçamentária!A:B,MATCH(Composições!A6156,Orçamentária!A:A,0),2)</f>
        <v>Demolição de telhas</v>
      </c>
      <c r="C6156" s="41"/>
      <c r="D6156" s="26" t="str">
        <f>TRIM(INDEX(Orçamentária!C:C,MATCH(Composições!A6156,Orçamentária!A:A,0),1))</f>
        <v>m2</v>
      </c>
      <c r="E6156" s="27"/>
      <c r="F6156" s="49" t="s">
        <v>558</v>
      </c>
      <c r="G6156" s="28" t="str">
        <f>IF(ISNUMBER(F6156),E6156*F6156,"")</f>
        <v/>
      </c>
      <c r="H6156" s="29"/>
      <c r="I6156" s="30"/>
      <c r="J6156" s="155">
        <v>0</v>
      </c>
    </row>
    <row r="6157" spans="1:10" hidden="1" x14ac:dyDescent="0.25">
      <c r="A6157" s="181"/>
      <c r="B6157" s="187"/>
      <c r="C6157" s="169"/>
      <c r="D6157" s="169"/>
      <c r="E6157" s="170"/>
      <c r="F6157" s="54" t="s">
        <v>558</v>
      </c>
      <c r="G6157" s="54" t="str">
        <f>IF(ISNUMBER(F6157),E6157*F6157,"")</f>
        <v/>
      </c>
      <c r="H6157" s="73"/>
      <c r="I6157" s="74"/>
      <c r="J6157" s="155">
        <v>0</v>
      </c>
    </row>
    <row r="6158" spans="1:10" hidden="1" x14ac:dyDescent="0.25">
      <c r="A6158" s="181"/>
      <c r="B6158" s="187"/>
      <c r="C6158" s="36" t="s">
        <v>743</v>
      </c>
      <c r="D6158" s="162" t="s">
        <v>742</v>
      </c>
      <c r="E6158" s="163">
        <v>9.7100000000000006E-2</v>
      </c>
      <c r="F6158" s="31">
        <v>16.729499999999998</v>
      </c>
      <c r="G6158" s="54">
        <f>IF(ISNUMBER(F6158),E6158*F6158,"")</f>
        <v>1.6244344499999999</v>
      </c>
      <c r="H6158" s="39">
        <f>SUM(G6158:G6159)</f>
        <v>2.8112941499999997</v>
      </c>
      <c r="I6158" s="40"/>
      <c r="J6158" s="155">
        <v>0</v>
      </c>
    </row>
    <row r="6159" spans="1:10" hidden="1" x14ac:dyDescent="0.25">
      <c r="A6159" s="181"/>
      <c r="B6159" s="187"/>
      <c r="C6159" s="36" t="s">
        <v>1368</v>
      </c>
      <c r="D6159" s="162" t="s">
        <v>742</v>
      </c>
      <c r="E6159" s="163">
        <v>4.9399999999999999E-2</v>
      </c>
      <c r="F6159" s="31">
        <v>24.025499999999997</v>
      </c>
      <c r="G6159" s="54">
        <f>IF(ISNUMBER(F6159),E6159*F6159,"")</f>
        <v>1.1868596999999999</v>
      </c>
      <c r="H6159" s="44"/>
      <c r="I6159" s="40"/>
      <c r="J6159" s="155">
        <v>0</v>
      </c>
    </row>
    <row r="6160" spans="1:10" ht="15.75" hidden="1" thickBot="1" x14ac:dyDescent="0.3">
      <c r="A6160" s="182"/>
      <c r="B6160" s="188"/>
      <c r="C6160" s="36"/>
      <c r="D6160" s="162"/>
      <c r="E6160" s="163"/>
      <c r="F6160" s="31" t="s">
        <v>558</v>
      </c>
      <c r="G6160" s="54"/>
      <c r="H6160" s="44"/>
      <c r="I6160" s="40"/>
      <c r="J6160" s="155">
        <v>0</v>
      </c>
    </row>
    <row r="6161" spans="1:10" ht="15.75" hidden="1" thickBot="1" x14ac:dyDescent="0.3">
      <c r="A6161" s="180" t="s">
        <v>6338</v>
      </c>
      <c r="B6161" s="186" t="str">
        <f>INDEX(Orçamentária!A:B,MATCH(Composições!A6161,Orçamentária!A:A,0),2)</f>
        <v>Locação de obra</v>
      </c>
      <c r="C6161" s="41"/>
      <c r="D6161" s="26" t="str">
        <f>TRIM(INDEX(Orçamentária!C:C,MATCH(Composições!A6161,Orçamentária!A:A,0),1))</f>
        <v>m</v>
      </c>
      <c r="E6161" s="27"/>
      <c r="F6161" s="49" t="s">
        <v>558</v>
      </c>
      <c r="G6161" s="28" t="str">
        <f>IF(ISNUMBER(F6161),E6161*F6161,"")</f>
        <v/>
      </c>
      <c r="H6161" s="29"/>
      <c r="I6161" s="30"/>
      <c r="J6161" s="155">
        <v>0</v>
      </c>
    </row>
    <row r="6162" spans="1:10" hidden="1" x14ac:dyDescent="0.25">
      <c r="A6162" s="181"/>
      <c r="B6162" s="187"/>
      <c r="C6162" s="169"/>
      <c r="D6162" s="169"/>
      <c r="E6162" s="170"/>
      <c r="F6162" s="54" t="s">
        <v>558</v>
      </c>
      <c r="G6162" s="54" t="str">
        <f>IF(ISNUMBER(F6162),E6162*F6162,"")</f>
        <v/>
      </c>
      <c r="H6162" s="73"/>
      <c r="I6162" s="74"/>
      <c r="J6162" s="155">
        <v>0</v>
      </c>
    </row>
    <row r="6163" spans="1:10" ht="25.5" hidden="1" x14ac:dyDescent="0.25">
      <c r="A6163" s="181"/>
      <c r="B6163" s="187"/>
      <c r="C6163" s="36" t="s">
        <v>3843</v>
      </c>
      <c r="D6163" s="162" t="s">
        <v>513</v>
      </c>
      <c r="E6163" s="163">
        <v>0.74450000000000005</v>
      </c>
      <c r="F6163" s="31">
        <v>6.4314999999999989</v>
      </c>
      <c r="G6163" s="54">
        <f>IF(ISNUMBER(F6163),E6163*F6163,"")</f>
        <v>4.7882517499999997</v>
      </c>
      <c r="H6163" s="39">
        <f>SUM(G6163:G6173)</f>
        <v>49.94245310645686</v>
      </c>
      <c r="I6163" s="40"/>
      <c r="J6163" s="155">
        <v>0</v>
      </c>
    </row>
    <row r="6164" spans="1:10" ht="25.5" hidden="1" x14ac:dyDescent="0.25">
      <c r="A6164" s="181"/>
      <c r="B6164" s="187"/>
      <c r="C6164" s="36" t="s">
        <v>3840</v>
      </c>
      <c r="D6164" s="162" t="s">
        <v>513</v>
      </c>
      <c r="E6164" s="163">
        <v>0.41249999999999998</v>
      </c>
      <c r="F6164" s="31">
        <v>23.122999999999998</v>
      </c>
      <c r="G6164" s="54">
        <f>IF(ISNUMBER(F6164),E6164*F6164,"")</f>
        <v>9.5382374999999993</v>
      </c>
      <c r="H6164" s="44"/>
      <c r="I6164" s="40"/>
      <c r="J6164" s="155">
        <v>0</v>
      </c>
    </row>
    <row r="6165" spans="1:10" hidden="1" x14ac:dyDescent="0.25">
      <c r="A6165" s="181"/>
      <c r="B6165" s="187"/>
      <c r="C6165" s="36" t="s">
        <v>1434</v>
      </c>
      <c r="D6165" s="162" t="s">
        <v>938</v>
      </c>
      <c r="E6165" s="163">
        <v>0.111</v>
      </c>
      <c r="F6165" s="31">
        <v>19.227999999999998</v>
      </c>
      <c r="G6165" s="54">
        <f>IF(ISNUMBER(F6165),E6165*F6165,"")</f>
        <v>2.1343079999999999</v>
      </c>
      <c r="H6165" s="44"/>
      <c r="I6165" s="40"/>
      <c r="J6165" s="155">
        <v>0</v>
      </c>
    </row>
    <row r="6166" spans="1:10" hidden="1" x14ac:dyDescent="0.25">
      <c r="A6166" s="181"/>
      <c r="B6166" s="187"/>
      <c r="C6166" s="36" t="s">
        <v>1309</v>
      </c>
      <c r="D6166" s="162" t="s">
        <v>103</v>
      </c>
      <c r="E6166" s="163">
        <v>2.5600000000000001E-2</v>
      </c>
      <c r="F6166" s="31">
        <v>21.973499999999998</v>
      </c>
      <c r="G6166" s="54">
        <f>IF(ISNUMBER(F6166),E6166*F6166,"")</f>
        <v>0.56252159999999995</v>
      </c>
      <c r="H6166" s="44"/>
      <c r="I6166" s="40"/>
      <c r="J6166" s="155">
        <v>0</v>
      </c>
    </row>
    <row r="6167" spans="1:10" ht="25.5" hidden="1" x14ac:dyDescent="0.25">
      <c r="A6167" s="181"/>
      <c r="B6167" s="187"/>
      <c r="C6167" s="36" t="s">
        <v>3795</v>
      </c>
      <c r="D6167" s="162" t="s">
        <v>513</v>
      </c>
      <c r="E6167" s="163">
        <v>0.55000000000000004</v>
      </c>
      <c r="F6167" s="31">
        <v>7.7899999999999991</v>
      </c>
      <c r="G6167" s="54">
        <f>IF(ISNUMBER(F6167),E6167*F6167,"")</f>
        <v>4.2844999999999995</v>
      </c>
      <c r="H6167" s="44"/>
      <c r="I6167" s="40"/>
      <c r="J6167" s="155">
        <v>0</v>
      </c>
    </row>
    <row r="6168" spans="1:10" hidden="1" x14ac:dyDescent="0.25">
      <c r="A6168" s="181"/>
      <c r="B6168" s="187"/>
      <c r="C6168" s="36" t="s">
        <v>825</v>
      </c>
      <c r="D6168" s="162" t="s">
        <v>742</v>
      </c>
      <c r="E6168" s="163">
        <v>0.35630000000000001</v>
      </c>
      <c r="F6168" s="31">
        <v>18.962</v>
      </c>
      <c r="G6168" s="54">
        <f>IF(ISNUMBER(F6168),E6168*F6168,"")</f>
        <v>6.7561606000000003</v>
      </c>
      <c r="H6168" s="44"/>
      <c r="I6168" s="40"/>
      <c r="J6168" s="155">
        <v>0</v>
      </c>
    </row>
    <row r="6169" spans="1:10" hidden="1" x14ac:dyDescent="0.25">
      <c r="A6169" s="181"/>
      <c r="B6169" s="187"/>
      <c r="C6169" s="36" t="s">
        <v>1035</v>
      </c>
      <c r="D6169" s="162" t="s">
        <v>742</v>
      </c>
      <c r="E6169" s="163">
        <v>0.71250000000000002</v>
      </c>
      <c r="F6169" s="31">
        <v>22.495999999999999</v>
      </c>
      <c r="G6169" s="54">
        <f>IF(ISNUMBER(F6169),E6169*F6169,"")</f>
        <v>16.028400000000001</v>
      </c>
      <c r="H6169" s="44"/>
      <c r="I6169" s="40"/>
      <c r="J6169" s="155">
        <v>0</v>
      </c>
    </row>
    <row r="6170" spans="1:10" ht="25.5" hidden="1" x14ac:dyDescent="0.25">
      <c r="A6170" s="181"/>
      <c r="B6170" s="187"/>
      <c r="C6170" s="36" t="s">
        <v>1207</v>
      </c>
      <c r="D6170" s="162" t="s">
        <v>982</v>
      </c>
      <c r="E6170" s="163">
        <v>3.8999999999999998E-3</v>
      </c>
      <c r="F6170" s="31">
        <v>19.9025</v>
      </c>
      <c r="G6170" s="54">
        <f>IF(ISNUMBER(F6170),E6170*F6170,"")</f>
        <v>7.7619750000000001E-2</v>
      </c>
      <c r="H6170" s="44"/>
      <c r="I6170" s="40"/>
      <c r="J6170" s="155">
        <v>0</v>
      </c>
    </row>
    <row r="6171" spans="1:10" ht="25.5" hidden="1" x14ac:dyDescent="0.25">
      <c r="A6171" s="181"/>
      <c r="B6171" s="187"/>
      <c r="C6171" s="36" t="s">
        <v>1208</v>
      </c>
      <c r="D6171" s="162" t="s">
        <v>984</v>
      </c>
      <c r="E6171" s="163">
        <v>1.6799999999999999E-2</v>
      </c>
      <c r="F6171" s="31">
        <v>17.783999999999999</v>
      </c>
      <c r="G6171" s="54">
        <f>IF(ISNUMBER(F6171),E6171*F6171,"")</f>
        <v>0.29877119999999996</v>
      </c>
      <c r="H6171" s="44"/>
      <c r="I6171" s="40"/>
      <c r="J6171" s="155">
        <v>0</v>
      </c>
    </row>
    <row r="6172" spans="1:10" ht="25.5" hidden="1" x14ac:dyDescent="0.25">
      <c r="A6172" s="181"/>
      <c r="B6172" s="187"/>
      <c r="C6172" s="36" t="s">
        <v>3294</v>
      </c>
      <c r="D6172" s="162" t="s">
        <v>122</v>
      </c>
      <c r="E6172" s="163">
        <v>4.5999999999999999E-3</v>
      </c>
      <c r="F6172" s="31">
        <v>495.7441318384499</v>
      </c>
      <c r="G6172" s="54">
        <f>IF(ISNUMBER(F6172),E6172*F6172,"")</f>
        <v>2.2804230064568696</v>
      </c>
      <c r="H6172" s="44"/>
      <c r="I6172" s="40"/>
      <c r="J6172" s="155">
        <v>0</v>
      </c>
    </row>
    <row r="6173" spans="1:10" hidden="1" x14ac:dyDescent="0.25">
      <c r="A6173" s="181"/>
      <c r="B6173" s="187"/>
      <c r="C6173" s="36" t="s">
        <v>3307</v>
      </c>
      <c r="D6173" s="162" t="s">
        <v>292</v>
      </c>
      <c r="E6173" s="163">
        <v>1.5</v>
      </c>
      <c r="F6173" s="31">
        <v>2.1288398000000002</v>
      </c>
      <c r="G6173" s="54">
        <f>IF(ISNUMBER(F6173),E6173*F6173,"")</f>
        <v>3.1932597000000005</v>
      </c>
      <c r="H6173" s="44"/>
      <c r="I6173" s="40"/>
      <c r="J6173" s="155">
        <v>0</v>
      </c>
    </row>
    <row r="6174" spans="1:10" ht="15.75" hidden="1" thickBot="1" x14ac:dyDescent="0.3">
      <c r="A6174" s="182"/>
      <c r="B6174" s="188"/>
      <c r="C6174" s="36"/>
      <c r="D6174" s="162"/>
      <c r="E6174" s="163"/>
      <c r="F6174" s="31" t="s">
        <v>558</v>
      </c>
      <c r="G6174" s="54"/>
      <c r="H6174" s="44"/>
      <c r="I6174" s="40"/>
      <c r="J6174" s="155">
        <v>0</v>
      </c>
    </row>
    <row r="6175" spans="1:10" ht="15.75" hidden="1" thickBot="1" x14ac:dyDescent="0.3">
      <c r="A6175" s="180" t="s">
        <v>6339</v>
      </c>
      <c r="B6175" s="192" t="str">
        <f>INDEX(Orçamentária!A:B,MATCH(Composições!A6175,Orçamentária!A:A,0),2)</f>
        <v>Paraciclo metálico para bicicletas</v>
      </c>
      <c r="C6175" s="41"/>
      <c r="D6175" s="26" t="str">
        <f>TRIM(INDEX(Orçamentária!C:C,MATCH(Composições!A6175,Orçamentária!A:A,0),1))</f>
        <v>un</v>
      </c>
      <c r="E6175" s="27"/>
      <c r="F6175" s="49" t="s">
        <v>558</v>
      </c>
      <c r="G6175" s="28" t="str">
        <f>IF(ISNUMBER(F6175),E6175*F6175,"")</f>
        <v/>
      </c>
      <c r="H6175" s="29"/>
      <c r="I6175" s="30"/>
      <c r="J6175" s="155">
        <v>0</v>
      </c>
    </row>
    <row r="6176" spans="1:10" hidden="1" x14ac:dyDescent="0.25">
      <c r="A6176" s="181"/>
      <c r="B6176" s="193"/>
      <c r="C6176" s="169"/>
      <c r="D6176" s="169"/>
      <c r="E6176" s="170"/>
      <c r="F6176" s="54" t="s">
        <v>558</v>
      </c>
      <c r="G6176" s="54" t="str">
        <f>IF(ISNUMBER(F6176),E6176*F6176,"")</f>
        <v/>
      </c>
      <c r="H6176" s="73"/>
      <c r="I6176" s="74"/>
      <c r="J6176" s="155">
        <v>0</v>
      </c>
    </row>
    <row r="6177" spans="1:10" ht="25.5" hidden="1" x14ac:dyDescent="0.25">
      <c r="A6177" s="181"/>
      <c r="B6177" s="193"/>
      <c r="C6177" s="36" t="s">
        <v>6526</v>
      </c>
      <c r="D6177" s="162" t="s">
        <v>292</v>
      </c>
      <c r="E6177" s="163">
        <v>4</v>
      </c>
      <c r="F6177" s="31">
        <v>0</v>
      </c>
      <c r="G6177" s="54">
        <f>IF(ISNUMBER(F6177),E6177*F6177,"")</f>
        <v>0</v>
      </c>
      <c r="H6177" s="39">
        <f>SUM(G6177:G6186)</f>
        <v>382.76502607199996</v>
      </c>
      <c r="I6177" s="40"/>
      <c r="J6177" s="155">
        <v>0</v>
      </c>
    </row>
    <row r="6178" spans="1:10" hidden="1" x14ac:dyDescent="0.25">
      <c r="A6178" s="181"/>
      <c r="B6178" s="193"/>
      <c r="C6178" s="36" t="s">
        <v>750</v>
      </c>
      <c r="D6178" s="162" t="s">
        <v>742</v>
      </c>
      <c r="E6178" s="163">
        <v>0.4</v>
      </c>
      <c r="F6178" s="31">
        <v>22.704999999999998</v>
      </c>
      <c r="G6178" s="54">
        <f>IF(ISNUMBER(F6178),E6178*F6178,"")</f>
        <v>9.081999999999999</v>
      </c>
      <c r="H6178" s="44"/>
      <c r="I6178" s="40"/>
      <c r="J6178" s="155">
        <v>0</v>
      </c>
    </row>
    <row r="6179" spans="1:10" hidden="1" x14ac:dyDescent="0.25">
      <c r="A6179" s="181"/>
      <c r="B6179" s="193"/>
      <c r="C6179" s="36" t="s">
        <v>653</v>
      </c>
      <c r="D6179" s="162" t="s">
        <v>742</v>
      </c>
      <c r="E6179" s="163">
        <v>1.5</v>
      </c>
      <c r="F6179" s="31">
        <v>22.591000000000001</v>
      </c>
      <c r="G6179" s="54">
        <f>IF(ISNUMBER(F6179),E6179*F6179,"")</f>
        <v>33.886499999999998</v>
      </c>
      <c r="H6179" s="44"/>
      <c r="I6179" s="40"/>
      <c r="J6179" s="155">
        <v>0</v>
      </c>
    </row>
    <row r="6180" spans="1:10" hidden="1" x14ac:dyDescent="0.25">
      <c r="A6180" s="181"/>
      <c r="B6180" s="193"/>
      <c r="C6180" s="36" t="s">
        <v>743</v>
      </c>
      <c r="D6180" s="162" t="s">
        <v>742</v>
      </c>
      <c r="E6180" s="163">
        <v>0.4</v>
      </c>
      <c r="F6180" s="31">
        <v>16.729499999999998</v>
      </c>
      <c r="G6180" s="54">
        <f>IF(ISNUMBER(F6180),E6180*F6180,"")</f>
        <v>6.6917999999999997</v>
      </c>
      <c r="H6180" s="44"/>
      <c r="I6180" s="40"/>
      <c r="J6180" s="155">
        <v>0</v>
      </c>
    </row>
    <row r="6181" spans="1:10" hidden="1" x14ac:dyDescent="0.25">
      <c r="A6181" s="181"/>
      <c r="B6181" s="193"/>
      <c r="C6181" s="36" t="s">
        <v>1233</v>
      </c>
      <c r="D6181" s="162" t="s">
        <v>42</v>
      </c>
      <c r="E6181" s="163">
        <f>0.023*74.69</f>
        <v>1.71787</v>
      </c>
      <c r="F6181" s="31">
        <v>11.02</v>
      </c>
      <c r="G6181" s="54">
        <f>IF(ISNUMBER(F6181),E6181*F6181,"")</f>
        <v>18.930927399999998</v>
      </c>
      <c r="H6181" s="44"/>
      <c r="I6181" s="40"/>
      <c r="J6181" s="155">
        <v>0</v>
      </c>
    </row>
    <row r="6182" spans="1:10" ht="25.5" hidden="1" x14ac:dyDescent="0.25">
      <c r="A6182" s="181"/>
      <c r="B6182" s="193"/>
      <c r="C6182" s="36" t="s">
        <v>3473</v>
      </c>
      <c r="D6182" s="162" t="s">
        <v>93</v>
      </c>
      <c r="E6182" s="163">
        <v>3.05</v>
      </c>
      <c r="F6182" s="31">
        <v>98.324999999999989</v>
      </c>
      <c r="G6182" s="54">
        <f>IF(ISNUMBER(F6182),E6182*F6182,"")</f>
        <v>299.89124999999996</v>
      </c>
      <c r="H6182" s="44"/>
      <c r="I6182" s="40"/>
      <c r="J6182" s="155">
        <v>0</v>
      </c>
    </row>
    <row r="6183" spans="1:10" ht="25.5" hidden="1" x14ac:dyDescent="0.25">
      <c r="A6183" s="181"/>
      <c r="B6183" s="193"/>
      <c r="C6183" s="36" t="s">
        <v>1079</v>
      </c>
      <c r="D6183" s="162" t="s">
        <v>292</v>
      </c>
      <c r="E6183" s="163">
        <v>4</v>
      </c>
      <c r="F6183" s="31">
        <v>1.4915</v>
      </c>
      <c r="G6183" s="54">
        <f>IF(ISNUMBER(F6183),E6183*F6183,"")</f>
        <v>5.9660000000000002</v>
      </c>
      <c r="H6183" s="44"/>
      <c r="I6183" s="40"/>
      <c r="J6183" s="155">
        <v>0</v>
      </c>
    </row>
    <row r="6184" spans="1:10" hidden="1" x14ac:dyDescent="0.25">
      <c r="A6184" s="181"/>
      <c r="B6184" s="193"/>
      <c r="C6184" s="36" t="s">
        <v>1426</v>
      </c>
      <c r="D6184" s="162" t="s">
        <v>42</v>
      </c>
      <c r="E6184" s="163">
        <v>0.02</v>
      </c>
      <c r="F6184" s="31">
        <v>91.902999999999992</v>
      </c>
      <c r="G6184" s="54">
        <f>IF(ISNUMBER(F6184),E6184*F6184,"")</f>
        <v>1.8380599999999998</v>
      </c>
      <c r="H6184" s="44"/>
      <c r="I6184" s="40"/>
      <c r="J6184" s="155">
        <v>0</v>
      </c>
    </row>
    <row r="6185" spans="1:10" hidden="1" x14ac:dyDescent="0.25">
      <c r="A6185" s="181"/>
      <c r="B6185" s="193"/>
      <c r="C6185" s="36" t="s">
        <v>101</v>
      </c>
      <c r="D6185" s="47" t="s">
        <v>12</v>
      </c>
      <c r="E6185" s="37">
        <f>0.5708*0.48</f>
        <v>0.27398399999999995</v>
      </c>
      <c r="F6185" s="31">
        <v>23.645499999999998</v>
      </c>
      <c r="G6185" s="54">
        <f>IF(ISNUMBER(F6185),E6185*F6185,"")</f>
        <v>6.4784886719999983</v>
      </c>
      <c r="H6185" s="44"/>
      <c r="I6185" s="40"/>
      <c r="J6185" s="155">
        <v>0</v>
      </c>
    </row>
    <row r="6186" spans="1:10" hidden="1" x14ac:dyDescent="0.25">
      <c r="A6186" s="181"/>
      <c r="B6186" s="193"/>
      <c r="C6186" s="36" t="s">
        <v>216</v>
      </c>
      <c r="D6186" s="50" t="s">
        <v>103</v>
      </c>
      <c r="E6186" s="37">
        <f>ROUND(0.48*3*3.6/75,4)</f>
        <v>6.9099999999999995E-2</v>
      </c>
      <c r="F6186" s="31" t="s">
        <v>558</v>
      </c>
      <c r="G6186" s="54" t="str">
        <f>IF(ISNUMBER(F6186),E6186*F6186,"")</f>
        <v/>
      </c>
      <c r="H6186" s="44"/>
      <c r="I6186" s="40"/>
      <c r="J6186" s="155">
        <v>0</v>
      </c>
    </row>
    <row r="6187" spans="1:10" hidden="1" x14ac:dyDescent="0.25">
      <c r="A6187" s="181"/>
      <c r="B6187" s="193"/>
      <c r="C6187" s="36"/>
      <c r="D6187" s="162"/>
      <c r="E6187" s="163"/>
      <c r="F6187" s="31"/>
      <c r="G6187" s="54"/>
      <c r="H6187" s="44"/>
      <c r="I6187" s="40"/>
      <c r="J6187" s="155">
        <v>0</v>
      </c>
    </row>
    <row r="6188" spans="1:10" ht="38.25" hidden="1" x14ac:dyDescent="0.25">
      <c r="A6188" s="181"/>
      <c r="B6188" s="193"/>
      <c r="C6188" s="52" t="s">
        <v>3480</v>
      </c>
      <c r="D6188" s="162"/>
      <c r="E6188" s="163"/>
      <c r="F6188" s="31"/>
      <c r="G6188" s="54"/>
      <c r="H6188" s="44"/>
      <c r="I6188" s="40"/>
      <c r="J6188" s="155">
        <v>0</v>
      </c>
    </row>
    <row r="6189" spans="1:10" ht="15.75" hidden="1" thickBot="1" x14ac:dyDescent="0.3">
      <c r="A6189" s="182"/>
      <c r="B6189" s="194"/>
      <c r="C6189" s="36"/>
      <c r="D6189" s="162"/>
      <c r="E6189" s="163"/>
      <c r="F6189" s="31" t="s">
        <v>558</v>
      </c>
      <c r="G6189" s="54"/>
      <c r="H6189" s="44"/>
      <c r="I6189" s="40"/>
      <c r="J6189" s="155">
        <v>0</v>
      </c>
    </row>
    <row r="6190" spans="1:10" ht="15.75" hidden="1" thickBot="1" x14ac:dyDescent="0.3">
      <c r="A6190" s="180" t="s">
        <v>6341</v>
      </c>
      <c r="B6190" s="186" t="str">
        <f>INDEX(Orçamentária!A:B,MATCH(Composições!A6190,Orçamentária!A:A,0),2)</f>
        <v>Poste reto 5 metros – fornecimento e instalação</v>
      </c>
      <c r="C6190" s="41"/>
      <c r="D6190" s="26" t="str">
        <f>TRIM(INDEX(Orçamentária!C:C,MATCH(Composições!A6190,Orçamentária!A:A,0),1))</f>
        <v>un</v>
      </c>
      <c r="E6190" s="27"/>
      <c r="F6190" s="42" t="s">
        <v>558</v>
      </c>
      <c r="G6190" s="28" t="str">
        <f>IF(ISNUMBER(F6190),E6190*F6190,"")</f>
        <v/>
      </c>
      <c r="H6190" s="29"/>
      <c r="I6190" s="30"/>
      <c r="J6190" s="155">
        <v>0</v>
      </c>
    </row>
    <row r="6191" spans="1:10" hidden="1" x14ac:dyDescent="0.25">
      <c r="A6191" s="200"/>
      <c r="B6191" s="187"/>
      <c r="C6191" s="32"/>
      <c r="D6191" s="32"/>
      <c r="E6191" s="33"/>
      <c r="F6191" s="43" t="s">
        <v>558</v>
      </c>
      <c r="G6191" s="31" t="str">
        <f>IF(ISNUMBER(F6191),E6191*F6191,"")</f>
        <v/>
      </c>
      <c r="H6191" s="35"/>
      <c r="I6191" s="31"/>
      <c r="J6191" s="155">
        <v>0</v>
      </c>
    </row>
    <row r="6192" spans="1:10" ht="25.5" hidden="1" x14ac:dyDescent="0.25">
      <c r="A6192" s="200"/>
      <c r="B6192" s="187"/>
      <c r="C6192" s="36" t="s">
        <v>6527</v>
      </c>
      <c r="D6192" s="36" t="s">
        <v>292</v>
      </c>
      <c r="E6192" s="37">
        <v>1</v>
      </c>
      <c r="F6192" s="34" t="s">
        <v>558</v>
      </c>
      <c r="G6192" s="31" t="str">
        <f>IF(ISNUMBER(F6192),E6192*F6192,"")</f>
        <v/>
      </c>
      <c r="H6192" s="39">
        <f>SUM(G6192:G6195)</f>
        <v>71.518954500000007</v>
      </c>
      <c r="I6192" s="40"/>
      <c r="J6192" s="155">
        <v>0</v>
      </c>
    </row>
    <row r="6193" spans="1:10" ht="51" hidden="1" x14ac:dyDescent="0.25">
      <c r="A6193" s="200"/>
      <c r="B6193" s="187"/>
      <c r="C6193" s="36" t="s">
        <v>3270</v>
      </c>
      <c r="D6193" s="36" t="s">
        <v>982</v>
      </c>
      <c r="E6193" s="37">
        <v>0.111</v>
      </c>
      <c r="F6193" s="34">
        <v>177.441</v>
      </c>
      <c r="G6193" s="31">
        <f>IF(ISNUMBER(F6193),E6193*F6193,"")</f>
        <v>19.695951000000001</v>
      </c>
      <c r="H6193" s="45"/>
      <c r="I6193" s="46"/>
      <c r="J6193" s="155">
        <v>0</v>
      </c>
    </row>
    <row r="6194" spans="1:10" hidden="1" x14ac:dyDescent="0.25">
      <c r="A6194" s="200"/>
      <c r="B6194" s="187"/>
      <c r="C6194" s="36" t="s">
        <v>1213</v>
      </c>
      <c r="D6194" s="36" t="s">
        <v>742</v>
      </c>
      <c r="E6194" s="37">
        <f>1.124/2</f>
        <v>0.56200000000000006</v>
      </c>
      <c r="F6194" s="34">
        <v>17.802999999999997</v>
      </c>
      <c r="G6194" s="31">
        <f>IF(ISNUMBER(F6194),E6194*F6194,"")</f>
        <v>10.005286</v>
      </c>
      <c r="H6194" s="45"/>
      <c r="I6194" s="46"/>
      <c r="J6194" s="155">
        <v>0</v>
      </c>
    </row>
    <row r="6195" spans="1:10" hidden="1" x14ac:dyDescent="0.25">
      <c r="A6195" s="200"/>
      <c r="B6195" s="187"/>
      <c r="C6195" s="36" t="s">
        <v>1214</v>
      </c>
      <c r="D6195" s="36" t="s">
        <v>742</v>
      </c>
      <c r="E6195" s="37">
        <f>3.653/2</f>
        <v>1.8265</v>
      </c>
      <c r="F6195" s="31">
        <v>22.895</v>
      </c>
      <c r="G6195" s="31">
        <f>IF(ISNUMBER(F6195),E6195*F6195,"")</f>
        <v>41.817717500000001</v>
      </c>
      <c r="H6195" s="35"/>
      <c r="I6195" s="31"/>
      <c r="J6195" s="155">
        <v>0</v>
      </c>
    </row>
    <row r="6196" spans="1:10" ht="15.75" hidden="1" thickBot="1" x14ac:dyDescent="0.3">
      <c r="A6196" s="201"/>
      <c r="B6196" s="188"/>
      <c r="C6196" s="36"/>
      <c r="D6196" s="36"/>
      <c r="E6196" s="37"/>
      <c r="F6196" s="31" t="s">
        <v>558</v>
      </c>
      <c r="G6196" s="31" t="str">
        <f>IF(ISNUMBER(F6196),E6196*F6196,"")</f>
        <v/>
      </c>
      <c r="H6196" s="35"/>
      <c r="I6196" s="31"/>
      <c r="J6196" s="155">
        <v>0</v>
      </c>
    </row>
    <row r="6197" spans="1:10" ht="15.75" hidden="1" thickBot="1" x14ac:dyDescent="0.3">
      <c r="A6197" s="180" t="s">
        <v>6342</v>
      </c>
      <c r="B6197" s="186" t="str">
        <f>INDEX(Orçamentária!A:B,MATCH(Composições!A6197,Orçamentária!A:A,0),2)</f>
        <v>Suporte para luminária de poste simples – fornecimento e instalação</v>
      </c>
      <c r="C6197" s="41"/>
      <c r="D6197" s="26" t="str">
        <f>TRIM(INDEX(Orçamentária!C:C,MATCH(Composições!A6197,Orçamentária!A:A,0),1))</f>
        <v>un</v>
      </c>
      <c r="E6197" s="27"/>
      <c r="F6197" s="42" t="s">
        <v>558</v>
      </c>
      <c r="G6197" s="28" t="str">
        <f>IF(ISNUMBER(F6197),E6197*F6197,"")</f>
        <v/>
      </c>
      <c r="H6197" s="29"/>
      <c r="I6197" s="30"/>
      <c r="J6197" s="155">
        <v>0</v>
      </c>
    </row>
    <row r="6198" spans="1:10" hidden="1" x14ac:dyDescent="0.25">
      <c r="A6198" s="200"/>
      <c r="B6198" s="187"/>
      <c r="C6198" s="32"/>
      <c r="D6198" s="32"/>
      <c r="E6198" s="33"/>
      <c r="F6198" s="43" t="s">
        <v>558</v>
      </c>
      <c r="G6198" s="31" t="str">
        <f>IF(ISNUMBER(F6198),E6198*F6198,"")</f>
        <v/>
      </c>
      <c r="H6198" s="35"/>
      <c r="I6198" s="31"/>
      <c r="J6198" s="155">
        <v>0</v>
      </c>
    </row>
    <row r="6199" spans="1:10" hidden="1" x14ac:dyDescent="0.25">
      <c r="A6199" s="200"/>
      <c r="B6199" s="187"/>
      <c r="C6199" s="36" t="s">
        <v>6528</v>
      </c>
      <c r="D6199" s="36" t="s">
        <v>292</v>
      </c>
      <c r="E6199" s="37">
        <v>1</v>
      </c>
      <c r="F6199" s="34" t="s">
        <v>558</v>
      </c>
      <c r="G6199" s="31" t="str">
        <f>IF(ISNUMBER(F6199),E6199*F6199,"")</f>
        <v/>
      </c>
      <c r="H6199" s="39">
        <f>SUM(G6199:G6201)</f>
        <v>20.348999999999997</v>
      </c>
      <c r="I6199" s="40"/>
      <c r="J6199" s="155">
        <v>0</v>
      </c>
    </row>
    <row r="6200" spans="1:10" hidden="1" x14ac:dyDescent="0.25">
      <c r="A6200" s="200"/>
      <c r="B6200" s="187"/>
      <c r="C6200" s="36" t="s">
        <v>1213</v>
      </c>
      <c r="D6200" s="36" t="s">
        <v>742</v>
      </c>
      <c r="E6200" s="37">
        <v>0.5</v>
      </c>
      <c r="F6200" s="34">
        <v>17.802999999999997</v>
      </c>
      <c r="G6200" s="31">
        <f>IF(ISNUMBER(F6200),E6200*F6200,"")</f>
        <v>8.9014999999999986</v>
      </c>
      <c r="H6200" s="45"/>
      <c r="I6200" s="46"/>
      <c r="J6200" s="155">
        <v>0</v>
      </c>
    </row>
    <row r="6201" spans="1:10" hidden="1" x14ac:dyDescent="0.25">
      <c r="A6201" s="200"/>
      <c r="B6201" s="187"/>
      <c r="C6201" s="36" t="s">
        <v>1214</v>
      </c>
      <c r="D6201" s="36" t="s">
        <v>742</v>
      </c>
      <c r="E6201" s="37">
        <v>0.5</v>
      </c>
      <c r="F6201" s="31">
        <v>22.895</v>
      </c>
      <c r="G6201" s="31">
        <f>IF(ISNUMBER(F6201),E6201*F6201,"")</f>
        <v>11.4475</v>
      </c>
      <c r="H6201" s="35"/>
      <c r="I6201" s="31"/>
      <c r="J6201" s="155">
        <v>0</v>
      </c>
    </row>
    <row r="6202" spans="1:10" ht="15.75" hidden="1" thickBot="1" x14ac:dyDescent="0.3">
      <c r="A6202" s="201"/>
      <c r="B6202" s="188"/>
      <c r="C6202" s="55"/>
      <c r="D6202" s="55"/>
      <c r="E6202" s="66"/>
      <c r="F6202" s="67" t="s">
        <v>558</v>
      </c>
      <c r="G6202" s="67" t="str">
        <f>IF(ISNUMBER(F6202),E6202*F6202,"")</f>
        <v/>
      </c>
      <c r="H6202" s="69"/>
      <c r="I6202" s="31"/>
      <c r="J6202" s="155">
        <v>0</v>
      </c>
    </row>
  </sheetData>
  <protectedRanges>
    <protectedRange sqref="C217 C108 C3152:C3153 C816 C3296 C1854 C1860 C1896 C1872 C1890 C1866 C1878 C1884 C1902 C1908 C1813 C1818 C1914 C2395 C3157 C3284 C3193 C3214 C3161 C3168 C3130 C3199 C3209 C3183 C3189 C3201 C3290 C1935 C1940 C1945 C2729 C2409 C2750 C2755 C2429 C2401 C2405 C2413 C2417 C2421 C2425 C2433 C2721 C118" name="COTACOES_92_6"/>
    <protectedRange sqref="C355" name="COTACOES_14_1_1"/>
    <protectedRange sqref="C421 C400" name="COTACOES_92_13_1"/>
    <protectedRange sqref="C507" name="COTACOES_92_4_1_1"/>
    <protectedRange sqref="C500" name="COTACOES_92_4_2_1"/>
    <protectedRange sqref="C794:C795 C762 C759:C760 C776:C777 C779 C800" name="COTACOES_92_3_1_1"/>
    <protectedRange sqref="C750" name="COTACOES_92_22_1"/>
    <protectedRange sqref="C1226" name="COTACOES_91_1_2_1"/>
    <protectedRange sqref="C1219" name="COTACOES_91_1_3_1"/>
    <protectedRange sqref="C1388:C1389" name="COTACOES_68_1_1"/>
    <protectedRange sqref="F1526 F1542 F1518 F1510 F1534" name="COTACOES_27_1_2_1_8_1"/>
    <protectedRange sqref="C1550 C1526 C1542 C1518 C1510 C1534" name="COTACOES_5_1_8_1"/>
    <protectedRange sqref="C1407:C1411 C1422:C1426 C1437:C1441 C1452:C1456 C1467:C1471 C1482:C1486 C1497:C1501" name="COTACOES_32_1_1"/>
    <protectedRange sqref="F1582 F1585 F1588" name="COTACOES_27_1_2_1_17_1"/>
    <protectedRange sqref="C1581:C1586 C1588:C1589" name="COTACOES_5_1_17_1"/>
    <protectedRange sqref="C1646 C1629 C1623 C1652 C4923 C4929" name="COTACOES_15_1_1"/>
    <protectedRange sqref="C1735 C1746 C1737 C1748" name="COTACOES_8_1_1"/>
    <protectedRange sqref="C1713 C4783:C4784 C4790:C4791 C4797:C4798 C4804:C4805 C4847:C4848 C4860:C4861 C4866 C4870:C4871 C4876:C4877 C4890:C4891 C4935:C4936 C5447 C5451 C5455 C5459 C1724 C1715 C1726" name="COTACOES_9_1_1_3"/>
    <protectedRange sqref="C1699" name="COTACOES_10_1_1"/>
    <protectedRange sqref="C1773" name="COTACOES_42_1_3"/>
    <protectedRange sqref="C1787" name="COTACOES_42_1_1_1"/>
    <protectedRange sqref="C1801" name="COTACOES_42_1_2_1"/>
    <protectedRange sqref="F1759" name="COTACOES_27_1_1_3_1"/>
    <protectedRange sqref="F1766" name="COTACOES_27_1_1_4_1"/>
    <protectedRange sqref="C1825" name="COTACOES_37_1_1"/>
    <protectedRange sqref="C1831" name="COTACOES_82_1_1"/>
    <protectedRange sqref="C1844" name="COTACOES_58_1_1"/>
    <protectedRange sqref="C1850" name="COTACOES_61_1_1"/>
    <protectedRange sqref="C1856" name="COTACOES_40_1_1"/>
    <protectedRange sqref="C1862" name="COTACOES_36_1_2"/>
    <protectedRange sqref="C1898" name="COTACOES_41_1_2"/>
    <protectedRange sqref="C1874 C1892" name="COTACOES_41_1_1_1"/>
    <protectedRange sqref="C1868" name="COTACOES_36_1_1_1"/>
    <protectedRange sqref="C1880 C1886" name="COTACOES_44_1_1"/>
    <protectedRange sqref="C1904" name="COTACOES_51_1_1"/>
    <protectedRange sqref="F1904" name="COTACOES_54_1_1"/>
    <protectedRange sqref="C1910 C2397 C3040:C3041 C3187 C3181 C3164 C3217 C3171:C3173 C2730 C2745 C2765" name="COTACOES_55_1_3"/>
    <protectedRange sqref="F1910" name="COTACOES_57_1_1"/>
    <protectedRange sqref="C1952" name="COTACOES_75_1_2"/>
    <protectedRange sqref="C1958" name="COTACOES_75_1_1_1"/>
    <protectedRange sqref="C1988 C1980" name="COTACOES_78_1_1"/>
    <protectedRange sqref="C1971" name="COTACOES_80_1_2"/>
    <protectedRange sqref="C1964" name="COTACOES_80_1_1_1"/>
    <protectedRange sqref="C2328" name="COTACOES_62_1_1"/>
    <protectedRange sqref="C2389" name="COTACOES_4_1_1"/>
    <protectedRange sqref="C834:C835" name="COTACOES_92_4_3"/>
    <protectedRange sqref="C785" name="COTACOES_92_2_7"/>
    <protectedRange sqref="C3310" name="COTACOES_92_2_3_2"/>
    <protectedRange sqref="C3313" name="COTACOES_55_1_1_3"/>
    <protectedRange sqref="C3318" name="COTACOES_92_2_5_1"/>
    <protectedRange sqref="C3324" name="COTACOES_55_1_2_1"/>
    <protectedRange sqref="C3608:C3610" name="COTACOES_55_1_1_1_1"/>
    <protectedRange sqref="C3628:C3630 C3643" name="COTACOES_55_1_1_2_1"/>
    <protectedRange sqref="C3634" name="COTACOES_92_1_2_1"/>
    <protectedRange sqref="C3710 C3704 C3641:C3642 C3644 C3636:C3639" name="COTACOES_55_1_1_4_1"/>
    <protectedRange sqref="C3739 C3748" name="COTACOES_92_12_1"/>
    <protectedRange sqref="C3742:C3743 C3751:C3752" name="COTACOES_55_1_5_1"/>
    <protectedRange sqref="C3756" name="COTACOES_92_14_1"/>
    <protectedRange sqref="C3758:C3760" name="COTACOES_55_1_6_1"/>
    <protectedRange sqref="C3768:C3778" name="COTACOES_92_15_1"/>
    <protectedRange sqref="C3831" name="COTACOES_9_1_1_1_1"/>
    <protectedRange sqref="C3840:C3842" name="COTACOES_9_1_1_2_1"/>
    <protectedRange sqref="C3872" name="COTACOES_92_16_1"/>
    <protectedRange sqref="C3875:C3876" name="COTACOES_55_1_7_2"/>
    <protectedRange sqref="C3885" name="COTACOES_92_17_2"/>
    <protectedRange sqref="C3891:C3893" name="COTACOES_55_1_8_1"/>
    <protectedRange sqref="C3857 C4035 C4068 C4075 C4082 C4100" name="COTACOES_55_1_7_1_2"/>
    <protectedRange sqref="C3911 C3920 C3929 C3938 C3947 C3956" name="COTACOES_92_17_1_1"/>
    <protectedRange sqref="C3977" name="COTACOES_55_1_7_1_1_1"/>
    <protectedRange sqref="C2437 C2649 C2441 C2445 C2457 C2461 C2465 C2469 C2473 C2477 C2481 C2485 C2489 C2493 C2497 C2501 C2505 C2509 C2513 C2517 C2521 C2525 C2529 C2533 C2537 C2541 C2545 C2549 C2553 C2653 C2449 C2453" name="COTACOES_92_3_2"/>
    <protectedRange sqref="C2557 C2561 C2565 C2585 C2577 C2579:C2580 C2587:C2588 C2593 C2595:C2596 C2601 C2605 C2609 C2613 C2621 C2625 C2629 C2633 C2641 C2617 C2645" name="COTACOES_92_5_2"/>
    <protectedRange sqref="C3994 C3984:C3986 C3990:C3991" name="COTACOES_55_1_7_1_1_1_1"/>
    <protectedRange sqref="C4246" name="COTACOES_92_17_1_1_1"/>
    <protectedRange sqref="C2657:C2659 C2663:C2665 C2669:C2671 C2675:C2677 C2681:C2683 C2687:C2689 C2699:C2701 C2705:C2707 C2711:C2713 C2693:C2695" name="COTACOES_92_3_2_1"/>
    <protectedRange sqref="C4228" name="COTACOES_92_17_1_1_1_1"/>
    <protectedRange sqref="C388" name="COTACOES_92_3_1_1_1"/>
    <protectedRange sqref="C409" name="COTACOES_92_3_1_1_2"/>
    <protectedRange sqref="C418" name="COTACOES_92_3_1_1_3"/>
    <protectedRange sqref="C797" name="COTACOES_92_3_1_1_4"/>
    <protectedRange sqref="C808" name="COTACOES_92_3_1_1_5"/>
    <protectedRange sqref="C2573" name="COTACOES_92_5_2_1"/>
    <protectedRange sqref="C4101" name="COTACOES_92_5_2_2"/>
    <protectedRange sqref="C1736" name="COTACOES_9_1_1_3_1"/>
    <protectedRange sqref="C1747" name="COTACOES_9_1_1_3_2"/>
    <protectedRange sqref="C1714 C1725" name="COTACOES_9_1_1_3_3"/>
    <protectedRange sqref="C5222 C5224 C5230 C5232 C5238 C5240 C5246 C5248 C5281:C5282 C5275:C5276 C5294:C5295 C5300:C5301" name="COTACOES_8_1_1_1"/>
    <protectedRange sqref="C5223 C5231 C5239 C5247" name="COTACOES_9_1_1_3_4"/>
    <protectedRange sqref="C6192 C6194 C6199:C6200" name="COTACOES_8_1_1_2"/>
    <protectedRange sqref="C6193" name="COTACOES_9_1_1_3_5"/>
  </protectedRanges>
  <autoFilter ref="A5:J6202">
    <filterColumn colId="9">
      <filters>
        <filter val="1,00"/>
        <filter val="1600,00"/>
        <filter val="260,00"/>
        <filter val="30,00"/>
        <filter val="40,00"/>
        <filter val="600,00"/>
      </filters>
    </filterColumn>
  </autoFilter>
  <mergeCells count="1888">
    <mergeCell ref="A6137:A6146"/>
    <mergeCell ref="B6137:B6146"/>
    <mergeCell ref="A6147:A6155"/>
    <mergeCell ref="B6147:B6155"/>
    <mergeCell ref="A6156:A6160"/>
    <mergeCell ref="B6156:B6160"/>
    <mergeCell ref="A6161:A6174"/>
    <mergeCell ref="B6161:B6174"/>
    <mergeCell ref="A6175:A6189"/>
    <mergeCell ref="B6175:B6189"/>
    <mergeCell ref="A6190:A6196"/>
    <mergeCell ref="B6190:B6196"/>
    <mergeCell ref="A6197:A6202"/>
    <mergeCell ref="B6197:B6202"/>
    <mergeCell ref="A6051:A6056"/>
    <mergeCell ref="B6051:B6056"/>
    <mergeCell ref="A6057:A6065"/>
    <mergeCell ref="B6057:B6065"/>
    <mergeCell ref="A6066:A6076"/>
    <mergeCell ref="B6066:B6076"/>
    <mergeCell ref="A6077:A6084"/>
    <mergeCell ref="B6077:B6084"/>
    <mergeCell ref="A6085:A6092"/>
    <mergeCell ref="B6085:B6092"/>
    <mergeCell ref="A6093:A6101"/>
    <mergeCell ref="B6093:B6101"/>
    <mergeCell ref="A6102:A6112"/>
    <mergeCell ref="B6102:B6112"/>
    <mergeCell ref="A6113:A6136"/>
    <mergeCell ref="B6113:B6136"/>
    <mergeCell ref="A5292:A5297"/>
    <mergeCell ref="B5292:B5297"/>
    <mergeCell ref="A5298:A5303"/>
    <mergeCell ref="B5298:B5303"/>
    <mergeCell ref="A5304:A5309"/>
    <mergeCell ref="B5304:B5309"/>
    <mergeCell ref="A5310:A5313"/>
    <mergeCell ref="B5310:B5313"/>
    <mergeCell ref="A5321:A5324"/>
    <mergeCell ref="B5321:B5324"/>
    <mergeCell ref="A5138:A5143"/>
    <mergeCell ref="B5138:B5143"/>
    <mergeCell ref="A5175:A5181"/>
    <mergeCell ref="B5175:B5181"/>
    <mergeCell ref="A5182:A5188"/>
    <mergeCell ref="B5182:B5188"/>
    <mergeCell ref="A5189:A5194"/>
    <mergeCell ref="B5189:B5194"/>
    <mergeCell ref="A5195:A5200"/>
    <mergeCell ref="B5195:B5200"/>
    <mergeCell ref="A5201:A5207"/>
    <mergeCell ref="B5201:B5207"/>
    <mergeCell ref="A5208:A5213"/>
    <mergeCell ref="B5208:B5213"/>
    <mergeCell ref="A5214:A5219"/>
    <mergeCell ref="B5214:B5219"/>
    <mergeCell ref="A5220:A5227"/>
    <mergeCell ref="B5220:B5227"/>
    <mergeCell ref="A5150:A5155"/>
    <mergeCell ref="B5150:B5155"/>
    <mergeCell ref="A5314:A5320"/>
    <mergeCell ref="B5314:B5320"/>
    <mergeCell ref="A5080:A5085"/>
    <mergeCell ref="B5080:B5085"/>
    <mergeCell ref="A5086:A5092"/>
    <mergeCell ref="B5086:B5092"/>
    <mergeCell ref="A5093:A5104"/>
    <mergeCell ref="B5093:B5104"/>
    <mergeCell ref="A5113:A5118"/>
    <mergeCell ref="B5113:B5118"/>
    <mergeCell ref="A5119:A5125"/>
    <mergeCell ref="B5119:B5125"/>
    <mergeCell ref="A5016:A5023"/>
    <mergeCell ref="B5016:B5023"/>
    <mergeCell ref="A5024:A5031"/>
    <mergeCell ref="B5024:B5031"/>
    <mergeCell ref="A5032:A5039"/>
    <mergeCell ref="B5032:B5039"/>
    <mergeCell ref="A5040:A5049"/>
    <mergeCell ref="B5040:B5049"/>
    <mergeCell ref="A5050:A5059"/>
    <mergeCell ref="B5050:B5059"/>
    <mergeCell ref="A5060:A5066"/>
    <mergeCell ref="B5060:B5066"/>
    <mergeCell ref="A5067:A5073"/>
    <mergeCell ref="B5067:B5073"/>
    <mergeCell ref="A5074:A5079"/>
    <mergeCell ref="B5074:B5079"/>
    <mergeCell ref="A5105:A5112"/>
    <mergeCell ref="B5105:B5112"/>
    <mergeCell ref="A4980:A4987"/>
    <mergeCell ref="B4980:B4987"/>
    <mergeCell ref="A4988:A4995"/>
    <mergeCell ref="B4988:B4995"/>
    <mergeCell ref="A4996:A5001"/>
    <mergeCell ref="B4996:B5001"/>
    <mergeCell ref="A5002:A5009"/>
    <mergeCell ref="B5002:B5009"/>
    <mergeCell ref="A5010:A5015"/>
    <mergeCell ref="B5010:B5015"/>
    <mergeCell ref="B135:B138"/>
    <mergeCell ref="A183:A189"/>
    <mergeCell ref="B183:B189"/>
    <mergeCell ref="A190:A196"/>
    <mergeCell ref="B190:B196"/>
    <mergeCell ref="A197:A200"/>
    <mergeCell ref="B197:B200"/>
    <mergeCell ref="A214:A218"/>
    <mergeCell ref="B214:B218"/>
    <mergeCell ref="A219:A223"/>
    <mergeCell ref="B219:B223"/>
    <mergeCell ref="A224:A227"/>
    <mergeCell ref="B224:B227"/>
    <mergeCell ref="A201:A204"/>
    <mergeCell ref="B201:B204"/>
    <mergeCell ref="A205:A209"/>
    <mergeCell ref="B161:B165"/>
    <mergeCell ref="A166:A170"/>
    <mergeCell ref="B166:B170"/>
    <mergeCell ref="A236:A239"/>
    <mergeCell ref="B236:B239"/>
    <mergeCell ref="A268:A275"/>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4958:A4963"/>
    <mergeCell ref="B4958:B4963"/>
    <mergeCell ref="A4964:A4971"/>
    <mergeCell ref="B4964:B4971"/>
    <mergeCell ref="A139:A143"/>
    <mergeCell ref="B139:B143"/>
    <mergeCell ref="A144:A148"/>
    <mergeCell ref="B144:B148"/>
    <mergeCell ref="A149:A153"/>
    <mergeCell ref="B149:B153"/>
    <mergeCell ref="A171:A174"/>
    <mergeCell ref="B171:B174"/>
    <mergeCell ref="A175:A178"/>
    <mergeCell ref="B175:B178"/>
    <mergeCell ref="A179:A182"/>
    <mergeCell ref="B179:B182"/>
    <mergeCell ref="A154:A160"/>
    <mergeCell ref="B154:B160"/>
    <mergeCell ref="A161:A165"/>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A126:A130"/>
    <mergeCell ref="B126:B130"/>
    <mergeCell ref="A131:A134"/>
    <mergeCell ref="B131:B134"/>
    <mergeCell ref="A135:A138"/>
    <mergeCell ref="A111:A115"/>
    <mergeCell ref="B111:B115"/>
    <mergeCell ref="A116:A120"/>
    <mergeCell ref="B116:B120"/>
    <mergeCell ref="A121:A125"/>
    <mergeCell ref="B121:B125"/>
    <mergeCell ref="B205:B209"/>
    <mergeCell ref="A210:A213"/>
    <mergeCell ref="B210:B213"/>
    <mergeCell ref="A228:A231"/>
    <mergeCell ref="B228:B231"/>
    <mergeCell ref="A232:A235"/>
    <mergeCell ref="B232:B235"/>
    <mergeCell ref="B268:B275"/>
    <mergeCell ref="A276:A282"/>
    <mergeCell ref="B276:B282"/>
    <mergeCell ref="A283:A289"/>
    <mergeCell ref="B283:B289"/>
    <mergeCell ref="A240:A247"/>
    <mergeCell ref="B240:B247"/>
    <mergeCell ref="A248:A262"/>
    <mergeCell ref="B248:B262"/>
    <mergeCell ref="A263:A267"/>
    <mergeCell ref="B263:B267"/>
    <mergeCell ref="A290:A304"/>
    <mergeCell ref="B290:B304"/>
    <mergeCell ref="A305:A319"/>
    <mergeCell ref="B305:B319"/>
    <mergeCell ref="A320:A325"/>
    <mergeCell ref="B320:B325"/>
    <mergeCell ref="A365:A370"/>
    <mergeCell ref="B365:B370"/>
    <mergeCell ref="A371:A379"/>
    <mergeCell ref="B371:B379"/>
    <mergeCell ref="A380:A393"/>
    <mergeCell ref="B380:B393"/>
    <mergeCell ref="A326:A340"/>
    <mergeCell ref="B326:B340"/>
    <mergeCell ref="A341:A350"/>
    <mergeCell ref="B341:B350"/>
    <mergeCell ref="A351:A364"/>
    <mergeCell ref="B351:B364"/>
    <mergeCell ref="A394:A400"/>
    <mergeCell ref="B394:B400"/>
    <mergeCell ref="A401:A414"/>
    <mergeCell ref="B401:B414"/>
    <mergeCell ref="A415:A421"/>
    <mergeCell ref="B415:B421"/>
    <mergeCell ref="A606:A614"/>
    <mergeCell ref="B606:B614"/>
    <mergeCell ref="A561:A568"/>
    <mergeCell ref="B561:B568"/>
    <mergeCell ref="A569:A578"/>
    <mergeCell ref="B569:B578"/>
    <mergeCell ref="A446:A453"/>
    <mergeCell ref="B446:B453"/>
    <mergeCell ref="A454:A463"/>
    <mergeCell ref="B454:B463"/>
    <mergeCell ref="A464:A470"/>
    <mergeCell ref="B464:B470"/>
    <mergeCell ref="A422:A433"/>
    <mergeCell ref="B422:B433"/>
    <mergeCell ref="A434:A439"/>
    <mergeCell ref="B434:B439"/>
    <mergeCell ref="A440:A445"/>
    <mergeCell ref="B440:B445"/>
    <mergeCell ref="A471:A482"/>
    <mergeCell ref="B471:B482"/>
    <mergeCell ref="A483:A488"/>
    <mergeCell ref="B483:B488"/>
    <mergeCell ref="A489:A496"/>
    <mergeCell ref="B489:B496"/>
    <mergeCell ref="A637:A643"/>
    <mergeCell ref="B637:B643"/>
    <mergeCell ref="A644:A647"/>
    <mergeCell ref="B644:B647"/>
    <mergeCell ref="A648:A651"/>
    <mergeCell ref="B648:B651"/>
    <mergeCell ref="A517:A523"/>
    <mergeCell ref="B517:B523"/>
    <mergeCell ref="A524:A530"/>
    <mergeCell ref="B524:B530"/>
    <mergeCell ref="A531:A536"/>
    <mergeCell ref="B531:B536"/>
    <mergeCell ref="A497:A503"/>
    <mergeCell ref="B497:B503"/>
    <mergeCell ref="A504:A510"/>
    <mergeCell ref="B504:B510"/>
    <mergeCell ref="A511:A516"/>
    <mergeCell ref="B511:B516"/>
    <mergeCell ref="A615:A620"/>
    <mergeCell ref="B615:B620"/>
    <mergeCell ref="A621:A628"/>
    <mergeCell ref="B621:B628"/>
    <mergeCell ref="A537:A544"/>
    <mergeCell ref="B537:B544"/>
    <mergeCell ref="A545:A552"/>
    <mergeCell ref="B545:B552"/>
    <mergeCell ref="A553:A560"/>
    <mergeCell ref="B553:B560"/>
    <mergeCell ref="A588:A595"/>
    <mergeCell ref="B588:B595"/>
    <mergeCell ref="A596:A605"/>
    <mergeCell ref="B596:B605"/>
    <mergeCell ref="A736:A743"/>
    <mergeCell ref="B736:B743"/>
    <mergeCell ref="A744:A747"/>
    <mergeCell ref="B744:B747"/>
    <mergeCell ref="A748:A754"/>
    <mergeCell ref="B748:B754"/>
    <mergeCell ref="A579:A587"/>
    <mergeCell ref="B579:B587"/>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29:A636"/>
    <mergeCell ref="B629:B636"/>
    <mergeCell ref="A652:A655"/>
    <mergeCell ref="B652:B655"/>
    <mergeCell ref="A656:A659"/>
    <mergeCell ref="B656:B659"/>
    <mergeCell ref="A660:A663"/>
    <mergeCell ref="B660:B663"/>
    <mergeCell ref="A714:A722"/>
    <mergeCell ref="B714:B72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899:A902"/>
    <mergeCell ref="B899:B902"/>
    <mergeCell ref="A903:A908"/>
    <mergeCell ref="B903:B908"/>
    <mergeCell ref="A909:A917"/>
    <mergeCell ref="B909:B917"/>
    <mergeCell ref="A881:A886"/>
    <mergeCell ref="B881:B886"/>
    <mergeCell ref="A887:A891"/>
    <mergeCell ref="B887:B891"/>
    <mergeCell ref="A892:A898"/>
    <mergeCell ref="B892:B898"/>
    <mergeCell ref="A862:A866"/>
    <mergeCell ref="B862:B866"/>
    <mergeCell ref="A867:A874"/>
    <mergeCell ref="B867:B874"/>
    <mergeCell ref="A875:A880"/>
    <mergeCell ref="B875:B880"/>
    <mergeCell ref="A962:A968"/>
    <mergeCell ref="B962:B968"/>
    <mergeCell ref="A969:A975"/>
    <mergeCell ref="B969:B975"/>
    <mergeCell ref="A976:A986"/>
    <mergeCell ref="B976:B986"/>
    <mergeCell ref="A943:A948"/>
    <mergeCell ref="B943:B948"/>
    <mergeCell ref="A949:A954"/>
    <mergeCell ref="B949:B954"/>
    <mergeCell ref="A955:A961"/>
    <mergeCell ref="B955:B961"/>
    <mergeCell ref="A918:A924"/>
    <mergeCell ref="B918:B924"/>
    <mergeCell ref="A925:A933"/>
    <mergeCell ref="B925:B933"/>
    <mergeCell ref="A934:A942"/>
    <mergeCell ref="B934:B942"/>
    <mergeCell ref="A1032:A1040"/>
    <mergeCell ref="B1032:B1040"/>
    <mergeCell ref="A1041:A1047"/>
    <mergeCell ref="B1041:B1047"/>
    <mergeCell ref="A1048:A1054"/>
    <mergeCell ref="B1048:B1054"/>
    <mergeCell ref="A1008:A1016"/>
    <mergeCell ref="B1008:B1016"/>
    <mergeCell ref="A1017:A1021"/>
    <mergeCell ref="B1017:B1021"/>
    <mergeCell ref="A1022:A1031"/>
    <mergeCell ref="B1022:B1031"/>
    <mergeCell ref="A987:A997"/>
    <mergeCell ref="B987:B997"/>
    <mergeCell ref="A998:A1002"/>
    <mergeCell ref="B998:B1002"/>
    <mergeCell ref="A1003:A1007"/>
    <mergeCell ref="B1003:B1007"/>
    <mergeCell ref="A1104:A1111"/>
    <mergeCell ref="B1104:B1111"/>
    <mergeCell ref="A1112:A1116"/>
    <mergeCell ref="B1112:B1116"/>
    <mergeCell ref="A1117:A1121"/>
    <mergeCell ref="B1117:B1121"/>
    <mergeCell ref="A1078:A1085"/>
    <mergeCell ref="B1078:B1085"/>
    <mergeCell ref="A1086:A1093"/>
    <mergeCell ref="B1086:B1093"/>
    <mergeCell ref="A1094:A1103"/>
    <mergeCell ref="B1094:B1103"/>
    <mergeCell ref="A1055:A1061"/>
    <mergeCell ref="B1055:B1061"/>
    <mergeCell ref="A1062:A1068"/>
    <mergeCell ref="B1062:B1068"/>
    <mergeCell ref="A1069:A1077"/>
    <mergeCell ref="B1069:B1077"/>
    <mergeCell ref="A1161:A1167"/>
    <mergeCell ref="B1161:B1167"/>
    <mergeCell ref="A1168:A1174"/>
    <mergeCell ref="B1168:B1174"/>
    <mergeCell ref="A1175:A1181"/>
    <mergeCell ref="B1175:B1181"/>
    <mergeCell ref="A1140:A1146"/>
    <mergeCell ref="B1140:B1146"/>
    <mergeCell ref="A1147:A1153"/>
    <mergeCell ref="B1147:B1153"/>
    <mergeCell ref="A1154:A1160"/>
    <mergeCell ref="B1154:B1160"/>
    <mergeCell ref="A1122:A1127"/>
    <mergeCell ref="B1122:B1127"/>
    <mergeCell ref="A1128:A1132"/>
    <mergeCell ref="B1128:B1132"/>
    <mergeCell ref="A1133:A1139"/>
    <mergeCell ref="B1133:B1139"/>
    <mergeCell ref="A1224:A1230"/>
    <mergeCell ref="B1224:B1230"/>
    <mergeCell ref="A1231:A1237"/>
    <mergeCell ref="B1231:B1237"/>
    <mergeCell ref="A1238:A1244"/>
    <mergeCell ref="B1238:B1244"/>
    <mergeCell ref="A1203:A1209"/>
    <mergeCell ref="B1203:B1209"/>
    <mergeCell ref="A1210:A1216"/>
    <mergeCell ref="B1210:B1216"/>
    <mergeCell ref="A1217:A1223"/>
    <mergeCell ref="B1217:B1223"/>
    <mergeCell ref="A1182:A1188"/>
    <mergeCell ref="B1182:B1188"/>
    <mergeCell ref="A1189:A1195"/>
    <mergeCell ref="B1189:B1195"/>
    <mergeCell ref="A1196:A1202"/>
    <mergeCell ref="B1196:B1202"/>
    <mergeCell ref="A1286:A1292"/>
    <mergeCell ref="B1286:B1292"/>
    <mergeCell ref="A1293:A1299"/>
    <mergeCell ref="B1293:B1299"/>
    <mergeCell ref="A1300:A1307"/>
    <mergeCell ref="B1300:B1307"/>
    <mergeCell ref="A1266:A1271"/>
    <mergeCell ref="B1266:B1271"/>
    <mergeCell ref="A1272:A1278"/>
    <mergeCell ref="B1272:B1278"/>
    <mergeCell ref="A1279:A1285"/>
    <mergeCell ref="B1279:B1285"/>
    <mergeCell ref="A1245:A1251"/>
    <mergeCell ref="B1245:B1251"/>
    <mergeCell ref="A1252:A1258"/>
    <mergeCell ref="B1252:B1258"/>
    <mergeCell ref="A1259:A1265"/>
    <mergeCell ref="B1259:B1265"/>
    <mergeCell ref="A1347:A1352"/>
    <mergeCell ref="B1347:B1352"/>
    <mergeCell ref="A1353:A1359"/>
    <mergeCell ref="B1353:B1359"/>
    <mergeCell ref="A1360:A1365"/>
    <mergeCell ref="B1360:B1365"/>
    <mergeCell ref="A1328:A1333"/>
    <mergeCell ref="B1328:B1333"/>
    <mergeCell ref="A1334:A1339"/>
    <mergeCell ref="B1334:B1339"/>
    <mergeCell ref="A1340:A1346"/>
    <mergeCell ref="B1340:B1346"/>
    <mergeCell ref="A1308:A1316"/>
    <mergeCell ref="B1308:B1316"/>
    <mergeCell ref="A1317:A1321"/>
    <mergeCell ref="B1317:B1321"/>
    <mergeCell ref="A1322:A1327"/>
    <mergeCell ref="B1322:B1327"/>
    <mergeCell ref="A1403:A1417"/>
    <mergeCell ref="B1403:B1417"/>
    <mergeCell ref="A1418:A1432"/>
    <mergeCell ref="B1418:B1432"/>
    <mergeCell ref="A1433:A1447"/>
    <mergeCell ref="B1433:B1447"/>
    <mergeCell ref="A1384:A1389"/>
    <mergeCell ref="B1384:B1389"/>
    <mergeCell ref="A1390:A1395"/>
    <mergeCell ref="B1390:B1395"/>
    <mergeCell ref="A1396:A1402"/>
    <mergeCell ref="B1396:B1402"/>
    <mergeCell ref="A1366:A1371"/>
    <mergeCell ref="B1366:B1371"/>
    <mergeCell ref="A1372:A1377"/>
    <mergeCell ref="B1372:B1377"/>
    <mergeCell ref="A1378:A1383"/>
    <mergeCell ref="B1378:B1383"/>
    <mergeCell ref="A1524:A1531"/>
    <mergeCell ref="B1524:B1531"/>
    <mergeCell ref="A1532:A1539"/>
    <mergeCell ref="B1532:B1539"/>
    <mergeCell ref="A1540:A1547"/>
    <mergeCell ref="B1540:B1547"/>
    <mergeCell ref="A1493:A1507"/>
    <mergeCell ref="B1493:B1507"/>
    <mergeCell ref="A1508:A1515"/>
    <mergeCell ref="B1508:B1515"/>
    <mergeCell ref="A1516:A1523"/>
    <mergeCell ref="B1516:B1523"/>
    <mergeCell ref="A1448:A1462"/>
    <mergeCell ref="B1448:B1462"/>
    <mergeCell ref="A1463:A1477"/>
    <mergeCell ref="B1463:B1477"/>
    <mergeCell ref="A1478:A1492"/>
    <mergeCell ref="B1478:B1492"/>
    <mergeCell ref="A1597:A1602"/>
    <mergeCell ref="B1597:B1602"/>
    <mergeCell ref="A1603:A1608"/>
    <mergeCell ref="B1603:B1608"/>
    <mergeCell ref="A1609:A1615"/>
    <mergeCell ref="B1609:B1615"/>
    <mergeCell ref="A1569:A1575"/>
    <mergeCell ref="B1569:B1575"/>
    <mergeCell ref="A1576:A1590"/>
    <mergeCell ref="B1576:B1590"/>
    <mergeCell ref="A1591:A1596"/>
    <mergeCell ref="B1591:B1596"/>
    <mergeCell ref="A1548:A1554"/>
    <mergeCell ref="B1548:B1554"/>
    <mergeCell ref="A1555:A1561"/>
    <mergeCell ref="B1555:B1561"/>
    <mergeCell ref="A1562:A1568"/>
    <mergeCell ref="B1562:B1568"/>
    <mergeCell ref="A1650:A1655"/>
    <mergeCell ref="B1650:B1655"/>
    <mergeCell ref="A1656:A1661"/>
    <mergeCell ref="B1656:B1661"/>
    <mergeCell ref="A1662:A1666"/>
    <mergeCell ref="B1662:B1666"/>
    <mergeCell ref="A1633:A1637"/>
    <mergeCell ref="B1633:B1637"/>
    <mergeCell ref="A1638:A1643"/>
    <mergeCell ref="B1638:B1643"/>
    <mergeCell ref="A1644:A1649"/>
    <mergeCell ref="B1644:B1649"/>
    <mergeCell ref="A1616:A1620"/>
    <mergeCell ref="B1616:B1620"/>
    <mergeCell ref="A1621:A1626"/>
    <mergeCell ref="B1621:B1626"/>
    <mergeCell ref="A1627:A1632"/>
    <mergeCell ref="B1627:B1632"/>
    <mergeCell ref="A1703:A1710"/>
    <mergeCell ref="B1703:B1710"/>
    <mergeCell ref="A1711:A1721"/>
    <mergeCell ref="B1711:B1721"/>
    <mergeCell ref="A1722:A1732"/>
    <mergeCell ref="B1722:B1732"/>
    <mergeCell ref="A1683:A1689"/>
    <mergeCell ref="B1683:B1689"/>
    <mergeCell ref="A1690:A1696"/>
    <mergeCell ref="B1690:B1696"/>
    <mergeCell ref="A1697:A1702"/>
    <mergeCell ref="B1697:B1702"/>
    <mergeCell ref="A1667:A1671"/>
    <mergeCell ref="B1667:B1671"/>
    <mergeCell ref="A1672:A1676"/>
    <mergeCell ref="B1672:B1676"/>
    <mergeCell ref="A1677:A1682"/>
    <mergeCell ref="B1677:B1682"/>
    <mergeCell ref="A1783:A1789"/>
    <mergeCell ref="B1783:B1789"/>
    <mergeCell ref="A1790:A1796"/>
    <mergeCell ref="B1790:B1796"/>
    <mergeCell ref="A1797:A1803"/>
    <mergeCell ref="B1797:B1803"/>
    <mergeCell ref="A1762:A1768"/>
    <mergeCell ref="B1762:B1768"/>
    <mergeCell ref="A1769:A1775"/>
    <mergeCell ref="B1769:B1775"/>
    <mergeCell ref="A1776:A1782"/>
    <mergeCell ref="B1776:B1782"/>
    <mergeCell ref="A1733:A1743"/>
    <mergeCell ref="B1733:B1743"/>
    <mergeCell ref="A1744:A1754"/>
    <mergeCell ref="B1744:B1754"/>
    <mergeCell ref="A1755:A1761"/>
    <mergeCell ref="B1755:B1761"/>
    <mergeCell ref="A1840:A1845"/>
    <mergeCell ref="B1840:B1845"/>
    <mergeCell ref="A1846:A1851"/>
    <mergeCell ref="B1846:B1851"/>
    <mergeCell ref="A1852:A1857"/>
    <mergeCell ref="B1852:B1857"/>
    <mergeCell ref="A1821:A1826"/>
    <mergeCell ref="B1821:B1826"/>
    <mergeCell ref="A1827:A1832"/>
    <mergeCell ref="B1827:B1832"/>
    <mergeCell ref="A1833:A1839"/>
    <mergeCell ref="B1833:B1839"/>
    <mergeCell ref="A1804:A1810"/>
    <mergeCell ref="B1804:B1810"/>
    <mergeCell ref="A1811:A1815"/>
    <mergeCell ref="B1811:B1815"/>
    <mergeCell ref="A1816:A1820"/>
    <mergeCell ref="B1816:B1820"/>
    <mergeCell ref="A1894:A1899"/>
    <mergeCell ref="B1894:B1899"/>
    <mergeCell ref="A1900:A1905"/>
    <mergeCell ref="B1900:B1905"/>
    <mergeCell ref="A1906:A1911"/>
    <mergeCell ref="B1906:B1911"/>
    <mergeCell ref="A1876:A1881"/>
    <mergeCell ref="B1876:B1881"/>
    <mergeCell ref="A1882:A1887"/>
    <mergeCell ref="B1882:B1887"/>
    <mergeCell ref="A1888:A1893"/>
    <mergeCell ref="B1888:B1893"/>
    <mergeCell ref="A1858:A1863"/>
    <mergeCell ref="B1858:B1863"/>
    <mergeCell ref="A1864:A1869"/>
    <mergeCell ref="B1864:B1869"/>
    <mergeCell ref="A1870:A1875"/>
    <mergeCell ref="B1870:B1875"/>
    <mergeCell ref="A1943:A1947"/>
    <mergeCell ref="B1943:B1947"/>
    <mergeCell ref="A1948:A1953"/>
    <mergeCell ref="B1948:B1953"/>
    <mergeCell ref="A1954:A1959"/>
    <mergeCell ref="B1954:B1959"/>
    <mergeCell ref="A1927:A1932"/>
    <mergeCell ref="B1927:B1932"/>
    <mergeCell ref="A1933:A1937"/>
    <mergeCell ref="B1933:B1937"/>
    <mergeCell ref="A1938:A1942"/>
    <mergeCell ref="B1938:B1942"/>
    <mergeCell ref="A1912:A1916"/>
    <mergeCell ref="B1912:B1916"/>
    <mergeCell ref="A1917:A1921"/>
    <mergeCell ref="B1917:B1921"/>
    <mergeCell ref="A1922:A1926"/>
    <mergeCell ref="B1922:B1926"/>
    <mergeCell ref="A2004:A2010"/>
    <mergeCell ref="B2004:B2010"/>
    <mergeCell ref="A2011:A2017"/>
    <mergeCell ref="B2011:B2017"/>
    <mergeCell ref="A2018:A2023"/>
    <mergeCell ref="B2018:B2023"/>
    <mergeCell ref="A1982:A1989"/>
    <mergeCell ref="B1982:B1989"/>
    <mergeCell ref="A1990:A1996"/>
    <mergeCell ref="B1990:B1996"/>
    <mergeCell ref="A1997:A2003"/>
    <mergeCell ref="B1997:B2003"/>
    <mergeCell ref="A1960:A1966"/>
    <mergeCell ref="B1960:B1966"/>
    <mergeCell ref="A1967:A1973"/>
    <mergeCell ref="B1967:B1973"/>
    <mergeCell ref="A1974:A1981"/>
    <mergeCell ref="B1974:B1981"/>
    <mergeCell ref="A2072:A2079"/>
    <mergeCell ref="B2072:B2079"/>
    <mergeCell ref="A2080:A2087"/>
    <mergeCell ref="B2080:B2087"/>
    <mergeCell ref="A2088:A2095"/>
    <mergeCell ref="B2088:B2095"/>
    <mergeCell ref="A2048:A2055"/>
    <mergeCell ref="B2048:B2055"/>
    <mergeCell ref="A2056:A2063"/>
    <mergeCell ref="B2056:B2063"/>
    <mergeCell ref="A2064:A2071"/>
    <mergeCell ref="B2064:B2071"/>
    <mergeCell ref="A2024:A2031"/>
    <mergeCell ref="B2024:B2031"/>
    <mergeCell ref="A2032:A2039"/>
    <mergeCell ref="B2032:B2039"/>
    <mergeCell ref="A2040:A2047"/>
    <mergeCell ref="B2040:B2047"/>
    <mergeCell ref="A2136:A2141"/>
    <mergeCell ref="B2136:B2141"/>
    <mergeCell ref="A2142:A2149"/>
    <mergeCell ref="B2142:B2149"/>
    <mergeCell ref="A2150:A2157"/>
    <mergeCell ref="B2150:B2157"/>
    <mergeCell ref="A2118:A2123"/>
    <mergeCell ref="B2118:B2123"/>
    <mergeCell ref="A2124:A2129"/>
    <mergeCell ref="B2124:B2129"/>
    <mergeCell ref="A2130:A2135"/>
    <mergeCell ref="B2130:B2135"/>
    <mergeCell ref="A2096:A2103"/>
    <mergeCell ref="B2096:B2103"/>
    <mergeCell ref="A2104:A2111"/>
    <mergeCell ref="B2104:B2111"/>
    <mergeCell ref="A2112:A2117"/>
    <mergeCell ref="B2112:B2117"/>
    <mergeCell ref="A2206:A2210"/>
    <mergeCell ref="B2206:B2210"/>
    <mergeCell ref="A2211:A2217"/>
    <mergeCell ref="B2211:B2217"/>
    <mergeCell ref="A2218:A2223"/>
    <mergeCell ref="B2218:B2223"/>
    <mergeCell ref="A2182:A2189"/>
    <mergeCell ref="B2182:B2189"/>
    <mergeCell ref="A2190:A2197"/>
    <mergeCell ref="B2190:B2197"/>
    <mergeCell ref="A2198:A2205"/>
    <mergeCell ref="B2198:B2205"/>
    <mergeCell ref="A2158:A2165"/>
    <mergeCell ref="B2158:B2165"/>
    <mergeCell ref="A2166:A2173"/>
    <mergeCell ref="B2166:B2173"/>
    <mergeCell ref="A2174:A2181"/>
    <mergeCell ref="B2174:B2181"/>
    <mergeCell ref="A2276:A2285"/>
    <mergeCell ref="B2276:B2285"/>
    <mergeCell ref="A2286:A2295"/>
    <mergeCell ref="B2286:B2295"/>
    <mergeCell ref="A2296:A2305"/>
    <mergeCell ref="B2296:B2305"/>
    <mergeCell ref="A2250:A2255"/>
    <mergeCell ref="B2250:B2255"/>
    <mergeCell ref="A2256:A2265"/>
    <mergeCell ref="B2256:B2265"/>
    <mergeCell ref="A2266:A2275"/>
    <mergeCell ref="B2266:B2275"/>
    <mergeCell ref="A2224:A2229"/>
    <mergeCell ref="B2224:B2229"/>
    <mergeCell ref="A2230:A2235"/>
    <mergeCell ref="B2230:B2235"/>
    <mergeCell ref="A2236:A2249"/>
    <mergeCell ref="B2236:B2249"/>
    <mergeCell ref="A2344:A2348"/>
    <mergeCell ref="B2344:B2348"/>
    <mergeCell ref="A2349:A2353"/>
    <mergeCell ref="B2349:B2353"/>
    <mergeCell ref="A2354:A2358"/>
    <mergeCell ref="B2354:B2358"/>
    <mergeCell ref="A2326:A2331"/>
    <mergeCell ref="B2326:B2331"/>
    <mergeCell ref="A2332:A2337"/>
    <mergeCell ref="B2332:B2337"/>
    <mergeCell ref="A2338:A2343"/>
    <mergeCell ref="B2338:B2343"/>
    <mergeCell ref="A2306:A2312"/>
    <mergeCell ref="B2306:B2312"/>
    <mergeCell ref="A2313:A2319"/>
    <mergeCell ref="B2313:B2319"/>
    <mergeCell ref="A2320:A2325"/>
    <mergeCell ref="B2320:B2325"/>
    <mergeCell ref="A2380:A2385"/>
    <mergeCell ref="B2380:B2385"/>
    <mergeCell ref="A2386:A2392"/>
    <mergeCell ref="B2386:B2392"/>
    <mergeCell ref="A2393:A2398"/>
    <mergeCell ref="B2393:B2398"/>
    <mergeCell ref="A2359:A2364"/>
    <mergeCell ref="B2359:B2364"/>
    <mergeCell ref="A2365:A2372"/>
    <mergeCell ref="B2365:B2372"/>
    <mergeCell ref="A2373:A2379"/>
    <mergeCell ref="B2373:B2379"/>
    <mergeCell ref="A2399:A2402"/>
    <mergeCell ref="B2399:B2402"/>
    <mergeCell ref="A2403:A2406"/>
    <mergeCell ref="B2403:B2406"/>
    <mergeCell ref="A2407:A2410"/>
    <mergeCell ref="B2407:B2410"/>
    <mergeCell ref="A2435:A2438"/>
    <mergeCell ref="B2435:B2438"/>
    <mergeCell ref="A2555:A2558"/>
    <mergeCell ref="B2555:B2558"/>
    <mergeCell ref="A2411:A2414"/>
    <mergeCell ref="B2411:B2414"/>
    <mergeCell ref="A2415:A2418"/>
    <mergeCell ref="B2415:B2418"/>
    <mergeCell ref="A2419:A2422"/>
    <mergeCell ref="B2419:B2422"/>
    <mergeCell ref="A2423:A2426"/>
    <mergeCell ref="B2423:B2426"/>
    <mergeCell ref="A2427:A2430"/>
    <mergeCell ref="B2427:B2430"/>
    <mergeCell ref="A2431:A2434"/>
    <mergeCell ref="B2431:B2434"/>
    <mergeCell ref="A2439:A2442"/>
    <mergeCell ref="B2439:B2442"/>
    <mergeCell ref="A2483:A2486"/>
    <mergeCell ref="B2483:B2486"/>
    <mergeCell ref="A2539:A2542"/>
    <mergeCell ref="B2539:B2542"/>
    <mergeCell ref="A2543:A2546"/>
    <mergeCell ref="B2543:B2546"/>
    <mergeCell ref="A2447:A2450"/>
    <mergeCell ref="B2447:B2450"/>
    <mergeCell ref="A2451:A2454"/>
    <mergeCell ref="B2451:B2454"/>
    <mergeCell ref="A2615:A2618"/>
    <mergeCell ref="B2615:B2618"/>
    <mergeCell ref="A2591:A2598"/>
    <mergeCell ref="B2591:B2598"/>
    <mergeCell ref="A2599:A2602"/>
    <mergeCell ref="B2599:B2602"/>
    <mergeCell ref="A2603:A2606"/>
    <mergeCell ref="B2603:B2606"/>
    <mergeCell ref="A2571:A2574"/>
    <mergeCell ref="B2571:B2574"/>
    <mergeCell ref="A2575:A2582"/>
    <mergeCell ref="B2575:B2582"/>
    <mergeCell ref="A2583:A2590"/>
    <mergeCell ref="B2583:B2590"/>
    <mergeCell ref="A2559:A2562"/>
    <mergeCell ref="B2559:B2562"/>
    <mergeCell ref="A2563:A2566"/>
    <mergeCell ref="B2563:B2566"/>
    <mergeCell ref="A2567:A2570"/>
    <mergeCell ref="B2567:B2570"/>
    <mergeCell ref="A2685:A2690"/>
    <mergeCell ref="B2685:B2690"/>
    <mergeCell ref="A2691:A2696"/>
    <mergeCell ref="B2691:B2696"/>
    <mergeCell ref="A2697:A2702"/>
    <mergeCell ref="B2697:B2702"/>
    <mergeCell ref="A2667:A2672"/>
    <mergeCell ref="B2667:B2672"/>
    <mergeCell ref="A2673:A2678"/>
    <mergeCell ref="B2673:B2678"/>
    <mergeCell ref="A2679:A2684"/>
    <mergeCell ref="B2679:B2684"/>
    <mergeCell ref="A2647:A2650"/>
    <mergeCell ref="B2647:B2650"/>
    <mergeCell ref="A2655:A2660"/>
    <mergeCell ref="B2655:B2660"/>
    <mergeCell ref="A2661:A2666"/>
    <mergeCell ref="B2661:B2666"/>
    <mergeCell ref="A2651:A2654"/>
    <mergeCell ref="B2651:B2654"/>
    <mergeCell ref="A2768:A2772"/>
    <mergeCell ref="B2768:B2772"/>
    <mergeCell ref="A2773:A2777"/>
    <mergeCell ref="B2773:B2777"/>
    <mergeCell ref="A2778:A2782"/>
    <mergeCell ref="B2778:B2782"/>
    <mergeCell ref="A2732:A2741"/>
    <mergeCell ref="B2732:B2741"/>
    <mergeCell ref="A2742:A2747"/>
    <mergeCell ref="B2742:B2747"/>
    <mergeCell ref="A2758:A2767"/>
    <mergeCell ref="B2758:B2767"/>
    <mergeCell ref="A2748:A2752"/>
    <mergeCell ref="B2748:B2752"/>
    <mergeCell ref="A2753:A2757"/>
    <mergeCell ref="B2753:B2757"/>
    <mergeCell ref="A2703:A2708"/>
    <mergeCell ref="B2703:B2708"/>
    <mergeCell ref="A2709:A2714"/>
    <mergeCell ref="B2709:B2714"/>
    <mergeCell ref="A2727:A2731"/>
    <mergeCell ref="B2727:B2731"/>
    <mergeCell ref="A2719:A2722"/>
    <mergeCell ref="B2719:B2722"/>
    <mergeCell ref="A2815:A2819"/>
    <mergeCell ref="B2815:B2819"/>
    <mergeCell ref="A2820:A2824"/>
    <mergeCell ref="B2820:B2824"/>
    <mergeCell ref="A2825:A2829"/>
    <mergeCell ref="B2825:B2829"/>
    <mergeCell ref="A2800:A2804"/>
    <mergeCell ref="B2800:B2804"/>
    <mergeCell ref="A2805:A2809"/>
    <mergeCell ref="B2805:B2809"/>
    <mergeCell ref="A2810:A2814"/>
    <mergeCell ref="B2810:B2814"/>
    <mergeCell ref="A2783:A2789"/>
    <mergeCell ref="B2783:B2789"/>
    <mergeCell ref="A2790:A2794"/>
    <mergeCell ref="B2790:B2794"/>
    <mergeCell ref="A2795:A2799"/>
    <mergeCell ref="B2795:B2799"/>
    <mergeCell ref="A2868:A2875"/>
    <mergeCell ref="B2868:B2875"/>
    <mergeCell ref="A2876:A2883"/>
    <mergeCell ref="B2876:B2883"/>
    <mergeCell ref="A2884:A2891"/>
    <mergeCell ref="B2884:B2891"/>
    <mergeCell ref="A2847:A2851"/>
    <mergeCell ref="B2847:B2851"/>
    <mergeCell ref="A2852:A2859"/>
    <mergeCell ref="B2852:B2859"/>
    <mergeCell ref="A2860:A2867"/>
    <mergeCell ref="B2860:B2867"/>
    <mergeCell ref="A2830:A2836"/>
    <mergeCell ref="B2830:B2836"/>
    <mergeCell ref="A2837:A2841"/>
    <mergeCell ref="B2837:B2841"/>
    <mergeCell ref="A2842:A2846"/>
    <mergeCell ref="B2842:B2846"/>
    <mergeCell ref="A2922:A2926"/>
    <mergeCell ref="B2922:B2926"/>
    <mergeCell ref="A2927:A2931"/>
    <mergeCell ref="B2927:B2931"/>
    <mergeCell ref="A2932:A2936"/>
    <mergeCell ref="B2932:B2936"/>
    <mergeCell ref="A2907:A2911"/>
    <mergeCell ref="B2907:B2911"/>
    <mergeCell ref="A2912:A2916"/>
    <mergeCell ref="B2912:B2916"/>
    <mergeCell ref="A2917:A2921"/>
    <mergeCell ref="B2917:B2921"/>
    <mergeCell ref="A2892:A2896"/>
    <mergeCell ref="B2892:B2896"/>
    <mergeCell ref="A2897:A2901"/>
    <mergeCell ref="B2897:B2901"/>
    <mergeCell ref="A2902:A2906"/>
    <mergeCell ref="B2902:B2906"/>
    <mergeCell ref="A2972:A2976"/>
    <mergeCell ref="B2972:B2976"/>
    <mergeCell ref="A2977:A2981"/>
    <mergeCell ref="B2977:B2981"/>
    <mergeCell ref="A2982:A2986"/>
    <mergeCell ref="B2982:B2986"/>
    <mergeCell ref="A2957:A2961"/>
    <mergeCell ref="B2957:B2961"/>
    <mergeCell ref="A2962:A2966"/>
    <mergeCell ref="B2962:B2966"/>
    <mergeCell ref="A2967:A2971"/>
    <mergeCell ref="B2967:B2971"/>
    <mergeCell ref="A2937:A2941"/>
    <mergeCell ref="B2937:B2941"/>
    <mergeCell ref="A2942:A2951"/>
    <mergeCell ref="B2942:B2951"/>
    <mergeCell ref="A2952:A2956"/>
    <mergeCell ref="B2952:B2956"/>
    <mergeCell ref="A3022:A3029"/>
    <mergeCell ref="B3022:B3029"/>
    <mergeCell ref="A3030:A3034"/>
    <mergeCell ref="B3030:B3034"/>
    <mergeCell ref="A3035:A3042"/>
    <mergeCell ref="B3035:B3042"/>
    <mergeCell ref="A3005:A3009"/>
    <mergeCell ref="B3005:B3009"/>
    <mergeCell ref="A3010:A3017"/>
    <mergeCell ref="B3010:B3017"/>
    <mergeCell ref="A3018:A3021"/>
    <mergeCell ref="B3018:B3021"/>
    <mergeCell ref="A2987:A2991"/>
    <mergeCell ref="B2987:B2991"/>
    <mergeCell ref="A2992:A2996"/>
    <mergeCell ref="B2992:B2996"/>
    <mergeCell ref="A2997:A3004"/>
    <mergeCell ref="B2997:B3004"/>
    <mergeCell ref="A3073:A3077"/>
    <mergeCell ref="B3073:B3077"/>
    <mergeCell ref="A3078:A3082"/>
    <mergeCell ref="B3078:B3082"/>
    <mergeCell ref="A3083:A3087"/>
    <mergeCell ref="B3083:B3087"/>
    <mergeCell ref="A3058:A3062"/>
    <mergeCell ref="B3058:B3062"/>
    <mergeCell ref="A3063:A3067"/>
    <mergeCell ref="B3063:B3067"/>
    <mergeCell ref="A3068:A3072"/>
    <mergeCell ref="B3068:B3072"/>
    <mergeCell ref="A3043:A3047"/>
    <mergeCell ref="B3043:B3047"/>
    <mergeCell ref="A3048:A3052"/>
    <mergeCell ref="B3048:B3052"/>
    <mergeCell ref="A3053:A3057"/>
    <mergeCell ref="B3053:B3057"/>
    <mergeCell ref="A3123:A3127"/>
    <mergeCell ref="B3123:B3127"/>
    <mergeCell ref="A3128:A3133"/>
    <mergeCell ref="B3128:B3133"/>
    <mergeCell ref="A3134:A3141"/>
    <mergeCell ref="B3134:B3141"/>
    <mergeCell ref="A3106:A3111"/>
    <mergeCell ref="B3106:B3111"/>
    <mergeCell ref="A3112:A3116"/>
    <mergeCell ref="B3112:B3116"/>
    <mergeCell ref="A3117:A3122"/>
    <mergeCell ref="B3117:B3122"/>
    <mergeCell ref="A3088:A3093"/>
    <mergeCell ref="B3088:B3093"/>
    <mergeCell ref="A3094:A3099"/>
    <mergeCell ref="B3094:B3099"/>
    <mergeCell ref="A3100:A3105"/>
    <mergeCell ref="B3100:B3105"/>
    <mergeCell ref="A3185:A3190"/>
    <mergeCell ref="B3185:B3190"/>
    <mergeCell ref="A3191:A3196"/>
    <mergeCell ref="B3191:B3196"/>
    <mergeCell ref="A3197:A3206"/>
    <mergeCell ref="B3197:B3206"/>
    <mergeCell ref="A3159:A3165"/>
    <mergeCell ref="B3159:B3165"/>
    <mergeCell ref="A3166:A3178"/>
    <mergeCell ref="B3166:B3178"/>
    <mergeCell ref="A3179:A3184"/>
    <mergeCell ref="B3179:B3184"/>
    <mergeCell ref="A3142:A3149"/>
    <mergeCell ref="B3142:B3149"/>
    <mergeCell ref="A3150:A3154"/>
    <mergeCell ref="B3150:B3154"/>
    <mergeCell ref="A3155:A3158"/>
    <mergeCell ref="B3155:B3158"/>
    <mergeCell ref="A3247:A3253"/>
    <mergeCell ref="B3247:B3253"/>
    <mergeCell ref="A3254:A3260"/>
    <mergeCell ref="B3254:B3260"/>
    <mergeCell ref="A3261:A3267"/>
    <mergeCell ref="B3261:B3267"/>
    <mergeCell ref="A3226:A3232"/>
    <mergeCell ref="B3226:B3232"/>
    <mergeCell ref="A3233:A3239"/>
    <mergeCell ref="B3233:B3239"/>
    <mergeCell ref="A3240:A3246"/>
    <mergeCell ref="B3240:B3246"/>
    <mergeCell ref="A3207:A3211"/>
    <mergeCell ref="B3207:B3211"/>
    <mergeCell ref="A3212:A3218"/>
    <mergeCell ref="B3212:B3218"/>
    <mergeCell ref="A3219:A3225"/>
    <mergeCell ref="B3219:B3225"/>
    <mergeCell ref="A3308:A3314"/>
    <mergeCell ref="B3308:B3314"/>
    <mergeCell ref="A3315:A3321"/>
    <mergeCell ref="B3315:B3321"/>
    <mergeCell ref="A3322:A3328"/>
    <mergeCell ref="B3322:B3328"/>
    <mergeCell ref="A3288:A3293"/>
    <mergeCell ref="B3288:B3293"/>
    <mergeCell ref="A3294:A3302"/>
    <mergeCell ref="B3294:B3302"/>
    <mergeCell ref="A3303:A3307"/>
    <mergeCell ref="B3303:B3307"/>
    <mergeCell ref="A3268:A3274"/>
    <mergeCell ref="B3268:B3274"/>
    <mergeCell ref="A3275:A3281"/>
    <mergeCell ref="B3275:B3281"/>
    <mergeCell ref="A3282:A3287"/>
    <mergeCell ref="B3282:B3287"/>
    <mergeCell ref="A3357:A3363"/>
    <mergeCell ref="B3357:B3363"/>
    <mergeCell ref="A3364:A3370"/>
    <mergeCell ref="B3364:B3370"/>
    <mergeCell ref="A3371:A3375"/>
    <mergeCell ref="B3371:B3375"/>
    <mergeCell ref="A3342:A3345"/>
    <mergeCell ref="B3342:B3345"/>
    <mergeCell ref="A3346:A3349"/>
    <mergeCell ref="B3346:B3349"/>
    <mergeCell ref="A3350:A3356"/>
    <mergeCell ref="B3350:B3356"/>
    <mergeCell ref="A3329:A3332"/>
    <mergeCell ref="B3329:B3332"/>
    <mergeCell ref="A3333:A3336"/>
    <mergeCell ref="B3333:B3336"/>
    <mergeCell ref="A3337:A3341"/>
    <mergeCell ref="B3337:B3341"/>
    <mergeCell ref="A3415:A3422"/>
    <mergeCell ref="B3415:B3422"/>
    <mergeCell ref="A3423:A3439"/>
    <mergeCell ref="B3423:B3439"/>
    <mergeCell ref="A3440:A3447"/>
    <mergeCell ref="B3440:B3447"/>
    <mergeCell ref="A3390:A3393"/>
    <mergeCell ref="B3390:B3393"/>
    <mergeCell ref="A3394:A3403"/>
    <mergeCell ref="B3394:B3403"/>
    <mergeCell ref="A3404:A3414"/>
    <mergeCell ref="B3404:B3414"/>
    <mergeCell ref="A3376:A3380"/>
    <mergeCell ref="B3376:B3380"/>
    <mergeCell ref="A3381:A3385"/>
    <mergeCell ref="B3381:B3385"/>
    <mergeCell ref="A3386:A3389"/>
    <mergeCell ref="B3386:B3389"/>
    <mergeCell ref="A3512:A3519"/>
    <mergeCell ref="B3512:B3519"/>
    <mergeCell ref="A3520:A3526"/>
    <mergeCell ref="B3520:B3526"/>
    <mergeCell ref="A3527:A3531"/>
    <mergeCell ref="B3527:B3531"/>
    <mergeCell ref="A3484:A3499"/>
    <mergeCell ref="B3484:B3499"/>
    <mergeCell ref="A3500:A3505"/>
    <mergeCell ref="B3500:B3505"/>
    <mergeCell ref="A3506:A3511"/>
    <mergeCell ref="B3506:B3511"/>
    <mergeCell ref="A3448:A3464"/>
    <mergeCell ref="B3448:B3464"/>
    <mergeCell ref="A3465:A3476"/>
    <mergeCell ref="B3465:B3476"/>
    <mergeCell ref="A3477:A3483"/>
    <mergeCell ref="B3477:B3483"/>
    <mergeCell ref="A3574:A3578"/>
    <mergeCell ref="B3574:B3578"/>
    <mergeCell ref="A3579:A3586"/>
    <mergeCell ref="B3579:B3586"/>
    <mergeCell ref="A3587:A3590"/>
    <mergeCell ref="B3587:B3590"/>
    <mergeCell ref="A3553:A3558"/>
    <mergeCell ref="B3553:B3558"/>
    <mergeCell ref="A3559:A3568"/>
    <mergeCell ref="B3559:B3568"/>
    <mergeCell ref="A3569:A3573"/>
    <mergeCell ref="B3569:B3573"/>
    <mergeCell ref="A3532:A3539"/>
    <mergeCell ref="B3532:B3539"/>
    <mergeCell ref="A3540:A3545"/>
    <mergeCell ref="B3540:B3545"/>
    <mergeCell ref="A3546:A3552"/>
    <mergeCell ref="B3546:B3552"/>
    <mergeCell ref="A3656:A3659"/>
    <mergeCell ref="B3656:B3659"/>
    <mergeCell ref="A3660:A3669"/>
    <mergeCell ref="B3660:B3669"/>
    <mergeCell ref="A3670:A3674"/>
    <mergeCell ref="B3670:B3674"/>
    <mergeCell ref="A3620:A3631"/>
    <mergeCell ref="B3620:B3631"/>
    <mergeCell ref="A3632:A3644"/>
    <mergeCell ref="B3632:B3644"/>
    <mergeCell ref="A3645:A3655"/>
    <mergeCell ref="B3645:B3655"/>
    <mergeCell ref="A3591:A3596"/>
    <mergeCell ref="B3591:B3596"/>
    <mergeCell ref="A3597:A3611"/>
    <mergeCell ref="B3597:B3611"/>
    <mergeCell ref="A3612:A3619"/>
    <mergeCell ref="B3612:B3619"/>
    <mergeCell ref="A3711:A3715"/>
    <mergeCell ref="B3711:B3715"/>
    <mergeCell ref="A3716:A3726"/>
    <mergeCell ref="B3716:B3726"/>
    <mergeCell ref="A3727:A3736"/>
    <mergeCell ref="B3727:B3736"/>
    <mergeCell ref="A3697:A3700"/>
    <mergeCell ref="B3697:B3700"/>
    <mergeCell ref="A3701:A3704"/>
    <mergeCell ref="B3701:B3704"/>
    <mergeCell ref="A3705:A3710"/>
    <mergeCell ref="B3705:B3710"/>
    <mergeCell ref="A3675:A3683"/>
    <mergeCell ref="B3675:B3683"/>
    <mergeCell ref="A3684:A3692"/>
    <mergeCell ref="B3684:B3692"/>
    <mergeCell ref="A3693:A3696"/>
    <mergeCell ref="B3693:B3696"/>
    <mergeCell ref="A3804:A3809"/>
    <mergeCell ref="B3804:B3809"/>
    <mergeCell ref="A3810:A3815"/>
    <mergeCell ref="B3810:B3815"/>
    <mergeCell ref="A3816:A3821"/>
    <mergeCell ref="B3816:B3821"/>
    <mergeCell ref="A3766:A3780"/>
    <mergeCell ref="B3766:B3780"/>
    <mergeCell ref="A3781:A3787"/>
    <mergeCell ref="B3781:B3787"/>
    <mergeCell ref="A3788:A3803"/>
    <mergeCell ref="B3788:B3803"/>
    <mergeCell ref="A3737:A3745"/>
    <mergeCell ref="B3737:B3745"/>
    <mergeCell ref="A3746:A3753"/>
    <mergeCell ref="B3746:B3753"/>
    <mergeCell ref="A3754:A3765"/>
    <mergeCell ref="B3754:B3765"/>
    <mergeCell ref="A3870:A3882"/>
    <mergeCell ref="B3870:B3882"/>
    <mergeCell ref="A3883:A3895"/>
    <mergeCell ref="B3883:B3895"/>
    <mergeCell ref="A3896:A3900"/>
    <mergeCell ref="B3896:B3900"/>
    <mergeCell ref="A3845:A3854"/>
    <mergeCell ref="B3845:B3854"/>
    <mergeCell ref="A3855:A3861"/>
    <mergeCell ref="B3855:B3861"/>
    <mergeCell ref="A3862:A3869"/>
    <mergeCell ref="B3862:B3869"/>
    <mergeCell ref="A3822:A3828"/>
    <mergeCell ref="B3822:B3828"/>
    <mergeCell ref="A3829:A3837"/>
    <mergeCell ref="B3829:B3837"/>
    <mergeCell ref="A3838:A3844"/>
    <mergeCell ref="B3838:B3844"/>
    <mergeCell ref="A3945:A3953"/>
    <mergeCell ref="B3945:B3953"/>
    <mergeCell ref="A3954:A3962"/>
    <mergeCell ref="B3954:B3962"/>
    <mergeCell ref="A3963:A3968"/>
    <mergeCell ref="B3963:B3968"/>
    <mergeCell ref="A3918:A3926"/>
    <mergeCell ref="B3918:B3926"/>
    <mergeCell ref="A3927:A3935"/>
    <mergeCell ref="B3927:B3935"/>
    <mergeCell ref="A3936:A3944"/>
    <mergeCell ref="B3936:B3944"/>
    <mergeCell ref="A3901:A3904"/>
    <mergeCell ref="B3901:B3904"/>
    <mergeCell ref="A3905:A3908"/>
    <mergeCell ref="B3905:B3908"/>
    <mergeCell ref="A3909:A3917"/>
    <mergeCell ref="B3909:B3917"/>
    <mergeCell ref="A4007:A4014"/>
    <mergeCell ref="B4007:B4014"/>
    <mergeCell ref="A4015:A4022"/>
    <mergeCell ref="B4015:B4022"/>
    <mergeCell ref="A4023:A4032"/>
    <mergeCell ref="B4023:B4032"/>
    <mergeCell ref="A3988:A3991"/>
    <mergeCell ref="B3988:B3991"/>
    <mergeCell ref="A3992:A3998"/>
    <mergeCell ref="B3992:B3998"/>
    <mergeCell ref="A3999:A4006"/>
    <mergeCell ref="B3999:B4006"/>
    <mergeCell ref="A3969:A3974"/>
    <mergeCell ref="B3969:B3974"/>
    <mergeCell ref="A3975:A3981"/>
    <mergeCell ref="B3975:B3981"/>
    <mergeCell ref="A3982:A3987"/>
    <mergeCell ref="B3982:B3987"/>
    <mergeCell ref="A4080:A4085"/>
    <mergeCell ref="B4080:B4085"/>
    <mergeCell ref="A4086:A4091"/>
    <mergeCell ref="B4086:B4091"/>
    <mergeCell ref="A4092:A4097"/>
    <mergeCell ref="B4092:B4097"/>
    <mergeCell ref="A4062:A4065"/>
    <mergeCell ref="B4062:B4065"/>
    <mergeCell ref="A4066:A4072"/>
    <mergeCell ref="B4066:B4072"/>
    <mergeCell ref="A4073:A4079"/>
    <mergeCell ref="B4073:B4079"/>
    <mergeCell ref="A4033:A4039"/>
    <mergeCell ref="B4033:B4039"/>
    <mergeCell ref="A4040:A4050"/>
    <mergeCell ref="B4040:B4050"/>
    <mergeCell ref="A4051:A4061"/>
    <mergeCell ref="B4051:B4061"/>
    <mergeCell ref="A4157:A4165"/>
    <mergeCell ref="B4157:B4165"/>
    <mergeCell ref="A4166:A4181"/>
    <mergeCell ref="B4166:B4181"/>
    <mergeCell ref="A4182:A4208"/>
    <mergeCell ref="B4182:B4208"/>
    <mergeCell ref="A4135:A4141"/>
    <mergeCell ref="B4135:B4141"/>
    <mergeCell ref="A4142:A4146"/>
    <mergeCell ref="B4142:B4146"/>
    <mergeCell ref="A4147:A4156"/>
    <mergeCell ref="B4147:B4156"/>
    <mergeCell ref="A4122:A4127"/>
    <mergeCell ref="B4122:B4127"/>
    <mergeCell ref="A4128:A4134"/>
    <mergeCell ref="B4128:B4134"/>
    <mergeCell ref="A4098:A4107"/>
    <mergeCell ref="B4098:B4107"/>
    <mergeCell ref="A4108:A4113"/>
    <mergeCell ref="B4108:B4113"/>
    <mergeCell ref="A4114:A4121"/>
    <mergeCell ref="B4114:B4121"/>
    <mergeCell ref="A4262:A4271"/>
    <mergeCell ref="B4262:B4271"/>
    <mergeCell ref="A4272:A4279"/>
    <mergeCell ref="B4272:B4279"/>
    <mergeCell ref="A4280:A4287"/>
    <mergeCell ref="B4280:B4287"/>
    <mergeCell ref="A4235:A4243"/>
    <mergeCell ref="B4235:B4243"/>
    <mergeCell ref="A4244:A4252"/>
    <mergeCell ref="B4244:B4252"/>
    <mergeCell ref="A4253:A4261"/>
    <mergeCell ref="B4253:B4261"/>
    <mergeCell ref="A4209:A4215"/>
    <mergeCell ref="B4209:B4215"/>
    <mergeCell ref="A4216:A4225"/>
    <mergeCell ref="B4216:B4225"/>
    <mergeCell ref="A4226:A4234"/>
    <mergeCell ref="B4226:B4234"/>
    <mergeCell ref="A4350:A4355"/>
    <mergeCell ref="B4350:B4355"/>
    <mergeCell ref="A4356:A4375"/>
    <mergeCell ref="B4356:B4375"/>
    <mergeCell ref="A4376:A4383"/>
    <mergeCell ref="B4376:B4383"/>
    <mergeCell ref="A4318:A4325"/>
    <mergeCell ref="B4318:B4325"/>
    <mergeCell ref="A4326:A4337"/>
    <mergeCell ref="B4326:B4337"/>
    <mergeCell ref="A4338:A4349"/>
    <mergeCell ref="B4338:B4349"/>
    <mergeCell ref="A4288:A4297"/>
    <mergeCell ref="B4288:B4297"/>
    <mergeCell ref="A4298:A4307"/>
    <mergeCell ref="B4298:B4307"/>
    <mergeCell ref="A4308:A4317"/>
    <mergeCell ref="B4308:B4317"/>
    <mergeCell ref="A4422:A4426"/>
    <mergeCell ref="B4422:B4426"/>
    <mergeCell ref="A4427:A4432"/>
    <mergeCell ref="B4427:B4432"/>
    <mergeCell ref="A4433:A4444"/>
    <mergeCell ref="B4433:B4444"/>
    <mergeCell ref="A4403:A4407"/>
    <mergeCell ref="B4403:B4407"/>
    <mergeCell ref="A4408:A4413"/>
    <mergeCell ref="B4408:B4413"/>
    <mergeCell ref="A4414:A4421"/>
    <mergeCell ref="B4414:B4421"/>
    <mergeCell ref="A4384:A4391"/>
    <mergeCell ref="B4384:B4391"/>
    <mergeCell ref="A4392:A4397"/>
    <mergeCell ref="B4392:B4397"/>
    <mergeCell ref="A4398:A4402"/>
    <mergeCell ref="B4398:B4402"/>
    <mergeCell ref="A4507:A4518"/>
    <mergeCell ref="B4507:B4518"/>
    <mergeCell ref="A4519:A4526"/>
    <mergeCell ref="B4519:B4526"/>
    <mergeCell ref="A4527:A4532"/>
    <mergeCell ref="B4527:B4532"/>
    <mergeCell ref="A4484:A4492"/>
    <mergeCell ref="B4484:B4492"/>
    <mergeCell ref="A4493:A4500"/>
    <mergeCell ref="B4493:B4500"/>
    <mergeCell ref="A4501:A4506"/>
    <mergeCell ref="B4501:B4506"/>
    <mergeCell ref="A4445:A4456"/>
    <mergeCell ref="B4445:B4456"/>
    <mergeCell ref="A4457:A4475"/>
    <mergeCell ref="B4457:B4475"/>
    <mergeCell ref="A4476:A4483"/>
    <mergeCell ref="B4476:B4483"/>
    <mergeCell ref="A4582:A4593"/>
    <mergeCell ref="B4582:B4593"/>
    <mergeCell ref="A4594:A4599"/>
    <mergeCell ref="B4594:B4599"/>
    <mergeCell ref="A4600:A4607"/>
    <mergeCell ref="B4600:B4607"/>
    <mergeCell ref="A4559:A4564"/>
    <mergeCell ref="B4559:B4564"/>
    <mergeCell ref="A4565:A4572"/>
    <mergeCell ref="B4565:B4572"/>
    <mergeCell ref="A4573:A4581"/>
    <mergeCell ref="B4573:B4581"/>
    <mergeCell ref="A4533:A4540"/>
    <mergeCell ref="B4533:B4540"/>
    <mergeCell ref="A4541:A4548"/>
    <mergeCell ref="B4541:B4548"/>
    <mergeCell ref="A4549:A4558"/>
    <mergeCell ref="B4549:B4558"/>
    <mergeCell ref="A4624:A4633"/>
    <mergeCell ref="B4624:B4633"/>
    <mergeCell ref="A4634:A4643"/>
    <mergeCell ref="B4634:B4643"/>
    <mergeCell ref="A4644:A4648"/>
    <mergeCell ref="B4644:B4648"/>
    <mergeCell ref="A4649:A4653"/>
    <mergeCell ref="B4649:B4653"/>
    <mergeCell ref="A4654:A4658"/>
    <mergeCell ref="B4654:B4658"/>
    <mergeCell ref="A4667:A4674"/>
    <mergeCell ref="B4667:B4674"/>
    <mergeCell ref="A4675:A4682"/>
    <mergeCell ref="B4675:B4682"/>
    <mergeCell ref="A4683:A4690"/>
    <mergeCell ref="B4683:B4690"/>
    <mergeCell ref="A4608:A4618"/>
    <mergeCell ref="B4608:B4618"/>
    <mergeCell ref="A4619:A4623"/>
    <mergeCell ref="B4619:B4623"/>
    <mergeCell ref="A4691:A4698"/>
    <mergeCell ref="B4691:B4698"/>
    <mergeCell ref="A4699:A4706"/>
    <mergeCell ref="B4699:B4706"/>
    <mergeCell ref="A4707:A4714"/>
    <mergeCell ref="B4707:B4714"/>
    <mergeCell ref="A4715:A4722"/>
    <mergeCell ref="B4715:B4722"/>
    <mergeCell ref="A4659:A4666"/>
    <mergeCell ref="B4659:B4666"/>
    <mergeCell ref="A4723:A4732"/>
    <mergeCell ref="B4723:B4732"/>
    <mergeCell ref="A4733:A4740"/>
    <mergeCell ref="B4733:B4740"/>
    <mergeCell ref="A4741:A4747"/>
    <mergeCell ref="B4741:B4747"/>
    <mergeCell ref="A4748:A4754"/>
    <mergeCell ref="B4748:B4754"/>
    <mergeCell ref="A4755:A4761"/>
    <mergeCell ref="B4755:B4761"/>
    <mergeCell ref="A4762:A4768"/>
    <mergeCell ref="B4762:B4768"/>
    <mergeCell ref="A4769:A4775"/>
    <mergeCell ref="B4769:B4775"/>
    <mergeCell ref="A4776:A4780"/>
    <mergeCell ref="B4776:B4780"/>
    <mergeCell ref="A4781:A4787"/>
    <mergeCell ref="B4781:B4787"/>
    <mergeCell ref="B4788:B4794"/>
    <mergeCell ref="A4788:A4794"/>
    <mergeCell ref="A4795:A4801"/>
    <mergeCell ref="B4795:B4801"/>
    <mergeCell ref="A4802:A4808"/>
    <mergeCell ref="B4802:B4808"/>
    <mergeCell ref="A4809:A4813"/>
    <mergeCell ref="B4809:B4813"/>
    <mergeCell ref="A4814:A4819"/>
    <mergeCell ref="B4814:B4819"/>
    <mergeCell ref="A4820:A4825"/>
    <mergeCell ref="B4820:B4825"/>
    <mergeCell ref="A4826:A4831"/>
    <mergeCell ref="B4826:B4831"/>
    <mergeCell ref="A4832:A4837"/>
    <mergeCell ref="B4832:B4837"/>
    <mergeCell ref="A4838:A4844"/>
    <mergeCell ref="B4838:B4844"/>
    <mergeCell ref="A4845:A4849"/>
    <mergeCell ref="B4845:B4849"/>
    <mergeCell ref="A4850:A4857"/>
    <mergeCell ref="B4850:B4857"/>
    <mergeCell ref="A4858:A4863"/>
    <mergeCell ref="B4858:B4863"/>
    <mergeCell ref="A4864:A4867"/>
    <mergeCell ref="B4864:B4867"/>
    <mergeCell ref="A5126:A5131"/>
    <mergeCell ref="B5126:B5131"/>
    <mergeCell ref="A5132:A5137"/>
    <mergeCell ref="B5132:B5137"/>
    <mergeCell ref="A4940:A4946"/>
    <mergeCell ref="B4940:B4946"/>
    <mergeCell ref="A4947:A4957"/>
    <mergeCell ref="B4947:B4957"/>
    <mergeCell ref="A4927:A4932"/>
    <mergeCell ref="B4927:B4932"/>
    <mergeCell ref="A4933:A4939"/>
    <mergeCell ref="B4933:B4939"/>
    <mergeCell ref="A4868:A4873"/>
    <mergeCell ref="B4868:B4873"/>
    <mergeCell ref="A4874:A4879"/>
    <mergeCell ref="B4874:B4879"/>
    <mergeCell ref="A4880:A4886"/>
    <mergeCell ref="B4880:B4886"/>
    <mergeCell ref="A4887:A4893"/>
    <mergeCell ref="B4887:B4893"/>
    <mergeCell ref="A4894:A4900"/>
    <mergeCell ref="B4894:B4900"/>
    <mergeCell ref="A4901:A4908"/>
    <mergeCell ref="B4901:B4908"/>
    <mergeCell ref="A4909:A4914"/>
    <mergeCell ref="B4909:B4914"/>
    <mergeCell ref="A4915:A4920"/>
    <mergeCell ref="B4915:B4920"/>
    <mergeCell ref="A4921:A4926"/>
    <mergeCell ref="B4921:B4926"/>
    <mergeCell ref="A4972:A4979"/>
    <mergeCell ref="B4972:B4979"/>
    <mergeCell ref="A2643:A2646"/>
    <mergeCell ref="B2643:B2646"/>
    <mergeCell ref="A2511:A2514"/>
    <mergeCell ref="B2511:B2514"/>
    <mergeCell ref="A2515:A2518"/>
    <mergeCell ref="B2515:B2518"/>
    <mergeCell ref="A2519:A2522"/>
    <mergeCell ref="B2519:B2522"/>
    <mergeCell ref="A2523:A2526"/>
    <mergeCell ref="B2523:B2526"/>
    <mergeCell ref="A2527:A2530"/>
    <mergeCell ref="B2527:B2530"/>
    <mergeCell ref="A2531:A2534"/>
    <mergeCell ref="B2531:B2534"/>
    <mergeCell ref="A2535:A2538"/>
    <mergeCell ref="B2535:B2538"/>
    <mergeCell ref="A2443:A2446"/>
    <mergeCell ref="B2443:B2446"/>
    <mergeCell ref="A2455:A2458"/>
    <mergeCell ref="B2455:B2458"/>
    <mergeCell ref="A2459:A2462"/>
    <mergeCell ref="B2459:B2462"/>
    <mergeCell ref="A2463:A2466"/>
    <mergeCell ref="B2463:B2466"/>
    <mergeCell ref="A2467:A2470"/>
    <mergeCell ref="B2467:B2470"/>
    <mergeCell ref="A2471:A2474"/>
    <mergeCell ref="B2471:B2474"/>
    <mergeCell ref="A2475:A2478"/>
    <mergeCell ref="B2475:B2478"/>
    <mergeCell ref="A2479:A2482"/>
    <mergeCell ref="B2479:B2482"/>
    <mergeCell ref="A2631:A2634"/>
    <mergeCell ref="B2631:B2634"/>
    <mergeCell ref="A2635:A2638"/>
    <mergeCell ref="B2635:B2638"/>
    <mergeCell ref="A2639:A2642"/>
    <mergeCell ref="B2639:B2642"/>
    <mergeCell ref="A2487:A2490"/>
    <mergeCell ref="B2487:B2490"/>
    <mergeCell ref="A2491:A2494"/>
    <mergeCell ref="B2491:B2494"/>
    <mergeCell ref="A2495:A2498"/>
    <mergeCell ref="B2495:B2498"/>
    <mergeCell ref="A2499:A2502"/>
    <mergeCell ref="B2499:B2502"/>
    <mergeCell ref="A2503:A2506"/>
    <mergeCell ref="B2503:B2506"/>
    <mergeCell ref="A2507:A2510"/>
    <mergeCell ref="B2507:B2510"/>
    <mergeCell ref="A2547:A2550"/>
    <mergeCell ref="B2547:B2550"/>
    <mergeCell ref="A2551:A2554"/>
    <mergeCell ref="B2551:B2554"/>
    <mergeCell ref="A2619:A2622"/>
    <mergeCell ref="B2619:B2622"/>
    <mergeCell ref="A2623:A2626"/>
    <mergeCell ref="B2623:B2626"/>
    <mergeCell ref="A2627:A2630"/>
    <mergeCell ref="B2627:B2630"/>
    <mergeCell ref="A2607:A2610"/>
    <mergeCell ref="B2607:B2610"/>
    <mergeCell ref="A2611:A2614"/>
    <mergeCell ref="B2611:B2614"/>
    <mergeCell ref="A5144:A5149"/>
    <mergeCell ref="B5144:B5149"/>
    <mergeCell ref="A5156:A5161"/>
    <mergeCell ref="B5156:B5161"/>
    <mergeCell ref="A5162:A5167"/>
    <mergeCell ref="B5162:B5167"/>
    <mergeCell ref="A5168:A5174"/>
    <mergeCell ref="B5168:B5174"/>
    <mergeCell ref="A5445:A5448"/>
    <mergeCell ref="B5445:B5448"/>
    <mergeCell ref="A5449:A5452"/>
    <mergeCell ref="B5449:B5452"/>
    <mergeCell ref="A5453:A5456"/>
    <mergeCell ref="B5453:B5456"/>
    <mergeCell ref="A5457:A5460"/>
    <mergeCell ref="B5457:B5460"/>
    <mergeCell ref="A5228:A5235"/>
    <mergeCell ref="B5228:B5235"/>
    <mergeCell ref="A5236:A5243"/>
    <mergeCell ref="B5236:B5243"/>
    <mergeCell ref="A5244:A5250"/>
    <mergeCell ref="B5244:B5250"/>
    <mergeCell ref="A5251:A5260"/>
    <mergeCell ref="B5251:B5260"/>
    <mergeCell ref="A5261:A5272"/>
    <mergeCell ref="B5261:B5272"/>
    <mergeCell ref="A5273:A5278"/>
    <mergeCell ref="B5273:B5278"/>
    <mergeCell ref="A5279:A5284"/>
    <mergeCell ref="B5279:B5284"/>
    <mergeCell ref="A5285:A5291"/>
    <mergeCell ref="B5285:B5291"/>
    <mergeCell ref="A5461:A5464"/>
    <mergeCell ref="B5461:B5464"/>
    <mergeCell ref="A5465:A5468"/>
    <mergeCell ref="B5465:B5468"/>
    <mergeCell ref="A5469:A5472"/>
    <mergeCell ref="B5469:B5472"/>
    <mergeCell ref="A5473:A5476"/>
    <mergeCell ref="B5473:B5476"/>
    <mergeCell ref="A5477:A5480"/>
    <mergeCell ref="B5477:B5480"/>
    <mergeCell ref="A5481:A5484"/>
    <mergeCell ref="B5481:B5484"/>
    <mergeCell ref="A5485:A5488"/>
    <mergeCell ref="B5485:B5488"/>
    <mergeCell ref="A5489:A5492"/>
    <mergeCell ref="B5489:B5492"/>
    <mergeCell ref="A5493:A5496"/>
    <mergeCell ref="B5493:B5496"/>
    <mergeCell ref="A5497:A5500"/>
    <mergeCell ref="B5497:B5500"/>
    <mergeCell ref="A5501:A5504"/>
    <mergeCell ref="B5501:B5504"/>
    <mergeCell ref="A5505:A5508"/>
    <mergeCell ref="B5505:B5508"/>
    <mergeCell ref="A5509:A5512"/>
    <mergeCell ref="B5509:B5512"/>
    <mergeCell ref="A5513:A5516"/>
    <mergeCell ref="B5513:B5516"/>
    <mergeCell ref="A5517:A5520"/>
    <mergeCell ref="B5517:B5520"/>
    <mergeCell ref="A5521:A5524"/>
    <mergeCell ref="B5521:B5524"/>
    <mergeCell ref="A5525:A5528"/>
    <mergeCell ref="B5525:B5528"/>
    <mergeCell ref="A5529:A5532"/>
    <mergeCell ref="B5529:B5532"/>
    <mergeCell ref="A5533:A5536"/>
    <mergeCell ref="B5533:B5536"/>
    <mergeCell ref="A5537:A5540"/>
    <mergeCell ref="B5537:B5540"/>
    <mergeCell ref="A5541:A5544"/>
    <mergeCell ref="B5541:B5544"/>
    <mergeCell ref="A5545:A5548"/>
    <mergeCell ref="B5545:B5548"/>
    <mergeCell ref="A5549:A5552"/>
    <mergeCell ref="B5549:B5552"/>
    <mergeCell ref="A5553:A5556"/>
    <mergeCell ref="B5553:B5556"/>
    <mergeCell ref="A5557:A5560"/>
    <mergeCell ref="B5557:B5560"/>
    <mergeCell ref="A5561:A5564"/>
    <mergeCell ref="B5561:B5564"/>
    <mergeCell ref="A5565:A5568"/>
    <mergeCell ref="B5565:B5568"/>
    <mergeCell ref="A5569:A5572"/>
    <mergeCell ref="B5569:B5572"/>
    <mergeCell ref="A5573:A5576"/>
    <mergeCell ref="B5573:B5576"/>
    <mergeCell ref="A5577:A5580"/>
    <mergeCell ref="B5577:B5580"/>
    <mergeCell ref="A5581:A5584"/>
    <mergeCell ref="B5581:B5584"/>
    <mergeCell ref="A5585:A5588"/>
    <mergeCell ref="B5585:B5588"/>
    <mergeCell ref="A5589:A5592"/>
    <mergeCell ref="B5589:B5592"/>
    <mergeCell ref="A5593:A5596"/>
    <mergeCell ref="B5593:B5596"/>
    <mergeCell ref="A5597:A5600"/>
    <mergeCell ref="B5597:B5600"/>
    <mergeCell ref="A5601:A5604"/>
    <mergeCell ref="B5601:B5604"/>
    <mergeCell ref="A5605:A5608"/>
    <mergeCell ref="B5605:B5608"/>
    <mergeCell ref="A5609:A5612"/>
    <mergeCell ref="B5609:B5612"/>
    <mergeCell ref="A5613:A5616"/>
    <mergeCell ref="B5613:B5616"/>
    <mergeCell ref="A5617:A5620"/>
    <mergeCell ref="B5617:B5620"/>
    <mergeCell ref="A5621:A5624"/>
    <mergeCell ref="B5621:B5624"/>
    <mergeCell ref="A5625:A5628"/>
    <mergeCell ref="B5625:B5628"/>
    <mergeCell ref="A5629:A5632"/>
    <mergeCell ref="B5629:B5632"/>
    <mergeCell ref="A5633:A5636"/>
    <mergeCell ref="B5633:B5636"/>
    <mergeCell ref="A5637:A5640"/>
    <mergeCell ref="B5637:B5640"/>
    <mergeCell ref="A5641:A5644"/>
    <mergeCell ref="B5641:B5644"/>
    <mergeCell ref="A5645:A5648"/>
    <mergeCell ref="B5645:B5648"/>
    <mergeCell ref="A5649:A5652"/>
    <mergeCell ref="B5649:B5652"/>
    <mergeCell ref="A5653:A5656"/>
    <mergeCell ref="B5653:B5656"/>
    <mergeCell ref="A5657:A5660"/>
    <mergeCell ref="B5657:B5660"/>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817:A5820"/>
    <mergeCell ref="B5817:B5820"/>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821:A5824"/>
    <mergeCell ref="A5825:A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93:A5896"/>
    <mergeCell ref="B5893:B5896"/>
    <mergeCell ref="A5897:A5900"/>
    <mergeCell ref="B5897:B5900"/>
    <mergeCell ref="A5901:A5904"/>
    <mergeCell ref="B5901:B5904"/>
    <mergeCell ref="A5905:A5908"/>
    <mergeCell ref="B5905:B5908"/>
    <mergeCell ref="A5909:A5912"/>
    <mergeCell ref="B5909:B5912"/>
    <mergeCell ref="A5913:A5916"/>
    <mergeCell ref="B5913:B5916"/>
    <mergeCell ref="A5917:A5920"/>
    <mergeCell ref="B5917:B5920"/>
    <mergeCell ref="A5921:A5924"/>
    <mergeCell ref="B5921:B5924"/>
    <mergeCell ref="A5857:A5860"/>
    <mergeCell ref="B5857:B5860"/>
    <mergeCell ref="A5861:A5864"/>
    <mergeCell ref="B5861:B5864"/>
    <mergeCell ref="A5865:A5868"/>
    <mergeCell ref="B5865:B5868"/>
    <mergeCell ref="A5869:A5872"/>
    <mergeCell ref="B5869:B5872"/>
    <mergeCell ref="A5873:A5876"/>
    <mergeCell ref="B5873:B5876"/>
    <mergeCell ref="A5877:A5880"/>
    <mergeCell ref="B5877:B5880"/>
    <mergeCell ref="A5881:A5884"/>
    <mergeCell ref="B5881:B5884"/>
    <mergeCell ref="A5885:A5888"/>
    <mergeCell ref="B5885:B5888"/>
    <mergeCell ref="A5925:A5928"/>
    <mergeCell ref="B5925:B5928"/>
    <mergeCell ref="A5929:A5932"/>
    <mergeCell ref="B5929:B5932"/>
    <mergeCell ref="A5933:A5936"/>
    <mergeCell ref="B5933:B5936"/>
    <mergeCell ref="A5937:A5940"/>
    <mergeCell ref="B5937:B5940"/>
    <mergeCell ref="A5941:A5948"/>
    <mergeCell ref="B5941:B5948"/>
    <mergeCell ref="A5949:A5952"/>
    <mergeCell ref="B5949:B5952"/>
    <mergeCell ref="A5953:A5956"/>
    <mergeCell ref="B5953:B5956"/>
    <mergeCell ref="A2723:A2726"/>
    <mergeCell ref="B2723:B2726"/>
    <mergeCell ref="B5821:B5824"/>
    <mergeCell ref="B5825:B5828"/>
    <mergeCell ref="A5409:A5414"/>
    <mergeCell ref="B5409:B5414"/>
    <mergeCell ref="A5415:A5420"/>
    <mergeCell ref="B5415:B5420"/>
    <mergeCell ref="A5421:A5426"/>
    <mergeCell ref="B5421:B5426"/>
    <mergeCell ref="A5427:A5432"/>
    <mergeCell ref="B5427:B5432"/>
    <mergeCell ref="A5433:A5438"/>
    <mergeCell ref="B5433:B5438"/>
    <mergeCell ref="A5439:A5444"/>
    <mergeCell ref="B5439:B5444"/>
    <mergeCell ref="A5889:A5892"/>
    <mergeCell ref="B5889:B5892"/>
    <mergeCell ref="A5957:A5960"/>
    <mergeCell ref="B5957:B5960"/>
    <mergeCell ref="A2715:A2718"/>
    <mergeCell ref="B2715:B2718"/>
    <mergeCell ref="A5325:A5330"/>
    <mergeCell ref="B5325:B5330"/>
    <mergeCell ref="A5331:A5336"/>
    <mergeCell ref="B5331:B5336"/>
    <mergeCell ref="A5337:A5342"/>
    <mergeCell ref="B5337:B5342"/>
    <mergeCell ref="A5343:A5348"/>
    <mergeCell ref="B5343:B5348"/>
    <mergeCell ref="A5349:A5354"/>
    <mergeCell ref="B5349:B5354"/>
    <mergeCell ref="A5355:A5360"/>
    <mergeCell ref="B5355:B5360"/>
    <mergeCell ref="A5361:A5366"/>
    <mergeCell ref="B5361:B5366"/>
    <mergeCell ref="A5367:A5372"/>
    <mergeCell ref="B5367:B5372"/>
    <mergeCell ref="A5373:A5378"/>
    <mergeCell ref="B5373:B5378"/>
    <mergeCell ref="A5379:A5384"/>
    <mergeCell ref="B5379:B5384"/>
    <mergeCell ref="A5385:A5390"/>
    <mergeCell ref="B5385:B5390"/>
    <mergeCell ref="A5391:A5396"/>
    <mergeCell ref="B5391:B5396"/>
    <mergeCell ref="A5397:A5402"/>
    <mergeCell ref="B5397:B5402"/>
    <mergeCell ref="A5403:A5408"/>
    <mergeCell ref="B5403:B5408"/>
    <mergeCell ref="A6032:A6037"/>
    <mergeCell ref="B6032:B6037"/>
    <mergeCell ref="A6038:A6044"/>
    <mergeCell ref="B6038:B6044"/>
    <mergeCell ref="A6045:A6050"/>
    <mergeCell ref="B6045:B6050"/>
    <mergeCell ref="A5983:A5989"/>
    <mergeCell ref="B5983:B5989"/>
    <mergeCell ref="A5961:A5971"/>
    <mergeCell ref="B5961:B5971"/>
    <mergeCell ref="A5972:A5982"/>
    <mergeCell ref="B5972:B5982"/>
    <mergeCell ref="A5990:A5994"/>
    <mergeCell ref="B5990:B5994"/>
    <mergeCell ref="A5995:A5999"/>
    <mergeCell ref="B5995:B5999"/>
    <mergeCell ref="A6008:A6015"/>
    <mergeCell ref="B6008:B6015"/>
    <mergeCell ref="A6000:A6007"/>
    <mergeCell ref="B6000:B6007"/>
    <mergeCell ref="A6016:A6024"/>
    <mergeCell ref="B6016:B6024"/>
    <mergeCell ref="A6025:A6031"/>
    <mergeCell ref="B6025:B6031"/>
  </mergeCells>
  <conditionalFormatting sqref="D3336 D262 D2410 D2249:E2249 D4736:D4737 E4736 D4849 D4863 D5097 D5104 D861:E861 D878:E878 D884 D5986:D5988">
    <cfRule type="containsText" dxfId="2364" priority="4260" operator="containsText" text="Pesquisa de Preços">
      <formula>NOT(ISERROR(SEARCH("Pesquisa de Preços",D262)))</formula>
    </cfRule>
  </conditionalFormatting>
  <conditionalFormatting sqref="D9">
    <cfRule type="containsText" dxfId="2363" priority="4259" operator="containsText" text="Pesquisa de Preços">
      <formula>NOT(ISERROR(SEARCH("Pesquisa de Preços",D9)))</formula>
    </cfRule>
  </conditionalFormatting>
  <conditionalFormatting sqref="D7">
    <cfRule type="containsText" dxfId="2362" priority="4258" operator="containsText" text="Pesquisa de Preços">
      <formula>NOT(ISERROR(SEARCH("Pesquisa de Preços",D7)))</formula>
    </cfRule>
  </conditionalFormatting>
  <conditionalFormatting sqref="D6 D10 D14 D18 D23 D28 D33 D37 D42 D47 D52 D59 D64 D69 D77 D82 D87 D92 D97 D102 D106 D111 D116 D121 D126 D131 D135 D139 D144 D149 D154 D161 D166 D171 D175 D179 D183 D190 D197 D201 D205 D210 D214 D219 D224 D228 D232 D236 D240 D248 D263 D268 D276 D283 D290 D305 D320 D326 D341 D351 D365 D371 D380 D394 D401 D415 D422 D434 D440 D446 D454 D464 D471 D483 D489 D497 D504 D511 D517 D524 D531 D537 D545 D553 D561 D569 D579 D588 D596 D606 D615 D621 D629 D637 D644 D648 D652 D656 D660 D664 D668 D676 D686 D696 D704 D714 D723 D730 D736 D744 D748 D755 D766 D772 D783 D790 D804 D814 D818 D823 D827 D832 D839 D845 D850 D856 D862 D867 D875 D881 D887 D892 D899 D903 D909 D918 D925 D934 D943 D949 D955 D962 D969 D976 D987 D998 D1003 D1008 D1017 D1022 D1032 D1041 D1048 D1055 D1062 D1069 D1078 D1086 D1094 D1104 D1112 D1117 D1122 D1128 D1133 D1140 D1147 D1154 D1161 D1168 D1175 D1182 D1189 D1196 D1203 D1210 D1217 D1224 D1231 D1238 D1245 D1252 D1259 D1266 D1272 D1279 D1286 D1293 D1300 D1308 D1317 D1322 D1328 D1334 D1340 D1347 D1353 D1360 D1366 D1372 D1378 D1384 D1390 D1396 D1403 D1418 D1433 D1448 D1463 D1478 D1493 D1508 D1516 D1524 D1532 D1540 D1548 D1555 D1562 D1569 D1576 D1591 D1597 D1603 D1609 D1616 D1621 D1627 D1633 D1638 D1644 D1650 D1656 D1662 D1667 D1672 D1677 D1683 D1690 D1697 D1703 D1711 D1722 D1733 D1744 D1755 D1762 D1769 D1776 D1783 D1790 D1797 D1804 D1811 D1816 D1821 D1827 D1833 D1840 D1846 D1852 D1858 D1864 D1870 D1876 D1882 D1888 D1894 D1900 D1906 D1912 D1917 D1922 D1927 D1933 D1938 D1943 D1948 D1954 D1960 D1967 D1974 D1982 D1990 D1997 D2004 D2011 D2018 D2024 D2032 D2040 D2048 D2056 D2064 D2072 D2080 D2088 D2096 D2104 D2112 D2118 D2124 D2130 D2136 D2142 D2150 D2158 D2166 D2174 D2182 D2190 D2198 D2206 D2211 D2218 D2224 D2230 D2236 D2250 D2256 D2266 D2276 D2286 D2296 D2306 D2313 D2320 D2326 D2332 D2338 D2344 D2349 D2354 D2359 D2365 D2373 D2380 D2386 D2393 D2407 D2435 D2555 D2559 D2563 D2567 D2571 D2575 D2583 D2591 D2599 D2603 D2607 D2611 D2615 D2619 D2623 D2627 D2631 D2635 D2639 D2647 D2655 D2661 D2667 D2673 D2679 D2685 D2691 D2697 D2703 D2709 D2727 D2732 D2742 D2758 D2768 D2773 D2778 D2783 D2790 D2795 D2800 D2805 D2810 D2815 D2820 D2825 D2830 D2837 D2842 D2847 D2852 D2860 D2868 D2876 D2884 D2892 D2897 D2902 D2907 D2912 D2917 D2922 D2927 D2932 D2937 D2942 D2952 D2957 D2962 D2967 D2972 D2977 D2982 D2987 D2992 D2997 D3005 D3010 D3018 D3022 D3030 D3035 D3043 D3048 D3053 D3058 D3063 D3068 D3073 D3078 D3083 D3088 D3094 D3100 D3106 D3112 D3117 D3123 D3128 D3134 D3142 D3150 D3155 D3159 D3166 D3179 D3185 D3191 D3197 D3207 D3212 D3219 D3226 D3233 D3240 D3247 D3254 D3261 D3268 D3275 D3282 D3288 D3294 D3303 D3308 D3315 D3322 D3329 D3333 D3337 D3342 D3346 D3350 D3357 D3364 D3371 D3376 D3381 D3386 D3390 D3394 D3404 D3415 D3423 D3440 D3448 D3465 D3477 D3484 D3500 D3506 D3512 D3520 D3527 D3532 D3540 D3546 D3553 D3559 D3569 D3574 D3579 D3587 D3591 D3597 D3612 D3620 D3632 D3645 D3656 D3660 D3670 D3675 D3684 D3693 D3697 D3701 D3705 D3711 D3716 D3727 D3737 D3746 D3754 D3766 D3781 D3788 D3804 D3810 D3816 D3822 D3829 D3838 D3845 D3855 D3862 D3870 D3883 D3896 D3901 D3905 D3909 D3918 D3927 D3936 D3945 D3954 D3963 D3969 D3975 D3982 D3988 D3992 D3999 D4007 D4015 D4023 D4033 D4040 D4051 D4062 D4066 D4073 D4080 D4086 D4092 D4098 D4108 D4114 D4122 D4128 D4135 D4142 D4147 D4157 D4166 D4182 D4209 D4216 D4226 D4235 D4244 D4253 D4262 D4272 D4280 D4288 D4298 D4308 D4318 D4326 D4338 D4350 D4356 D4376 D4384 D4392 D4398 D4403 D4408 D4414 D4422 D4427 D4433 D4445 D4457 D4476 D4484 D4493 D4501 D4507 D4519 D4527 D4533 D4541 D4549 D4559 D4565 D4573 D4582 D4594 D4600 D4608 D4619">
    <cfRule type="containsText" dxfId="2361" priority="4257" operator="containsText" text="Pesquisa de Preços">
      <formula>NOT(ISERROR(SEARCH("Pesquisa de Preços",D6)))</formula>
    </cfRule>
  </conditionalFormatting>
  <conditionalFormatting sqref="D8">
    <cfRule type="containsText" dxfId="2360" priority="4256" operator="containsText" text="Pesquisa de Preços">
      <formula>NOT(ISERROR(SEARCH("Pesquisa de Preços",D8)))</formula>
    </cfRule>
  </conditionalFormatting>
  <conditionalFormatting sqref="D15">
    <cfRule type="containsText" dxfId="2359" priority="4255" operator="containsText" text="Pesquisa de Preços">
      <formula>NOT(ISERROR(SEARCH("Pesquisa de Preços",D15)))</formula>
    </cfRule>
  </conditionalFormatting>
  <conditionalFormatting sqref="D16">
    <cfRule type="containsText" dxfId="2358" priority="4254" operator="containsText" text="Pesquisa de Preços">
      <formula>NOT(ISERROR(SEARCH("Pesquisa de Preços",D16)))</formula>
    </cfRule>
  </conditionalFormatting>
  <conditionalFormatting sqref="D12">
    <cfRule type="containsText" dxfId="2357" priority="4253" operator="containsText" text="Pesquisa de Preços">
      <formula>NOT(ISERROR(SEARCH("Pesquisa de Preços",D12)))</formula>
    </cfRule>
  </conditionalFormatting>
  <conditionalFormatting sqref="D94:D95">
    <cfRule type="containsText" dxfId="2356" priority="3751" operator="containsText" text="Pesquisa de Preços">
      <formula>NOT(ISERROR(SEARCH("Pesquisa de Preços",D94)))</formula>
    </cfRule>
  </conditionalFormatting>
  <conditionalFormatting sqref="D13">
    <cfRule type="containsText" dxfId="2355" priority="4252" operator="containsText" text="Pesquisa de Preços">
      <formula>NOT(ISERROR(SEARCH("Pesquisa de Preços",D13)))</formula>
    </cfRule>
  </conditionalFormatting>
  <conditionalFormatting sqref="D11">
    <cfRule type="containsText" dxfId="2354" priority="4251" operator="containsText" text="Pesquisa de Preços">
      <formula>NOT(ISERROR(SEARCH("Pesquisa de Preços",D11)))</formula>
    </cfRule>
  </conditionalFormatting>
  <conditionalFormatting sqref="D225">
    <cfRule type="containsText" dxfId="2353" priority="4249" operator="containsText" text="Pesquisa de Preços">
      <formula>NOT(ISERROR(SEARCH("Pesquisa de Preços",D225)))</formula>
    </cfRule>
  </conditionalFormatting>
  <conditionalFormatting sqref="D227">
    <cfRule type="containsText" dxfId="2352" priority="4250" operator="containsText" text="Pesquisa de Preços">
      <formula>NOT(ISERROR(SEARCH("Pesquisa de Preços",D227)))</formula>
    </cfRule>
  </conditionalFormatting>
  <conditionalFormatting sqref="D1381">
    <cfRule type="containsText" dxfId="2351" priority="3747" operator="containsText" text="Pesquisa de Preços">
      <formula>NOT(ISERROR(SEARCH("Pesquisa de Preços",D1381)))</formula>
    </cfRule>
  </conditionalFormatting>
  <conditionalFormatting sqref="D514">
    <cfRule type="containsText" dxfId="2350" priority="4155" operator="containsText" text="Pesquisa de Preços">
      <formula>NOT(ISERROR(SEARCH("Pesquisa de Preços",D514)))</formula>
    </cfRule>
  </conditionalFormatting>
  <conditionalFormatting sqref="D150">
    <cfRule type="containsText" dxfId="2349" priority="4245" operator="containsText" text="Pesquisa de Preços">
      <formula>NOT(ISERROR(SEARCH("Pesquisa de Preços",D150)))</formula>
    </cfRule>
  </conditionalFormatting>
  <conditionalFormatting sqref="D490:D491 D493:D496">
    <cfRule type="containsText" dxfId="2348" priority="4152" operator="containsText" text="Pesquisa de Preços">
      <formula>NOT(ISERROR(SEARCH("Pesquisa de Preços",D490)))</formula>
    </cfRule>
  </conditionalFormatting>
  <conditionalFormatting sqref="D78">
    <cfRule type="containsText" dxfId="2347" priority="4246" operator="containsText" text="Pesquisa de Preços">
      <formula>NOT(ISERROR(SEARCH("Pesquisa de Preços",D78)))</formula>
    </cfRule>
  </conditionalFormatting>
  <conditionalFormatting sqref="D162">
    <cfRule type="containsText" dxfId="2346" priority="4244" operator="containsText" text="Pesquisa de Preços">
      <formula>NOT(ISERROR(SEARCH("Pesquisa de Preços",D162)))</formula>
    </cfRule>
  </conditionalFormatting>
  <conditionalFormatting sqref="D79">
    <cfRule type="containsText" dxfId="2345" priority="4248" operator="containsText" text="Pesquisa de Preços">
      <formula>NOT(ISERROR(SEARCH("Pesquisa de Preços",D79)))</formula>
    </cfRule>
  </conditionalFormatting>
  <conditionalFormatting sqref="D81">
    <cfRule type="containsText" dxfId="2344" priority="4247" operator="containsText" text="Pesquisa de Preços">
      <formula>NOT(ISERROR(SEARCH("Pesquisa de Preços",D81)))</formula>
    </cfRule>
  </conditionalFormatting>
  <conditionalFormatting sqref="D88">
    <cfRule type="containsText" dxfId="2343" priority="4243" operator="containsText" text="Pesquisa de Preços">
      <formula>NOT(ISERROR(SEARCH("Pesquisa de Preços",D88)))</formula>
    </cfRule>
  </conditionalFormatting>
  <conditionalFormatting sqref="D60">
    <cfRule type="containsText" dxfId="2342" priority="4242" operator="containsText" text="Pesquisa de Preços">
      <formula>NOT(ISERROR(SEARCH("Pesquisa de Preços",D60)))</formula>
    </cfRule>
  </conditionalFormatting>
  <conditionalFormatting sqref="D53">
    <cfRule type="containsText" dxfId="2341" priority="4241" operator="containsText" text="Pesquisa de Preços">
      <formula>NOT(ISERROR(SEARCH("Pesquisa de Preços",D53)))</formula>
    </cfRule>
  </conditionalFormatting>
  <conditionalFormatting sqref="D34:D35">
    <cfRule type="containsText" dxfId="2340" priority="4240" operator="containsText" text="Pesquisa de Preços">
      <formula>NOT(ISERROR(SEARCH("Pesquisa de Preços",D34)))</formula>
    </cfRule>
  </conditionalFormatting>
  <conditionalFormatting sqref="D98:D99">
    <cfRule type="containsText" dxfId="2339" priority="4238" operator="containsText" text="Pesquisa de Preços">
      <formula>NOT(ISERROR(SEARCH("Pesquisa de Preços",D98)))</formula>
    </cfRule>
  </conditionalFormatting>
  <conditionalFormatting sqref="D29">
    <cfRule type="containsText" dxfId="2338" priority="4239" operator="containsText" text="Pesquisa de Preços">
      <formula>NOT(ISERROR(SEARCH("Pesquisa de Preços",D29)))</formula>
    </cfRule>
  </conditionalFormatting>
  <conditionalFormatting sqref="D145:D146">
    <cfRule type="containsText" dxfId="2337" priority="4236" operator="containsText" text="Pesquisa de Preços">
      <formula>NOT(ISERROR(SEARCH("Pesquisa de Preços",D145)))</formula>
    </cfRule>
  </conditionalFormatting>
  <conditionalFormatting sqref="D100">
    <cfRule type="containsText" dxfId="2336" priority="4237" operator="containsText" text="Pesquisa de Preços">
      <formula>NOT(ISERROR(SEARCH("Pesquisa de Preços",D100)))</formula>
    </cfRule>
  </conditionalFormatting>
  <conditionalFormatting sqref="D180">
    <cfRule type="containsText" dxfId="2335" priority="4231" operator="containsText" text="Pesquisa de Preços">
      <formula>NOT(ISERROR(SEARCH("Pesquisa de Preços",D180)))</formula>
    </cfRule>
  </conditionalFormatting>
  <conditionalFormatting sqref="D24">
    <cfRule type="containsText" dxfId="2334" priority="4233" operator="containsText" text="Pesquisa de Preços">
      <formula>NOT(ISERROR(SEARCH("Pesquisa de Preços",D24)))</formula>
    </cfRule>
  </conditionalFormatting>
  <conditionalFormatting sqref="D147">
    <cfRule type="containsText" dxfId="2333" priority="4235" operator="containsText" text="Pesquisa de Preços">
      <formula>NOT(ISERROR(SEARCH("Pesquisa de Preços",D147)))</formula>
    </cfRule>
  </conditionalFormatting>
  <conditionalFormatting sqref="D43:D45">
    <cfRule type="containsText" dxfId="2332" priority="4234" operator="containsText" text="Pesquisa de Preços">
      <formula>NOT(ISERROR(SEARCH("Pesquisa de Preços",D43)))</formula>
    </cfRule>
  </conditionalFormatting>
  <conditionalFormatting sqref="D117">
    <cfRule type="containsText" dxfId="2331" priority="4230" operator="containsText" text="Pesquisa de Preços">
      <formula>NOT(ISERROR(SEARCH("Pesquisa de Preços",D117)))</formula>
    </cfRule>
  </conditionalFormatting>
  <conditionalFormatting sqref="D38:D40">
    <cfRule type="containsText" dxfId="2330" priority="4232" operator="containsText" text="Pesquisa de Preços">
      <formula>NOT(ISERROR(SEARCH("Pesquisa de Preços",D38)))</formula>
    </cfRule>
  </conditionalFormatting>
  <conditionalFormatting sqref="D677">
    <cfRule type="containsText" dxfId="2329" priority="4136" operator="containsText" text="Pesquisa de Preços">
      <formula>NOT(ISERROR(SEARCH("Pesquisa de Preços",D677)))</formula>
    </cfRule>
  </conditionalFormatting>
  <conditionalFormatting sqref="D669">
    <cfRule type="containsText" dxfId="2328" priority="4135" operator="containsText" text="Pesquisa de Preços">
      <formula>NOT(ISERROR(SEARCH("Pesquisa de Preços",D669)))</formula>
    </cfRule>
  </conditionalFormatting>
  <conditionalFormatting sqref="D176:D177">
    <cfRule type="containsText" dxfId="2327" priority="4229" operator="containsText" text="Pesquisa de Preços">
      <formula>NOT(ISERROR(SEARCH("Pesquisa de Preços",D176)))</formula>
    </cfRule>
  </conditionalFormatting>
  <conditionalFormatting sqref="D220:D221">
    <cfRule type="containsText" dxfId="2326" priority="4228" operator="containsText" text="Pesquisa de Preços">
      <formula>NOT(ISERROR(SEARCH("Pesquisa de Preços",D220)))</formula>
    </cfRule>
  </conditionalFormatting>
  <conditionalFormatting sqref="D687:D688 D694:D695">
    <cfRule type="containsText" dxfId="2325" priority="4134" operator="containsText" text="Pesquisa de Preços">
      <formula>NOT(ISERROR(SEARCH("Pesquisa de Preços",D687)))</formula>
    </cfRule>
  </conditionalFormatting>
  <conditionalFormatting sqref="D222">
    <cfRule type="containsText" dxfId="2324" priority="4227" operator="containsText" text="Pesquisa de Preços">
      <formula>NOT(ISERROR(SEARCH("Pesquisa de Preços",D222)))</formula>
    </cfRule>
  </conditionalFormatting>
  <conditionalFormatting sqref="D127">
    <cfRule type="containsText" dxfId="2323" priority="4226" operator="containsText" text="Pesquisa de Preços">
      <formula>NOT(ISERROR(SEARCH("Pesquisa de Preços",D127)))</formula>
    </cfRule>
  </conditionalFormatting>
  <conditionalFormatting sqref="D715">
    <cfRule type="containsText" dxfId="2322" priority="4132" operator="containsText" text="Pesquisa de Preços">
      <formula>NOT(ISERROR(SEARCH("Pesquisa de Preços",D715)))</formula>
    </cfRule>
  </conditionalFormatting>
  <conditionalFormatting sqref="D167:D168">
    <cfRule type="containsText" dxfId="2321" priority="4225" operator="containsText" text="Pesquisa de Preços">
      <formula>NOT(ISERROR(SEARCH("Pesquisa de Preços",D167)))</formula>
    </cfRule>
  </conditionalFormatting>
  <conditionalFormatting sqref="D731">
    <cfRule type="containsText" dxfId="2320" priority="4131" operator="containsText" text="Pesquisa de Preços">
      <formula>NOT(ISERROR(SEARCH("Pesquisa de Preços",D731)))</formula>
    </cfRule>
  </conditionalFormatting>
  <conditionalFormatting sqref="D169">
    <cfRule type="containsText" dxfId="2319" priority="4224" operator="containsText" text="Pesquisa de Preços">
      <formula>NOT(ISERROR(SEARCH("Pesquisa de Preços",D169)))</formula>
    </cfRule>
  </conditionalFormatting>
  <conditionalFormatting sqref="D83">
    <cfRule type="containsText" dxfId="2318" priority="4223" operator="containsText" text="Pesquisa de Preços">
      <formula>NOT(ISERROR(SEARCH("Pesquisa de Preços",D83)))</formula>
    </cfRule>
  </conditionalFormatting>
  <conditionalFormatting sqref="D112">
    <cfRule type="containsText" dxfId="2317" priority="4222" operator="containsText" text="Pesquisa de Preços">
      <formula>NOT(ISERROR(SEARCH("Pesquisa de Preços",D112)))</formula>
    </cfRule>
  </conditionalFormatting>
  <conditionalFormatting sqref="D211:D212">
    <cfRule type="containsText" dxfId="2316" priority="4221" operator="containsText" text="Pesquisa de Preços">
      <formula>NOT(ISERROR(SEARCH("Pesquisa de Preços",D211)))</formula>
    </cfRule>
  </conditionalFormatting>
  <conditionalFormatting sqref="D202">
    <cfRule type="containsText" dxfId="2315" priority="4220" operator="containsText" text="Pesquisa de Preços">
      <formula>NOT(ISERROR(SEARCH("Pesquisa de Preços",D202)))</formula>
    </cfRule>
  </conditionalFormatting>
  <conditionalFormatting sqref="D198:D199">
    <cfRule type="containsText" dxfId="2314" priority="4218" operator="containsText" text="Pesquisa de Preços">
      <formula>NOT(ISERROR(SEARCH("Pesquisa de Preços",D198)))</formula>
    </cfRule>
  </conditionalFormatting>
  <conditionalFormatting sqref="D203:D204">
    <cfRule type="containsText" dxfId="2313" priority="4219" operator="containsText" text="Pesquisa de Preços">
      <formula>NOT(ISERROR(SEARCH("Pesquisa de Preços",D203)))</formula>
    </cfRule>
  </conditionalFormatting>
  <conditionalFormatting sqref="D70:D71 D75:D76">
    <cfRule type="containsText" dxfId="2312" priority="4217" operator="containsText" text="Pesquisa de Preços">
      <formula>NOT(ISERROR(SEARCH("Pesquisa de Preços",D70)))</formula>
    </cfRule>
  </conditionalFormatting>
  <conditionalFormatting sqref="D72:D74">
    <cfRule type="containsText" dxfId="2311" priority="4216" operator="containsText" text="Pesquisa de Preços">
      <formula>NOT(ISERROR(SEARCH("Pesquisa de Preços",D72)))</formula>
    </cfRule>
  </conditionalFormatting>
  <conditionalFormatting sqref="D136:D137">
    <cfRule type="containsText" dxfId="2310" priority="4215" operator="containsText" text="Pesquisa de Preços">
      <formula>NOT(ISERROR(SEARCH("Pesquisa de Preços",D136)))</formula>
    </cfRule>
  </conditionalFormatting>
  <conditionalFormatting sqref="D140:D141">
    <cfRule type="containsText" dxfId="2309" priority="4214" operator="containsText" text="Pesquisa de Preços">
      <formula>NOT(ISERROR(SEARCH("Pesquisa de Preços",D140)))</formula>
    </cfRule>
  </conditionalFormatting>
  <conditionalFormatting sqref="D791 D793:D802">
    <cfRule type="containsText" dxfId="2308" priority="4128" operator="containsText" text="Pesquisa de Preços">
      <formula>NOT(ISERROR(SEARCH("Pesquisa de Preços",D791)))</formula>
    </cfRule>
  </conditionalFormatting>
  <conditionalFormatting sqref="D155:D157">
    <cfRule type="containsText" dxfId="2307" priority="4213" operator="containsText" text="Pesquisa de Preços">
      <formula>NOT(ISERROR(SEARCH("Pesquisa de Preços",D155)))</formula>
    </cfRule>
  </conditionalFormatting>
  <conditionalFormatting sqref="D833">
    <cfRule type="containsText" dxfId="2306" priority="4127" operator="containsText" text="Pesquisa de Preços">
      <formula>NOT(ISERROR(SEARCH("Pesquisa de Preços",D833)))</formula>
    </cfRule>
  </conditionalFormatting>
  <conditionalFormatting sqref="D93">
    <cfRule type="containsText" dxfId="2305" priority="4212" operator="containsText" text="Pesquisa de Preços">
      <formula>NOT(ISERROR(SEARCH("Pesquisa de Preços",D93)))</formula>
    </cfRule>
  </conditionalFormatting>
  <conditionalFormatting sqref="D815:D816">
    <cfRule type="containsText" dxfId="2304" priority="4126" operator="containsText" text="Pesquisa de Preços">
      <formula>NOT(ISERROR(SEARCH("Pesquisa de Preços",D815)))</formula>
    </cfRule>
  </conditionalFormatting>
  <conditionalFormatting sqref="D48:D49">
    <cfRule type="containsText" dxfId="2303" priority="4211" operator="containsText" text="Pesquisa de Preços">
      <formula>NOT(ISERROR(SEARCH("Pesquisa de Preços",D48)))</formula>
    </cfRule>
  </conditionalFormatting>
  <conditionalFormatting sqref="D50">
    <cfRule type="containsText" dxfId="2302" priority="4210" operator="containsText" text="Pesquisa de Preços">
      <formula>NOT(ISERROR(SEARCH("Pesquisa de Preços",D50)))</formula>
    </cfRule>
  </conditionalFormatting>
  <conditionalFormatting sqref="D191:D192">
    <cfRule type="containsText" dxfId="2301" priority="4209" operator="containsText" text="Pesquisa de Preços">
      <formula>NOT(ISERROR(SEARCH("Pesquisa de Preços",D191)))</formula>
    </cfRule>
  </conditionalFormatting>
  <conditionalFormatting sqref="D749:D750 D753:D754">
    <cfRule type="containsText" dxfId="2300" priority="4125" operator="containsText" text="Pesquisa de Preços">
      <formula>NOT(ISERROR(SEARCH("Pesquisa de Preços",D749)))</formula>
    </cfRule>
  </conditionalFormatting>
  <conditionalFormatting sqref="D193">
    <cfRule type="containsText" dxfId="2299" priority="4208" operator="containsText" text="Pesquisa de Preços">
      <formula>NOT(ISERROR(SEARCH("Pesquisa de Preços",D193)))</formula>
    </cfRule>
  </conditionalFormatting>
  <conditionalFormatting sqref="D215">
    <cfRule type="containsText" dxfId="2298" priority="4207" operator="containsText" text="Pesquisa de Preços">
      <formula>NOT(ISERROR(SEARCH("Pesquisa de Preços",D215)))</formula>
    </cfRule>
  </conditionalFormatting>
  <conditionalFormatting sqref="D217">
    <cfRule type="containsText" dxfId="2297" priority="4206" operator="containsText" text="Pesquisa de Preços">
      <formula>NOT(ISERROR(SEARCH("Pesquisa de Preços",D217)))</formula>
    </cfRule>
  </conditionalFormatting>
  <conditionalFormatting sqref="D122">
    <cfRule type="containsText" dxfId="2296" priority="4205" operator="containsText" text="Pesquisa de Preços">
      <formula>NOT(ISERROR(SEARCH("Pesquisa de Preços",D122)))</formula>
    </cfRule>
  </conditionalFormatting>
  <conditionalFormatting sqref="D756:D757">
    <cfRule type="containsText" dxfId="2295" priority="4123" operator="containsText" text="Pesquisa de Preços">
      <formula>NOT(ISERROR(SEARCH("Pesquisa de Preços",D756)))</formula>
    </cfRule>
  </conditionalFormatting>
  <conditionalFormatting sqref="D124">
    <cfRule type="containsText" dxfId="2294" priority="4204" operator="containsText" text="Pesquisa de Preços">
      <formula>NOT(ISERROR(SEARCH("Pesquisa de Preços",D124)))</formula>
    </cfRule>
  </conditionalFormatting>
  <conditionalFormatting sqref="D107:D108">
    <cfRule type="containsText" dxfId="2293" priority="4203" operator="containsText" text="Pesquisa de Preços">
      <formula>NOT(ISERROR(SEARCH("Pesquisa de Preços",D107)))</formula>
    </cfRule>
  </conditionalFormatting>
  <conditionalFormatting sqref="D824 D826">
    <cfRule type="containsText" dxfId="2292" priority="4121" operator="containsText" text="Pesquisa de Preços">
      <formula>NOT(ISERROR(SEARCH("Pesquisa de Preços",D824)))</formula>
    </cfRule>
  </conditionalFormatting>
  <conditionalFormatting sqref="D109">
    <cfRule type="containsText" dxfId="2291" priority="4202" operator="containsText" text="Pesquisa de Preços">
      <formula>NOT(ISERROR(SEARCH("Pesquisa de Preços",D109)))</formula>
    </cfRule>
  </conditionalFormatting>
  <conditionalFormatting sqref="D132">
    <cfRule type="containsText" dxfId="2290" priority="4201" operator="containsText" text="Pesquisa de Preços">
      <formula>NOT(ISERROR(SEARCH("Pesquisa de Preços",D132)))</formula>
    </cfRule>
  </conditionalFormatting>
  <conditionalFormatting sqref="D828">
    <cfRule type="containsText" dxfId="2289" priority="4120" operator="containsText" text="Pesquisa de Preços">
      <formula>NOT(ISERROR(SEARCH("Pesquisa de Preços",D828)))</formula>
    </cfRule>
  </conditionalFormatting>
  <conditionalFormatting sqref="D65">
    <cfRule type="containsText" dxfId="2288" priority="4200" operator="containsText" text="Pesquisa de Preços">
      <formula>NOT(ISERROR(SEARCH("Pesquisa de Preços",D65)))</formula>
    </cfRule>
  </conditionalFormatting>
  <conditionalFormatting sqref="D805">
    <cfRule type="containsText" dxfId="2287" priority="4119" operator="containsText" text="Pesquisa de Preços">
      <formula>NOT(ISERROR(SEARCH("Pesquisa de Preços",D805)))</formula>
    </cfRule>
  </conditionalFormatting>
  <conditionalFormatting sqref="D67">
    <cfRule type="containsText" dxfId="2286" priority="4199" operator="containsText" text="Pesquisa de Preços">
      <formula>NOT(ISERROR(SEARCH("Pesquisa de Preços",D67)))</formula>
    </cfRule>
  </conditionalFormatting>
  <conditionalFormatting sqref="D321">
    <cfRule type="containsText" dxfId="2285" priority="4188" operator="containsText" text="Pesquisa de Preços">
      <formula>NOT(ISERROR(SEARCH("Pesquisa de Preços",D321)))</formula>
    </cfRule>
  </conditionalFormatting>
  <conditionalFormatting sqref="D342">
    <cfRule type="containsText" dxfId="2284" priority="4185" operator="containsText" text="Pesquisa de Preços">
      <formula>NOT(ISERROR(SEARCH("Pesquisa de Preços",D342)))</formula>
    </cfRule>
  </conditionalFormatting>
  <conditionalFormatting sqref="D327:D328">
    <cfRule type="containsText" dxfId="2283" priority="4180" operator="containsText" text="Pesquisa de Preços">
      <formula>NOT(ISERROR(SEARCH("Pesquisa de Preços",D327)))</formula>
    </cfRule>
  </conditionalFormatting>
  <conditionalFormatting sqref="D416 D421">
    <cfRule type="containsText" dxfId="2282" priority="4173" operator="containsText" text="Pesquisa de Preços">
      <formula>NOT(ISERROR(SEARCH("Pesquisa de Preços",D416)))</formula>
    </cfRule>
  </conditionalFormatting>
  <conditionalFormatting sqref="D247">
    <cfRule type="containsText" dxfId="2281" priority="4198" operator="containsText" text="Pesquisa de Preços">
      <formula>NOT(ISERROR(SEARCH("Pesquisa de Preços",D247)))</formula>
    </cfRule>
  </conditionalFormatting>
  <conditionalFormatting sqref="D249:D250">
    <cfRule type="containsText" dxfId="2280" priority="4197" operator="containsText" text="Pesquisa de Preços">
      <formula>NOT(ISERROR(SEARCH("Pesquisa de Preços",D249)))</formula>
    </cfRule>
  </conditionalFormatting>
  <conditionalFormatting sqref="D1089:D1090">
    <cfRule type="containsText" dxfId="2279" priority="4083" operator="containsText" text="Pesquisa de Preços">
      <formula>NOT(ISERROR(SEARCH("Pesquisa de Preços",D1089)))</formula>
    </cfRule>
  </conditionalFormatting>
  <conditionalFormatting sqref="D251:D261">
    <cfRule type="containsText" dxfId="2278" priority="4196" operator="containsText" text="Pesquisa de Preços">
      <formula>NOT(ISERROR(SEARCH("Pesquisa de Preços",D251)))</formula>
    </cfRule>
  </conditionalFormatting>
  <conditionalFormatting sqref="D264:D265">
    <cfRule type="containsText" dxfId="2277" priority="4195" operator="containsText" text="Pesquisa de Preços">
      <formula>NOT(ISERROR(SEARCH("Pesquisa de Preços",D264)))</formula>
    </cfRule>
  </conditionalFormatting>
  <conditionalFormatting sqref="D277:D278 D282">
    <cfRule type="containsText" dxfId="2276" priority="4194" operator="containsText" text="Pesquisa de Preços">
      <formula>NOT(ISERROR(SEARCH("Pesquisa de Preços",D277)))</formula>
    </cfRule>
  </conditionalFormatting>
  <conditionalFormatting sqref="D279:D280">
    <cfRule type="containsText" dxfId="2275" priority="4193" operator="containsText" text="Pesquisa de Preços">
      <formula>NOT(ISERROR(SEARCH("Pesquisa de Preços",D279)))</formula>
    </cfRule>
  </conditionalFormatting>
  <conditionalFormatting sqref="D284:D285 D289">
    <cfRule type="containsText" dxfId="2274" priority="4192" operator="containsText" text="Pesquisa de Preços">
      <formula>NOT(ISERROR(SEARCH("Pesquisa de Preços",D284)))</formula>
    </cfRule>
  </conditionalFormatting>
  <conditionalFormatting sqref="D286:D287">
    <cfRule type="containsText" dxfId="2273" priority="4191" operator="containsText" text="Pesquisa de Preços">
      <formula>NOT(ISERROR(SEARCH("Pesquisa de Preços",D286)))</formula>
    </cfRule>
  </conditionalFormatting>
  <conditionalFormatting sqref="D269:D270 D274:D275">
    <cfRule type="containsText" dxfId="2272" priority="4190" operator="containsText" text="Pesquisa de Preços">
      <formula>NOT(ISERROR(SEARCH("Pesquisa de Preços",D269)))</formula>
    </cfRule>
  </conditionalFormatting>
  <conditionalFormatting sqref="D271:D272">
    <cfRule type="containsText" dxfId="2271" priority="4189" operator="containsText" text="Pesquisa de Preços">
      <formula>NOT(ISERROR(SEARCH("Pesquisa de Preços",D271)))</formula>
    </cfRule>
  </conditionalFormatting>
  <conditionalFormatting sqref="D532:D533 D536">
    <cfRule type="containsText" dxfId="2270" priority="4154" operator="containsText" text="Pesquisa de Preços">
      <formula>NOT(ISERROR(SEARCH("Pesquisa de Preços",D532)))</formula>
    </cfRule>
  </conditionalFormatting>
  <conditionalFormatting sqref="D306">
    <cfRule type="containsText" dxfId="2269" priority="4187" operator="containsText" text="Pesquisa de Preços">
      <formula>NOT(ISERROR(SEARCH("Pesquisa de Preços",D306)))</formula>
    </cfRule>
  </conditionalFormatting>
  <conditionalFormatting sqref="D312:D314">
    <cfRule type="containsText" dxfId="2268" priority="4186" operator="containsText" text="Pesquisa de Preços">
      <formula>NOT(ISERROR(SEARCH("Pesquisa de Preços",D312)))</formula>
    </cfRule>
  </conditionalFormatting>
  <conditionalFormatting sqref="D352">
    <cfRule type="containsText" dxfId="2267" priority="4184" operator="containsText" text="Pesquisa de Preços">
      <formula>NOT(ISERROR(SEARCH("Pesquisa de Preços",D352)))</formula>
    </cfRule>
  </conditionalFormatting>
  <conditionalFormatting sqref="D355:D358">
    <cfRule type="containsText" dxfId="2266" priority="4183" operator="containsText" text="Pesquisa de Preços">
      <formula>NOT(ISERROR(SEARCH("Pesquisa de Preços",D355)))</formula>
    </cfRule>
  </conditionalFormatting>
  <conditionalFormatting sqref="D291">
    <cfRule type="containsText" dxfId="2265" priority="4182" operator="containsText" text="Pesquisa de Preços">
      <formula>NOT(ISERROR(SEARCH("Pesquisa de Preços",D291)))</formula>
    </cfRule>
  </conditionalFormatting>
  <conditionalFormatting sqref="D298:D299">
    <cfRule type="containsText" dxfId="2264" priority="4181" operator="containsText" text="Pesquisa de Preços">
      <formula>NOT(ISERROR(SEARCH("Pesquisa de Preços",D298)))</formula>
    </cfRule>
  </conditionalFormatting>
  <conditionalFormatting sqref="D329:D339">
    <cfRule type="containsText" dxfId="2263" priority="4179" operator="containsText" text="Pesquisa de Preços">
      <formula>NOT(ISERROR(SEARCH("Pesquisa de Preços",D329)))</formula>
    </cfRule>
  </conditionalFormatting>
  <conditionalFormatting sqref="D366:D367 D369:D370">
    <cfRule type="containsText" dxfId="2262" priority="4178" operator="containsText" text="Pesquisa de Preços">
      <formula>NOT(ISERROR(SEARCH("Pesquisa de Preços",D366)))</formula>
    </cfRule>
  </conditionalFormatting>
  <conditionalFormatting sqref="D368">
    <cfRule type="containsText" dxfId="2261" priority="4177" operator="containsText" text="Pesquisa de Preços">
      <formula>NOT(ISERROR(SEARCH("Pesquisa de Preços",D368)))</formula>
    </cfRule>
  </conditionalFormatting>
  <conditionalFormatting sqref="D372:D373 D378:D379">
    <cfRule type="containsText" dxfId="2260" priority="4176" operator="containsText" text="Pesquisa de Preços">
      <formula>NOT(ISERROR(SEARCH("Pesquisa de Preços",D372)))</formula>
    </cfRule>
  </conditionalFormatting>
  <conditionalFormatting sqref="D374:D377">
    <cfRule type="containsText" dxfId="2259" priority="4175" operator="containsText" text="Pesquisa de Preços">
      <formula>NOT(ISERROR(SEARCH("Pesquisa de Preços",D374)))</formula>
    </cfRule>
  </conditionalFormatting>
  <conditionalFormatting sqref="D402">
    <cfRule type="containsText" dxfId="2258" priority="4174" operator="containsText" text="Pesquisa de Preços">
      <formula>NOT(ISERROR(SEARCH("Pesquisa de Preços",D402)))</formula>
    </cfRule>
  </conditionalFormatting>
  <conditionalFormatting sqref="D441:D442 D444:D445">
    <cfRule type="containsText" dxfId="2257" priority="4172" operator="containsText" text="Pesquisa de Preços">
      <formula>NOT(ISERROR(SEARCH("Pesquisa de Preços",D441)))</formula>
    </cfRule>
  </conditionalFormatting>
  <conditionalFormatting sqref="D443">
    <cfRule type="containsText" dxfId="2256" priority="4171" operator="containsText" text="Pesquisa de Preços">
      <formula>NOT(ISERROR(SEARCH("Pesquisa de Preços",D443)))</formula>
    </cfRule>
  </conditionalFormatting>
  <conditionalFormatting sqref="D435:D436 D438:D439">
    <cfRule type="containsText" dxfId="2255" priority="4170" operator="containsText" text="Pesquisa de Preços">
      <formula>NOT(ISERROR(SEARCH("Pesquisa de Preços",D435)))</formula>
    </cfRule>
  </conditionalFormatting>
  <conditionalFormatting sqref="D437">
    <cfRule type="containsText" dxfId="2254" priority="4169" operator="containsText" text="Pesquisa de Preços">
      <formula>NOT(ISERROR(SEARCH("Pesquisa de Preços",D437)))</formula>
    </cfRule>
  </conditionalFormatting>
  <conditionalFormatting sqref="D455:D456 D459:D463">
    <cfRule type="containsText" dxfId="2253" priority="4168" operator="containsText" text="Pesquisa de Preços">
      <formula>NOT(ISERROR(SEARCH("Pesquisa de Preços",D455)))</formula>
    </cfRule>
  </conditionalFormatting>
  <conditionalFormatting sqref="D458">
    <cfRule type="containsText" dxfId="2252" priority="4167" operator="containsText" text="Pesquisa de Preços">
      <formula>NOT(ISERROR(SEARCH("Pesquisa de Preços",D458)))</formula>
    </cfRule>
  </conditionalFormatting>
  <conditionalFormatting sqref="D465:D466 D469:D470">
    <cfRule type="containsText" dxfId="2251" priority="4166" operator="containsText" text="Pesquisa de Preços">
      <formula>NOT(ISERROR(SEARCH("Pesquisa de Preços",D465)))</formula>
    </cfRule>
  </conditionalFormatting>
  <conditionalFormatting sqref="D468">
    <cfRule type="containsText" dxfId="2250" priority="4165" operator="containsText" text="Pesquisa de Preços">
      <formula>NOT(ISERROR(SEARCH("Pesquisa de Preços",D468)))</formula>
    </cfRule>
  </conditionalFormatting>
  <conditionalFormatting sqref="D472 D482">
    <cfRule type="containsText" dxfId="2249" priority="4164" operator="containsText" text="Pesquisa de Preços">
      <formula>NOT(ISERROR(SEARCH("Pesquisa de Preços",D472)))</formula>
    </cfRule>
  </conditionalFormatting>
  <conditionalFormatting sqref="D447 D451 D453">
    <cfRule type="containsText" dxfId="2248" priority="4163" operator="containsText" text="Pesquisa de Preços">
      <formula>NOT(ISERROR(SEARCH("Pesquisa de Preços",D447)))</formula>
    </cfRule>
  </conditionalFormatting>
  <conditionalFormatting sqref="D484:D485 D488">
    <cfRule type="containsText" dxfId="2247" priority="4162" operator="containsText" text="Pesquisa de Preços">
      <formula>NOT(ISERROR(SEARCH("Pesquisa de Preços",D484)))</formula>
    </cfRule>
  </conditionalFormatting>
  <conditionalFormatting sqref="D486">
    <cfRule type="containsText" dxfId="2246" priority="4161" operator="containsText" text="Pesquisa de Preços">
      <formula>NOT(ISERROR(SEARCH("Pesquisa de Preços",D486)))</formula>
    </cfRule>
  </conditionalFormatting>
  <conditionalFormatting sqref="D505:D506 D509:D510">
    <cfRule type="containsText" dxfId="2245" priority="4160" operator="containsText" text="Pesquisa de Preços">
      <formula>NOT(ISERROR(SEARCH("Pesquisa de Preços",D505)))</formula>
    </cfRule>
  </conditionalFormatting>
  <conditionalFormatting sqref="D507:D508">
    <cfRule type="containsText" dxfId="2244" priority="4159" operator="containsText" text="Pesquisa de Preços">
      <formula>NOT(ISERROR(SEARCH("Pesquisa de Preços",D507)))</formula>
    </cfRule>
  </conditionalFormatting>
  <conditionalFormatting sqref="D502:D503 D498:D499">
    <cfRule type="containsText" dxfId="2243" priority="4158" operator="containsText" text="Pesquisa de Preços">
      <formula>NOT(ISERROR(SEARCH("Pesquisa de Preços",D498)))</formula>
    </cfRule>
  </conditionalFormatting>
  <conditionalFormatting sqref="D500:D501">
    <cfRule type="containsText" dxfId="2242" priority="4157" operator="containsText" text="Pesquisa de Preços">
      <formula>NOT(ISERROR(SEARCH("Pesquisa de Preços",D500)))</formula>
    </cfRule>
  </conditionalFormatting>
  <conditionalFormatting sqref="D512:D513 D516">
    <cfRule type="containsText" dxfId="2241" priority="4156" operator="containsText" text="Pesquisa de Preços">
      <formula>NOT(ISERROR(SEARCH("Pesquisa de Preços",D512)))</formula>
    </cfRule>
  </conditionalFormatting>
  <conditionalFormatting sqref="D534">
    <cfRule type="containsText" dxfId="2240" priority="4153" operator="containsText" text="Pesquisa de Preços">
      <formula>NOT(ISERROR(SEARCH("Pesquisa de Preços",D534)))</formula>
    </cfRule>
  </conditionalFormatting>
  <conditionalFormatting sqref="D525:D526 D530">
    <cfRule type="containsText" dxfId="2239" priority="4151" operator="containsText" text="Pesquisa de Preços">
      <formula>NOT(ISERROR(SEARCH("Pesquisa de Preços",D525)))</formula>
    </cfRule>
  </conditionalFormatting>
  <conditionalFormatting sqref="D518 D523">
    <cfRule type="containsText" dxfId="2238" priority="4149" operator="containsText" text="Pesquisa de Preços">
      <formula>NOT(ISERROR(SEARCH("Pesquisa de Preços",D518)))</formula>
    </cfRule>
  </conditionalFormatting>
  <conditionalFormatting sqref="D546:D547 D552">
    <cfRule type="containsText" dxfId="2237" priority="4148" operator="containsText" text="Pesquisa de Preços">
      <formula>NOT(ISERROR(SEARCH("Pesquisa de Preços",D546)))</formula>
    </cfRule>
  </conditionalFormatting>
  <conditionalFormatting sqref="D548:D550">
    <cfRule type="containsText" dxfId="2236" priority="4147" operator="containsText" text="Pesquisa de Preços">
      <formula>NOT(ISERROR(SEARCH("Pesquisa de Preços",D548)))</formula>
    </cfRule>
  </conditionalFormatting>
  <conditionalFormatting sqref="D554:D555 D559:D560">
    <cfRule type="containsText" dxfId="2235" priority="4146" operator="containsText" text="Pesquisa de Preços">
      <formula>NOT(ISERROR(SEARCH("Pesquisa de Preços",D554)))</formula>
    </cfRule>
  </conditionalFormatting>
  <conditionalFormatting sqref="D557:D558">
    <cfRule type="containsText" dxfId="2234" priority="4145" operator="containsText" text="Pesquisa de Preços">
      <formula>NOT(ISERROR(SEARCH("Pesquisa de Preços",D557)))</formula>
    </cfRule>
  </conditionalFormatting>
  <conditionalFormatting sqref="D538:D539 D543:D544">
    <cfRule type="containsText" dxfId="2233" priority="4144" operator="containsText" text="Pesquisa de Preços">
      <formula>NOT(ISERROR(SEARCH("Pesquisa de Preços",D538)))</formula>
    </cfRule>
  </conditionalFormatting>
  <conditionalFormatting sqref="D540:D542">
    <cfRule type="containsText" dxfId="2232" priority="4143" operator="containsText" text="Pesquisa de Preços">
      <formula>NOT(ISERROR(SEARCH("Pesquisa de Preços",D540)))</formula>
    </cfRule>
  </conditionalFormatting>
  <conditionalFormatting sqref="D562:D563 D567:D568">
    <cfRule type="containsText" dxfId="2231" priority="4142" operator="containsText" text="Pesquisa de Preços">
      <formula>NOT(ISERROR(SEARCH("Pesquisa de Preços",D562)))</formula>
    </cfRule>
  </conditionalFormatting>
  <conditionalFormatting sqref="D564:D566">
    <cfRule type="containsText" dxfId="2230" priority="4141" operator="containsText" text="Pesquisa de Preços">
      <formula>NOT(ISERROR(SEARCH("Pesquisa de Preços",D564)))</formula>
    </cfRule>
  </conditionalFormatting>
  <conditionalFormatting sqref="D570:D571">
    <cfRule type="containsText" dxfId="2229" priority="4140" operator="containsText" text="Pesquisa de Preços">
      <formula>NOT(ISERROR(SEARCH("Pesquisa de Preços",D570)))</formula>
    </cfRule>
  </conditionalFormatting>
  <conditionalFormatting sqref="D580:D581 D584:D587">
    <cfRule type="containsText" dxfId="2228" priority="4139" operator="containsText" text="Pesquisa de Preços">
      <formula>NOT(ISERROR(SEARCH("Pesquisa de Preços",D580)))</formula>
    </cfRule>
  </conditionalFormatting>
  <conditionalFormatting sqref="D582:D583">
    <cfRule type="containsText" dxfId="2227" priority="4138" operator="containsText" text="Pesquisa de Preços">
      <formula>NOT(ISERROR(SEARCH("Pesquisa de Preços",D582)))</formula>
    </cfRule>
  </conditionalFormatting>
  <conditionalFormatting sqref="D622 D627:D628">
    <cfRule type="containsText" dxfId="2226" priority="4137" operator="containsText" text="Pesquisa de Preços">
      <formula>NOT(ISERROR(SEARCH("Pesquisa de Preços",D622)))</formula>
    </cfRule>
  </conditionalFormatting>
  <conditionalFormatting sqref="D758:D764">
    <cfRule type="containsText" dxfId="2225" priority="4122" operator="containsText" text="Pesquisa de Preços">
      <formula>NOT(ISERROR(SEARCH("Pesquisa de Preços",D758)))</formula>
    </cfRule>
  </conditionalFormatting>
  <conditionalFormatting sqref="D689:D691">
    <cfRule type="containsText" dxfId="2224" priority="4133" operator="containsText" text="Pesquisa de Preços">
      <formula>NOT(ISERROR(SEARCH("Pesquisa de Preços",D689)))</formula>
    </cfRule>
  </conditionalFormatting>
  <conditionalFormatting sqref="D724">
    <cfRule type="containsText" dxfId="2223" priority="4130" operator="containsText" text="Pesquisa de Preços">
      <formula>NOT(ISERROR(SEARCH("Pesquisa de Preços",D724)))</formula>
    </cfRule>
  </conditionalFormatting>
  <conditionalFormatting sqref="D767">
    <cfRule type="containsText" dxfId="2222" priority="4117" operator="containsText" text="Pesquisa de Preços">
      <formula>NOT(ISERROR(SEARCH("Pesquisa de Preços",D767)))</formula>
    </cfRule>
  </conditionalFormatting>
  <conditionalFormatting sqref="D745:D746">
    <cfRule type="containsText" dxfId="2221" priority="4129" operator="containsText" text="Pesquisa de Preços">
      <formula>NOT(ISERROR(SEARCH("Pesquisa de Preços",D745)))</formula>
    </cfRule>
  </conditionalFormatting>
  <conditionalFormatting sqref="D751:D752">
    <cfRule type="containsText" dxfId="2220" priority="4124" operator="containsText" text="Pesquisa de Preços">
      <formula>NOT(ISERROR(SEARCH("Pesquisa de Preços",D751)))</formula>
    </cfRule>
  </conditionalFormatting>
  <conditionalFormatting sqref="D944">
    <cfRule type="containsText" dxfId="2219" priority="4104" operator="containsText" text="Pesquisa de Preços">
      <formula>NOT(ISERROR(SEARCH("Pesquisa de Preços",D944)))</formula>
    </cfRule>
  </conditionalFormatting>
  <conditionalFormatting sqref="D819 D822">
    <cfRule type="containsText" dxfId="2218" priority="4118" operator="containsText" text="Pesquisa de Preços">
      <formula>NOT(ISERROR(SEARCH("Pesquisa de Preços",D819)))</formula>
    </cfRule>
  </conditionalFormatting>
  <conditionalFormatting sqref="D980:D984">
    <cfRule type="containsText" dxfId="2217" priority="4100" operator="containsText" text="Pesquisa de Preços">
      <formula>NOT(ISERROR(SEARCH("Pesquisa de Preços",D980)))</formula>
    </cfRule>
  </conditionalFormatting>
  <conditionalFormatting sqref="D184:D185">
    <cfRule type="containsText" dxfId="2216" priority="4116" operator="containsText" text="Pesquisa de Preços">
      <formula>NOT(ISERROR(SEARCH("Pesquisa de Preços",D184)))</formula>
    </cfRule>
  </conditionalFormatting>
  <conditionalFormatting sqref="D1012:D1014">
    <cfRule type="containsText" dxfId="2215" priority="4096" operator="containsText" text="Pesquisa de Preços">
      <formula>NOT(ISERROR(SEARCH("Pesquisa de Preços",D1012)))</formula>
    </cfRule>
  </conditionalFormatting>
  <conditionalFormatting sqref="D186:D188">
    <cfRule type="containsText" dxfId="2214" priority="4115" operator="containsText" text="Pesquisa de Preços">
      <formula>NOT(ISERROR(SEARCH("Pesquisa de Preços",D186)))</formula>
    </cfRule>
  </conditionalFormatting>
  <conditionalFormatting sqref="D840 D843:D844">
    <cfRule type="containsText" dxfId="2213" priority="4114" operator="containsText" text="Pesquisa de Preços">
      <formula>NOT(ISERROR(SEARCH("Pesquisa de Preços",D840)))</formula>
    </cfRule>
  </conditionalFormatting>
  <conditionalFormatting sqref="D842">
    <cfRule type="containsText" dxfId="2212" priority="4113" operator="containsText" text="Pesquisa de Preços">
      <formula>NOT(ISERROR(SEARCH("Pesquisa de Preços",D842)))</formula>
    </cfRule>
  </conditionalFormatting>
  <conditionalFormatting sqref="D910:D915">
    <cfRule type="containsText" dxfId="2211" priority="4112" operator="containsText" text="Pesquisa de Preços">
      <formula>NOT(ISERROR(SEARCH("Pesquisa de Preços",D910)))</formula>
    </cfRule>
  </conditionalFormatting>
  <conditionalFormatting sqref="D935:D940">
    <cfRule type="containsText" dxfId="2210" priority="4111" operator="containsText" text="Pesquisa de Preços">
      <formula>NOT(ISERROR(SEARCH("Pesquisa de Preços",D935)))</formula>
    </cfRule>
  </conditionalFormatting>
  <conditionalFormatting sqref="D926">
    <cfRule type="containsText" dxfId="2209" priority="4110" operator="containsText" text="Pesquisa de Preços">
      <formula>NOT(ISERROR(SEARCH("Pesquisa de Preços",D926)))</formula>
    </cfRule>
  </conditionalFormatting>
  <conditionalFormatting sqref="D919 D924">
    <cfRule type="containsText" dxfId="2208" priority="4109" operator="containsText" text="Pesquisa de Preços">
      <formula>NOT(ISERROR(SEARCH("Pesquisa de Preços",D919)))</formula>
    </cfRule>
  </conditionalFormatting>
  <conditionalFormatting sqref="D965:D966">
    <cfRule type="containsText" dxfId="2207" priority="4107" operator="containsText" text="Pesquisa de Preços">
      <formula>NOT(ISERROR(SEARCH("Pesquisa de Preços",D965)))</formula>
    </cfRule>
  </conditionalFormatting>
  <conditionalFormatting sqref="D963:D964">
    <cfRule type="containsText" dxfId="2206" priority="4108" operator="containsText" text="Pesquisa de Preços">
      <formula>NOT(ISERROR(SEARCH("Pesquisa de Preços",D963)))</formula>
    </cfRule>
  </conditionalFormatting>
  <conditionalFormatting sqref="D956">
    <cfRule type="containsText" dxfId="2205" priority="4106" operator="containsText" text="Pesquisa de Preços">
      <formula>NOT(ISERROR(SEARCH("Pesquisa de Preços",D956)))</formula>
    </cfRule>
  </conditionalFormatting>
  <conditionalFormatting sqref="D950 D954">
    <cfRule type="containsText" dxfId="2204" priority="4105" operator="containsText" text="Pesquisa de Preços">
      <formula>NOT(ISERROR(SEARCH("Pesquisa de Preços",D950)))</formula>
    </cfRule>
  </conditionalFormatting>
  <conditionalFormatting sqref="D970:D971 D974:D975">
    <cfRule type="containsText" dxfId="2203" priority="4103" operator="containsText" text="Pesquisa de Preços">
      <formula>NOT(ISERROR(SEARCH("Pesquisa de Preços",D970)))</formula>
    </cfRule>
  </conditionalFormatting>
  <conditionalFormatting sqref="D972">
    <cfRule type="containsText" dxfId="2202" priority="4102" operator="containsText" text="Pesquisa de Preços">
      <formula>NOT(ISERROR(SEARCH("Pesquisa de Preços",D972)))</formula>
    </cfRule>
  </conditionalFormatting>
  <conditionalFormatting sqref="D977:D978 D985:D986">
    <cfRule type="containsText" dxfId="2201" priority="4101" operator="containsText" text="Pesquisa de Preços">
      <formula>NOT(ISERROR(SEARCH("Pesquisa de Preços",D977)))</formula>
    </cfRule>
  </conditionalFormatting>
  <conditionalFormatting sqref="D988:D989 D996:D997">
    <cfRule type="containsText" dxfId="2200" priority="4099" operator="containsText" text="Pesquisa de Preços">
      <formula>NOT(ISERROR(SEARCH("Pesquisa de Preços",D988)))</formula>
    </cfRule>
  </conditionalFormatting>
  <conditionalFormatting sqref="D991:D992 D994:D995">
    <cfRule type="containsText" dxfId="2199" priority="4098" operator="containsText" text="Pesquisa de Preços">
      <formula>NOT(ISERROR(SEARCH("Pesquisa de Preços",D991)))</formula>
    </cfRule>
  </conditionalFormatting>
  <conditionalFormatting sqref="D1009:D1010 D1015:D1016">
    <cfRule type="containsText" dxfId="2198" priority="4097" operator="containsText" text="Pesquisa de Preços">
      <formula>NOT(ISERROR(SEARCH("Pesquisa de Preços",D1009)))</formula>
    </cfRule>
  </conditionalFormatting>
  <conditionalFormatting sqref="D999:D1000">
    <cfRule type="containsText" dxfId="2197" priority="4095" operator="containsText" text="Pesquisa de Preços">
      <formula>NOT(ISERROR(SEARCH("Pesquisa de Preços",D999)))</formula>
    </cfRule>
  </conditionalFormatting>
  <conditionalFormatting sqref="D1004:D1005">
    <cfRule type="containsText" dxfId="2196" priority="4094" operator="containsText" text="Pesquisa de Preços">
      <formula>NOT(ISERROR(SEARCH("Pesquisa de Preços",D1004)))</formula>
    </cfRule>
  </conditionalFormatting>
  <conditionalFormatting sqref="D1023:D1024 D1031">
    <cfRule type="containsText" dxfId="2195" priority="4093" operator="containsText" text="Pesquisa de Preços">
      <formula>NOT(ISERROR(SEARCH("Pesquisa de Preços",D1023)))</formula>
    </cfRule>
  </conditionalFormatting>
  <conditionalFormatting sqref="D1026:D1028">
    <cfRule type="containsText" dxfId="2194" priority="4092" operator="containsText" text="Pesquisa de Preços">
      <formula>NOT(ISERROR(SEARCH("Pesquisa de Preços",D1026)))</formula>
    </cfRule>
  </conditionalFormatting>
  <conditionalFormatting sqref="D1033:D1034 D1039:D1040">
    <cfRule type="containsText" dxfId="2193" priority="4091" operator="containsText" text="Pesquisa de Preços">
      <formula>NOT(ISERROR(SEARCH("Pesquisa de Preços",D1033)))</formula>
    </cfRule>
  </conditionalFormatting>
  <conditionalFormatting sqref="D1018:D1019">
    <cfRule type="containsText" dxfId="2192" priority="4090" operator="containsText" text="Pesquisa de Preços">
      <formula>NOT(ISERROR(SEARCH("Pesquisa de Preços",D1018)))</formula>
    </cfRule>
  </conditionalFormatting>
  <conditionalFormatting sqref="D1020">
    <cfRule type="containsText" dxfId="2191" priority="4089" operator="containsText" text="Pesquisa de Preços">
      <formula>NOT(ISERROR(SEARCH("Pesquisa de Preços",D1020)))</formula>
    </cfRule>
  </conditionalFormatting>
  <conditionalFormatting sqref="D1095:D1096 D1103">
    <cfRule type="containsText" dxfId="2190" priority="4088" operator="containsText" text="Pesquisa de Preços">
      <formula>NOT(ISERROR(SEARCH("Pesquisa de Preços",D1095)))</formula>
    </cfRule>
  </conditionalFormatting>
  <conditionalFormatting sqref="D1042:D1043 D1046:D1047">
    <cfRule type="containsText" dxfId="2189" priority="4087" operator="containsText" text="Pesquisa de Preços">
      <formula>NOT(ISERROR(SEARCH("Pesquisa de Preços",D1042)))</formula>
    </cfRule>
  </conditionalFormatting>
  <conditionalFormatting sqref="D1044:D1045">
    <cfRule type="containsText" dxfId="2188" priority="4086" operator="containsText" text="Pesquisa de Preços">
      <formula>NOT(ISERROR(SEARCH("Pesquisa de Preços",D1044)))</formula>
    </cfRule>
  </conditionalFormatting>
  <conditionalFormatting sqref="D1056:D1057 D1061">
    <cfRule type="containsText" dxfId="2187" priority="4085" operator="containsText" text="Pesquisa de Preços">
      <formula>NOT(ISERROR(SEARCH("Pesquisa de Preços",D1056)))</formula>
    </cfRule>
  </conditionalFormatting>
  <conditionalFormatting sqref="D1087:D1088 D1093">
    <cfRule type="containsText" dxfId="2186" priority="4084" operator="containsText" text="Pesquisa de Preços">
      <formula>NOT(ISERROR(SEARCH("Pesquisa de Preços",D1087)))</formula>
    </cfRule>
  </conditionalFormatting>
  <conditionalFormatting sqref="D1049:D1050">
    <cfRule type="containsText" dxfId="2185" priority="4082" operator="containsText" text="Pesquisa de Preços">
      <formula>NOT(ISERROR(SEARCH("Pesquisa de Preços",D1049)))</formula>
    </cfRule>
  </conditionalFormatting>
  <conditionalFormatting sqref="D1051:D1053">
    <cfRule type="containsText" dxfId="2184" priority="4081" operator="containsText" text="Pesquisa de Preços">
      <formula>NOT(ISERROR(SEARCH("Pesquisa de Preços",D1051)))</formula>
    </cfRule>
  </conditionalFormatting>
  <conditionalFormatting sqref="D1063">
    <cfRule type="containsText" dxfId="2183" priority="4080" operator="containsText" text="Pesquisa de Preços">
      <formula>NOT(ISERROR(SEARCH("Pesquisa de Preços",D1063)))</formula>
    </cfRule>
  </conditionalFormatting>
  <conditionalFormatting sqref="D1079 D1085">
    <cfRule type="containsText" dxfId="2182" priority="4079" operator="containsText" text="Pesquisa de Preços">
      <formula>NOT(ISERROR(SEARCH("Pesquisa de Preços",D1079)))</formula>
    </cfRule>
  </conditionalFormatting>
  <conditionalFormatting sqref="D1070 D1077">
    <cfRule type="containsText" dxfId="2181" priority="4078" operator="containsText" text="Pesquisa de Preços">
      <formula>NOT(ISERROR(SEARCH("Pesquisa de Preços",D1070)))</formula>
    </cfRule>
  </conditionalFormatting>
  <conditionalFormatting sqref="D1118:D1119">
    <cfRule type="containsText" dxfId="2180" priority="4077" operator="containsText" text="Pesquisa de Preços">
      <formula>NOT(ISERROR(SEARCH("Pesquisa de Preços",D1118)))</formula>
    </cfRule>
  </conditionalFormatting>
  <conditionalFormatting sqref="D1113:D1114">
    <cfRule type="containsText" dxfId="2179" priority="4076" operator="containsText" text="Pesquisa de Preços">
      <formula>NOT(ISERROR(SEARCH("Pesquisa de Preços",D1113)))</formula>
    </cfRule>
  </conditionalFormatting>
  <conditionalFormatting sqref="D1239:D1240 D1244">
    <cfRule type="containsText" dxfId="2178" priority="4075" operator="containsText" text="Pesquisa de Preços">
      <formula>NOT(ISERROR(SEARCH("Pesquisa de Preços",D1239)))</formula>
    </cfRule>
  </conditionalFormatting>
  <conditionalFormatting sqref="D1232:D1233 D1237">
    <cfRule type="containsText" dxfId="2177" priority="4074" operator="containsText" text="Pesquisa de Preços">
      <formula>NOT(ISERROR(SEARCH("Pesquisa de Preços",D1232)))</formula>
    </cfRule>
  </conditionalFormatting>
  <conditionalFormatting sqref="D1225:D1226 D1230">
    <cfRule type="containsText" dxfId="2176" priority="4073" operator="containsText" text="Pesquisa de Preços">
      <formula>NOT(ISERROR(SEARCH("Pesquisa de Preços",D1225)))</formula>
    </cfRule>
  </conditionalFormatting>
  <conditionalFormatting sqref="D1218:D1219 D1223">
    <cfRule type="containsText" dxfId="2175" priority="4072" operator="containsText" text="Pesquisa de Preços">
      <formula>NOT(ISERROR(SEARCH("Pesquisa de Preços",D1218)))</formula>
    </cfRule>
  </conditionalFormatting>
  <conditionalFormatting sqref="D1134:D1135 D1138:D1139">
    <cfRule type="containsText" dxfId="2174" priority="4071" operator="containsText" text="Pesquisa de Preços">
      <formula>NOT(ISERROR(SEARCH("Pesquisa de Preços",D1134)))</formula>
    </cfRule>
  </conditionalFormatting>
  <conditionalFormatting sqref="D1123:D1124 D1126:D1127">
    <cfRule type="containsText" dxfId="2173" priority="4070" operator="containsText" text="Pesquisa de Preços">
      <formula>NOT(ISERROR(SEARCH("Pesquisa de Preços",D1123)))</formula>
    </cfRule>
  </conditionalFormatting>
  <conditionalFormatting sqref="D1260 D1265">
    <cfRule type="containsText" dxfId="2172" priority="4069" operator="containsText" text="Pesquisa de Preços">
      <formula>NOT(ISERROR(SEARCH("Pesquisa de Preços",D1260)))</formula>
    </cfRule>
  </conditionalFormatting>
  <conditionalFormatting sqref="D1246:D1247 D1250:D1251">
    <cfRule type="containsText" dxfId="2171" priority="4068" operator="containsText" text="Pesquisa de Preços">
      <formula>NOT(ISERROR(SEARCH("Pesquisa de Preços",D1246)))</formula>
    </cfRule>
  </conditionalFormatting>
  <conditionalFormatting sqref="D1148:D1149 D1152:D1153">
    <cfRule type="containsText" dxfId="2170" priority="4067" operator="containsText" text="Pesquisa de Preços">
      <formula>NOT(ISERROR(SEARCH("Pesquisa de Preços",D1148)))</formula>
    </cfRule>
  </conditionalFormatting>
  <conditionalFormatting sqref="D1183:D1184 D1187:D1188">
    <cfRule type="containsText" dxfId="2169" priority="4066" operator="containsText" text="Pesquisa de Preços">
      <formula>NOT(ISERROR(SEARCH("Pesquisa de Preços",D1183)))</formula>
    </cfRule>
  </conditionalFormatting>
  <conditionalFormatting sqref="D1190:D1191 D1194:D1195">
    <cfRule type="containsText" dxfId="2168" priority="4065" operator="containsText" text="Pesquisa de Preços">
      <formula>NOT(ISERROR(SEARCH("Pesquisa de Preços",D1190)))</formula>
    </cfRule>
  </conditionalFormatting>
  <conditionalFormatting sqref="D1197:D1198 D1201:D1202">
    <cfRule type="containsText" dxfId="2167" priority="4064" operator="containsText" text="Pesquisa de Preços">
      <formula>NOT(ISERROR(SEARCH("Pesquisa de Preços",D1197)))</formula>
    </cfRule>
  </conditionalFormatting>
  <conditionalFormatting sqref="D1176:D1177 D1180:D1181">
    <cfRule type="containsText" dxfId="2166" priority="4063" operator="containsText" text="Pesquisa de Preços">
      <formula>NOT(ISERROR(SEARCH("Pesquisa de Preços",D1176)))</formula>
    </cfRule>
  </conditionalFormatting>
  <conditionalFormatting sqref="D1141:D1142 D1146">
    <cfRule type="containsText" dxfId="2165" priority="4062" operator="containsText" text="Pesquisa de Preços">
      <formula>NOT(ISERROR(SEARCH("Pesquisa de Preços",D1141)))</formula>
    </cfRule>
  </conditionalFormatting>
  <conditionalFormatting sqref="D1144">
    <cfRule type="containsText" dxfId="2164" priority="4061" operator="containsText" text="Pesquisa de Preços">
      <formula>NOT(ISERROR(SEARCH("Pesquisa de Preços",D1144)))</formula>
    </cfRule>
  </conditionalFormatting>
  <conditionalFormatting sqref="D1162:D1163 D1166:D1167">
    <cfRule type="containsText" dxfId="2163" priority="4060" operator="containsText" text="Pesquisa de Preços">
      <formula>NOT(ISERROR(SEARCH("Pesquisa de Preços",D1162)))</formula>
    </cfRule>
  </conditionalFormatting>
  <conditionalFormatting sqref="D1169 D1174">
    <cfRule type="containsText" dxfId="2162" priority="4059" operator="containsText" text="Pesquisa de Preços">
      <formula>NOT(ISERROR(SEARCH("Pesquisa de Preços",D1169)))</formula>
    </cfRule>
  </conditionalFormatting>
  <conditionalFormatting sqref="D1204:D1205 D1209">
    <cfRule type="containsText" dxfId="2161" priority="4058" operator="containsText" text="Pesquisa de Preços">
      <formula>NOT(ISERROR(SEARCH("Pesquisa de Preços",D1204)))</formula>
    </cfRule>
  </conditionalFormatting>
  <conditionalFormatting sqref="D1129">
    <cfRule type="containsText" dxfId="2160" priority="4057" operator="containsText" text="Pesquisa de Preços">
      <formula>NOT(ISERROR(SEARCH("Pesquisa de Preços",D1129)))</formula>
    </cfRule>
  </conditionalFormatting>
  <conditionalFormatting sqref="D1267:D1268 D1270:D1271">
    <cfRule type="containsText" dxfId="2159" priority="4056" operator="containsText" text="Pesquisa de Preços">
      <formula>NOT(ISERROR(SEARCH("Pesquisa de Preços",D1267)))</formula>
    </cfRule>
  </conditionalFormatting>
  <conditionalFormatting sqref="D1269">
    <cfRule type="containsText" dxfId="2158" priority="4055" operator="containsText" text="Pesquisa de Preços">
      <formula>NOT(ISERROR(SEARCH("Pesquisa de Preços",D1269)))</formula>
    </cfRule>
  </conditionalFormatting>
  <conditionalFormatting sqref="D1301:D1302 D1306:D1307">
    <cfRule type="containsText" dxfId="2157" priority="4054" operator="containsText" text="Pesquisa de Preços">
      <formula>NOT(ISERROR(SEARCH("Pesquisa de Preços",D1301)))</formula>
    </cfRule>
  </conditionalFormatting>
  <conditionalFormatting sqref="D1303:D1304">
    <cfRule type="containsText" dxfId="2156" priority="4053" operator="containsText" text="Pesquisa de Preços">
      <formula>NOT(ISERROR(SEARCH("Pesquisa de Preços",D1303)))</formula>
    </cfRule>
  </conditionalFormatting>
  <conditionalFormatting sqref="D1309 D1315:D1316">
    <cfRule type="containsText" dxfId="2155" priority="4052" operator="containsText" text="Pesquisa de Preços">
      <formula>NOT(ISERROR(SEARCH("Pesquisa de Preços",D1309)))</formula>
    </cfRule>
  </conditionalFormatting>
  <conditionalFormatting sqref="D1397:D1398 D1401:D1402">
    <cfRule type="containsText" dxfId="2154" priority="4036" operator="containsText" text="Pesquisa de Preços">
      <formula>NOT(ISERROR(SEARCH("Pesquisa de Preços",D1397)))</formula>
    </cfRule>
  </conditionalFormatting>
  <conditionalFormatting sqref="D1273:D1274">
    <cfRule type="containsText" dxfId="2153" priority="4051" operator="containsText" text="Pesquisa de Preços">
      <formula>NOT(ISERROR(SEARCH("Pesquisa de Preços",D1273)))</formula>
    </cfRule>
  </conditionalFormatting>
  <conditionalFormatting sqref="D1275:D1277">
    <cfRule type="containsText" dxfId="2152" priority="4050" operator="containsText" text="Pesquisa de Preços">
      <formula>NOT(ISERROR(SEARCH("Pesquisa de Preços",D1275)))</formula>
    </cfRule>
  </conditionalFormatting>
  <conditionalFormatting sqref="D1280:D1281 D1285">
    <cfRule type="containsText" dxfId="2151" priority="4049" operator="containsText" text="Pesquisa de Preços">
      <formula>NOT(ISERROR(SEARCH("Pesquisa de Preços",D1280)))</formula>
    </cfRule>
  </conditionalFormatting>
  <conditionalFormatting sqref="D1287:D1288 D1292">
    <cfRule type="containsText" dxfId="2150" priority="4048" operator="containsText" text="Pesquisa de Preços">
      <formula>NOT(ISERROR(SEARCH("Pesquisa de Preços",D1287)))</formula>
    </cfRule>
  </conditionalFormatting>
  <conditionalFormatting sqref="D1294 D1297 D1299">
    <cfRule type="containsText" dxfId="2149" priority="4047" operator="containsText" text="Pesquisa de Preços">
      <formula>NOT(ISERROR(SEARCH("Pesquisa de Preços",D1294)))</formula>
    </cfRule>
  </conditionalFormatting>
  <conditionalFormatting sqref="D1375">
    <cfRule type="containsText" dxfId="2148" priority="4029" operator="containsText" text="Pesquisa de Preços">
      <formula>NOT(ISERROR(SEARCH("Pesquisa de Preços",D1375)))</formula>
    </cfRule>
  </conditionalFormatting>
  <conditionalFormatting sqref="D1329:D1330">
    <cfRule type="containsText" dxfId="2147" priority="4045" operator="containsText" text="Pesquisa de Preços">
      <formula>NOT(ISERROR(SEARCH("Pesquisa de Preços",D1329)))</formula>
    </cfRule>
  </conditionalFormatting>
  <conditionalFormatting sqref="D1335:D1336">
    <cfRule type="containsText" dxfId="2146" priority="4046" operator="containsText" text="Pesquisa de Preços">
      <formula>NOT(ISERROR(SEARCH("Pesquisa de Preços",D1335)))</formula>
    </cfRule>
  </conditionalFormatting>
  <conditionalFormatting sqref="D1318:D1319">
    <cfRule type="containsText" dxfId="2145" priority="4043" operator="containsText" text="Pesquisa de Preços">
      <formula>NOT(ISERROR(SEARCH("Pesquisa de Preços",D1318)))</formula>
    </cfRule>
  </conditionalFormatting>
  <conditionalFormatting sqref="D1323:D1324">
    <cfRule type="containsText" dxfId="2144" priority="4044" operator="containsText" text="Pesquisa de Preços">
      <formula>NOT(ISERROR(SEARCH("Pesquisa de Preços",D1323)))</formula>
    </cfRule>
  </conditionalFormatting>
  <conditionalFormatting sqref="D1341:D1342 D1345:D1346">
    <cfRule type="containsText" dxfId="2143" priority="4042" operator="containsText" text="Pesquisa de Preços">
      <formula>NOT(ISERROR(SEARCH("Pesquisa de Preços",D1341)))</formula>
    </cfRule>
  </conditionalFormatting>
  <conditionalFormatting sqref="D1515">
    <cfRule type="containsText" dxfId="2142" priority="4021" operator="containsText" text="Pesquisa de Preços">
      <formula>NOT(ISERROR(SEARCH("Pesquisa de Preços",D1515)))</formula>
    </cfRule>
  </conditionalFormatting>
  <conditionalFormatting sqref="D1343:D1344">
    <cfRule type="containsText" dxfId="2141" priority="4041" operator="containsText" text="Pesquisa de Preços">
      <formula>NOT(ISERROR(SEARCH("Pesquisa de Preços",D1343)))</formula>
    </cfRule>
  </conditionalFormatting>
  <conditionalFormatting sqref="D1354:D1355 D1358:D1359">
    <cfRule type="containsText" dxfId="2140" priority="4040" operator="containsText" text="Pesquisa de Preços">
      <formula>NOT(ISERROR(SEARCH("Pesquisa de Preços",D1354)))</formula>
    </cfRule>
  </conditionalFormatting>
  <conditionalFormatting sqref="D1523">
    <cfRule type="containsText" dxfId="2139" priority="4022" operator="containsText" text="Pesquisa de Preços">
      <formula>NOT(ISERROR(SEARCH("Pesquisa de Preços",D1523)))</formula>
    </cfRule>
  </conditionalFormatting>
  <conditionalFormatting sqref="D1356:D1357">
    <cfRule type="containsText" dxfId="2138" priority="4039" operator="containsText" text="Pesquisa de Preços">
      <formula>NOT(ISERROR(SEARCH("Pesquisa de Preços",D1356)))</formula>
    </cfRule>
  </conditionalFormatting>
  <conditionalFormatting sqref="D1348 D1351:D1352">
    <cfRule type="containsText" dxfId="2137" priority="4038" operator="containsText" text="Pesquisa de Preços">
      <formula>NOT(ISERROR(SEARCH("Pesquisa de Preços",D1348)))</formula>
    </cfRule>
  </conditionalFormatting>
  <conditionalFormatting sqref="D1361 D1364:D1365">
    <cfRule type="containsText" dxfId="2136" priority="4037" operator="containsText" text="Pesquisa de Preços">
      <formula>NOT(ISERROR(SEARCH("Pesquisa de Preços",D1361)))</formula>
    </cfRule>
  </conditionalFormatting>
  <conditionalFormatting sqref="D1399:D1400">
    <cfRule type="containsText" dxfId="2135" priority="4035" operator="containsText" text="Pesquisa de Preços">
      <formula>NOT(ISERROR(SEARCH("Pesquisa de Preços",D1399)))</formula>
    </cfRule>
  </conditionalFormatting>
  <conditionalFormatting sqref="D1388:D1389 D1385:D1386">
    <cfRule type="containsText" dxfId="2134" priority="4034" operator="containsText" text="Pesquisa de Preços">
      <formula>NOT(ISERROR(SEARCH("Pesquisa de Preços",D1385)))</formula>
    </cfRule>
  </conditionalFormatting>
  <conditionalFormatting sqref="D1387">
    <cfRule type="containsText" dxfId="2133" priority="4033" operator="containsText" text="Pesquisa de Preços">
      <formula>NOT(ISERROR(SEARCH("Pesquisa de Preços",D1387)))</formula>
    </cfRule>
  </conditionalFormatting>
  <conditionalFormatting sqref="D1367:D1368 D1370:D1371">
    <cfRule type="containsText" dxfId="2132" priority="4032" operator="containsText" text="Pesquisa de Preços">
      <formula>NOT(ISERROR(SEARCH("Pesquisa de Preços",D1367)))</formula>
    </cfRule>
  </conditionalFormatting>
  <conditionalFormatting sqref="D1369">
    <cfRule type="containsText" dxfId="2131" priority="4031" operator="containsText" text="Pesquisa de Preços">
      <formula>NOT(ISERROR(SEARCH("Pesquisa de Preços",D1369)))</formula>
    </cfRule>
  </conditionalFormatting>
  <conditionalFormatting sqref="D1373:D1374 D1376:D1377">
    <cfRule type="containsText" dxfId="2130" priority="4030" operator="containsText" text="Pesquisa de Preços">
      <formula>NOT(ISERROR(SEARCH("Pesquisa de Preços",D1373)))</formula>
    </cfRule>
  </conditionalFormatting>
  <conditionalFormatting sqref="D1379 D1382:D1383">
    <cfRule type="containsText" dxfId="2129" priority="4028" operator="containsText" text="Pesquisa de Preços">
      <formula>NOT(ISERROR(SEARCH("Pesquisa de Preços",D1379)))</formula>
    </cfRule>
  </conditionalFormatting>
  <conditionalFormatting sqref="D1404 D1417">
    <cfRule type="containsText" dxfId="2128" priority="4014" operator="containsText" text="Pesquisa de Preços">
      <formula>NOT(ISERROR(SEARCH("Pesquisa de Preços",D1404)))</formula>
    </cfRule>
  </conditionalFormatting>
  <conditionalFormatting sqref="D1556:D1557">
    <cfRule type="containsText" dxfId="2127" priority="4027" operator="containsText" text="Pesquisa de Preços">
      <formula>NOT(ISERROR(SEARCH("Pesquisa de Preços",D1556)))</formula>
    </cfRule>
  </conditionalFormatting>
  <conditionalFormatting sqref="D1558 D1560">
    <cfRule type="containsText" dxfId="2126" priority="4026" operator="containsText" text="Pesquisa de Preços">
      <formula>NOT(ISERROR(SEARCH("Pesquisa de Preços",D1558)))</formula>
    </cfRule>
  </conditionalFormatting>
  <conditionalFormatting sqref="D1549:D1550">
    <cfRule type="containsText" dxfId="2125" priority="4025" operator="containsText" text="Pesquisa de Preços">
      <formula>NOT(ISERROR(SEARCH("Pesquisa de Preços",D1549)))</formula>
    </cfRule>
  </conditionalFormatting>
  <conditionalFormatting sqref="D1541 D1547">
    <cfRule type="containsText" dxfId="2124" priority="4024" operator="containsText" text="Pesquisa de Preços">
      <formula>NOT(ISERROR(SEARCH("Pesquisa de Preços",D1541)))</formula>
    </cfRule>
  </conditionalFormatting>
  <conditionalFormatting sqref="D1525">
    <cfRule type="containsText" dxfId="2123" priority="4023" operator="containsText" text="Pesquisa de Preços">
      <formula>NOT(ISERROR(SEARCH("Pesquisa de Preços",D1525)))</formula>
    </cfRule>
  </conditionalFormatting>
  <conditionalFormatting sqref="D1563:D1564 D1567:D1568">
    <cfRule type="containsText" dxfId="2122" priority="4017" operator="containsText" text="Pesquisa de Preços">
      <formula>NOT(ISERROR(SEARCH("Pesquisa de Preços",D1563)))</formula>
    </cfRule>
  </conditionalFormatting>
  <conditionalFormatting sqref="D1492">
    <cfRule type="containsText" dxfId="2121" priority="4009" operator="containsText" text="Pesquisa de Preços">
      <formula>NOT(ISERROR(SEARCH("Pesquisa de Preços",D1492)))</formula>
    </cfRule>
  </conditionalFormatting>
  <conditionalFormatting sqref="D1494 D1507">
    <cfRule type="containsText" dxfId="2120" priority="4015" operator="containsText" text="Pesquisa de Preços">
      <formula>NOT(ISERROR(SEARCH("Pesquisa de Preços",D1494)))</formula>
    </cfRule>
  </conditionalFormatting>
  <conditionalFormatting sqref="D1539">
    <cfRule type="containsText" dxfId="2119" priority="4020" operator="containsText" text="Pesquisa de Preços">
      <formula>NOT(ISERROR(SEARCH("Pesquisa de Preços",D1539)))</formula>
    </cfRule>
  </conditionalFormatting>
  <conditionalFormatting sqref="D1570:D1571 D1574:D1575">
    <cfRule type="containsText" dxfId="2118" priority="4019" operator="containsText" text="Pesquisa de Preços">
      <formula>NOT(ISERROR(SEARCH("Pesquisa de Preços",D1570)))</formula>
    </cfRule>
  </conditionalFormatting>
  <conditionalFormatting sqref="D1573">
    <cfRule type="containsText" dxfId="2117" priority="4018" operator="containsText" text="Pesquisa de Preços">
      <formula>NOT(ISERROR(SEARCH("Pesquisa de Preços",D1573)))</formula>
    </cfRule>
  </conditionalFormatting>
  <conditionalFormatting sqref="D1565:D1566">
    <cfRule type="containsText" dxfId="2116" priority="4016" operator="containsText" text="Pesquisa de Preços">
      <formula>NOT(ISERROR(SEARCH("Pesquisa de Preços",D1565)))</formula>
    </cfRule>
  </conditionalFormatting>
  <conditionalFormatting sqref="D1610 D1614:D1615">
    <cfRule type="containsText" dxfId="2115" priority="3992" operator="containsText" text="Pesquisa de Preços">
      <formula>NOT(ISERROR(SEARCH("Pesquisa de Preços",D1610)))</formula>
    </cfRule>
  </conditionalFormatting>
  <conditionalFormatting sqref="D1434 D1447">
    <cfRule type="containsText" dxfId="2114" priority="4013" operator="containsText" text="Pesquisa de Preços">
      <formula>NOT(ISERROR(SEARCH("Pesquisa de Preços",D1434)))</formula>
    </cfRule>
  </conditionalFormatting>
  <conditionalFormatting sqref="D1628 D1632">
    <cfRule type="containsText" dxfId="2113" priority="3998" operator="containsText" text="Pesquisa de Preços">
      <formula>NOT(ISERROR(SEARCH("Pesquisa de Preços",D1628)))</formula>
    </cfRule>
  </conditionalFormatting>
  <conditionalFormatting sqref="D1419 D1432">
    <cfRule type="containsText" dxfId="2112" priority="4012" operator="containsText" text="Pesquisa de Preços">
      <formula>NOT(ISERROR(SEARCH("Pesquisa de Preços",D1419)))</formula>
    </cfRule>
  </conditionalFormatting>
  <conditionalFormatting sqref="D1464 D1477">
    <cfRule type="containsText" dxfId="2111" priority="4011" operator="containsText" text="Pesquisa de Preços">
      <formula>NOT(ISERROR(SEARCH("Pesquisa de Preços",D1464)))</formula>
    </cfRule>
  </conditionalFormatting>
  <conditionalFormatting sqref="D1691 D1694:D1696">
    <cfRule type="containsText" dxfId="2110" priority="3999" operator="containsText" text="Pesquisa de Preços">
      <formula>NOT(ISERROR(SEARCH("Pesquisa de Preços",D1691)))</formula>
    </cfRule>
  </conditionalFormatting>
  <conditionalFormatting sqref="D1462">
    <cfRule type="containsText" dxfId="2109" priority="4010" operator="containsText" text="Pesquisa de Preços">
      <formula>NOT(ISERROR(SEARCH("Pesquisa de Preços",D1462)))</formula>
    </cfRule>
  </conditionalFormatting>
  <conditionalFormatting sqref="D1592 D1596">
    <cfRule type="containsText" dxfId="2108" priority="4004" operator="containsText" text="Pesquisa de Preços">
      <formula>NOT(ISERROR(SEARCH("Pesquisa de Preços",D1592)))</formula>
    </cfRule>
  </conditionalFormatting>
  <conditionalFormatting sqref="D1577:D1578 D1589:D1590">
    <cfRule type="containsText" dxfId="2107" priority="4008" operator="containsText" text="Pesquisa de Preços">
      <formula>NOT(ISERROR(SEARCH("Pesquisa de Preços",D1577)))</formula>
    </cfRule>
  </conditionalFormatting>
  <conditionalFormatting sqref="D1579:D1586 D1588">
    <cfRule type="containsText" dxfId="2106" priority="4007" operator="containsText" text="Pesquisa de Preços">
      <formula>NOT(ISERROR(SEARCH("Pesquisa de Preços",D1579)))</formula>
    </cfRule>
  </conditionalFormatting>
  <conditionalFormatting sqref="D1391:D1392 D1394:D1395">
    <cfRule type="containsText" dxfId="2105" priority="4006" operator="containsText" text="Pesquisa de Preços">
      <formula>NOT(ISERROR(SEARCH("Pesquisa de Preços",D1391)))</formula>
    </cfRule>
  </conditionalFormatting>
  <conditionalFormatting sqref="D1393">
    <cfRule type="containsText" dxfId="2104" priority="4005" operator="containsText" text="Pesquisa de Preços">
      <formula>NOT(ISERROR(SEARCH("Pesquisa de Preços",D1393)))</formula>
    </cfRule>
  </conditionalFormatting>
  <conditionalFormatting sqref="D1634 D1636:D1637">
    <cfRule type="containsText" dxfId="2103" priority="3995" operator="containsText" text="Pesquisa de Preços">
      <formula>NOT(ISERROR(SEARCH("Pesquisa de Preços",D1634)))</formula>
    </cfRule>
  </conditionalFormatting>
  <conditionalFormatting sqref="D1598 D1602">
    <cfRule type="containsText" dxfId="2102" priority="4003" operator="containsText" text="Pesquisa de Preços">
      <formula>NOT(ISERROR(SEARCH("Pesquisa de Preços",D1598)))</formula>
    </cfRule>
  </conditionalFormatting>
  <conditionalFormatting sqref="D1608">
    <cfRule type="containsText" dxfId="2101" priority="4002" operator="containsText" text="Pesquisa de Preços">
      <formula>NOT(ISERROR(SEARCH("Pesquisa de Preços",D1608)))</formula>
    </cfRule>
  </conditionalFormatting>
  <conditionalFormatting sqref="D1645:D1646">
    <cfRule type="containsText" dxfId="2100" priority="4001" operator="containsText" text="Pesquisa de Preços">
      <formula>NOT(ISERROR(SEARCH("Pesquisa de Preços",D1645)))</formula>
    </cfRule>
  </conditionalFormatting>
  <conditionalFormatting sqref="D1647:D1648">
    <cfRule type="containsText" dxfId="2099" priority="4000" operator="containsText" text="Pesquisa de Preços">
      <formula>NOT(ISERROR(SEARCH("Pesquisa de Preços",D1647)))</formula>
    </cfRule>
  </conditionalFormatting>
  <conditionalFormatting sqref="D1622 D1626">
    <cfRule type="containsText" dxfId="2098" priority="3997" operator="containsText" text="Pesquisa de Preços">
      <formula>NOT(ISERROR(SEARCH("Pesquisa de Preços",D1622)))</formula>
    </cfRule>
  </conditionalFormatting>
  <conditionalFormatting sqref="D1617 D1619:D1620">
    <cfRule type="containsText" dxfId="2097" priority="3996" operator="containsText" text="Pesquisa de Preços">
      <formula>NOT(ISERROR(SEARCH("Pesquisa de Preços",D1617)))</formula>
    </cfRule>
  </conditionalFormatting>
  <conditionalFormatting sqref="D1639 D1642:D1643">
    <cfRule type="containsText" dxfId="2096" priority="3994" operator="containsText" text="Pesquisa de Preços">
      <formula>NOT(ISERROR(SEARCH("Pesquisa de Preços",D1639)))</formula>
    </cfRule>
  </conditionalFormatting>
  <conditionalFormatting sqref="D1742:D1743 D1734:D1736">
    <cfRule type="containsText" dxfId="2095" priority="3986" operator="containsText" text="Pesquisa de Preços">
      <formula>NOT(ISERROR(SEARCH("Pesquisa de Preços",D1734)))</formula>
    </cfRule>
  </conditionalFormatting>
  <conditionalFormatting sqref="D1684 D1688:D1689">
    <cfRule type="containsText" dxfId="2094" priority="3993" operator="containsText" text="Pesquisa de Preços">
      <formula>NOT(ISERROR(SEARCH("Pesquisa de Preços",D1684)))</formula>
    </cfRule>
  </conditionalFormatting>
  <conditionalFormatting sqref="D1678 D1681:D1682">
    <cfRule type="containsText" dxfId="2093" priority="3991" operator="containsText" text="Pesquisa de Preços">
      <formula>NOT(ISERROR(SEARCH("Pesquisa de Preços",D1678)))</formula>
    </cfRule>
  </conditionalFormatting>
  <conditionalFormatting sqref="D1673 D1675:D1676">
    <cfRule type="containsText" dxfId="2092" priority="3990" operator="containsText" text="Pesquisa de Preços">
      <formula>NOT(ISERROR(SEARCH("Pesquisa de Preços",D1673)))</formula>
    </cfRule>
  </conditionalFormatting>
  <conditionalFormatting sqref="D1723:D1724 D1731:D1732">
    <cfRule type="containsText" dxfId="2091" priority="3983" operator="containsText" text="Pesquisa de Preços">
      <formula>NOT(ISERROR(SEARCH("Pesquisa de Preços",D1723)))</formula>
    </cfRule>
  </conditionalFormatting>
  <conditionalFormatting sqref="D1668">
    <cfRule type="containsText" dxfId="2090" priority="3988" operator="containsText" text="Pesquisa de Preços">
      <formula>NOT(ISERROR(SEARCH("Pesquisa de Preços",D1668)))</formula>
    </cfRule>
  </conditionalFormatting>
  <conditionalFormatting sqref="D1663">
    <cfRule type="containsText" dxfId="2089" priority="3989" operator="containsText" text="Pesquisa de Preços">
      <formula>NOT(ISERROR(SEARCH("Pesquisa de Preços",D1663)))</formula>
    </cfRule>
  </conditionalFormatting>
  <conditionalFormatting sqref="D1657 D1660:D1661">
    <cfRule type="containsText" dxfId="2088" priority="3987" operator="containsText" text="Pesquisa de Preços">
      <formula>NOT(ISERROR(SEARCH("Pesquisa de Preços",D1657)))</formula>
    </cfRule>
  </conditionalFormatting>
  <conditionalFormatting sqref="D1753:D1754 D1745:D1746">
    <cfRule type="containsText" dxfId="2087" priority="3985" operator="containsText" text="Pesquisa de Preços">
      <formula>NOT(ISERROR(SEARCH("Pesquisa de Preços",D1745)))</formula>
    </cfRule>
  </conditionalFormatting>
  <conditionalFormatting sqref="D1712:D1713 D1721">
    <cfRule type="containsText" dxfId="2086" priority="3984" operator="containsText" text="Pesquisa de Preços">
      <formula>NOT(ISERROR(SEARCH("Pesquisa de Preços",D1712)))</formula>
    </cfRule>
  </conditionalFormatting>
  <conditionalFormatting sqref="D1698:D1699 D1701:D1702">
    <cfRule type="containsText" dxfId="2085" priority="3982" operator="containsText" text="Pesquisa de Preços">
      <formula>NOT(ISERROR(SEARCH("Pesquisa de Preços",D1698)))</formula>
    </cfRule>
  </conditionalFormatting>
  <conditionalFormatting sqref="D1704">
    <cfRule type="containsText" dxfId="2084" priority="3981" operator="containsText" text="Pesquisa de Preços">
      <formula>NOT(ISERROR(SEARCH("Pesquisa de Preços",D1704)))</formula>
    </cfRule>
  </conditionalFormatting>
  <conditionalFormatting sqref="D1707:D1708">
    <cfRule type="containsText" dxfId="2083" priority="3980" operator="containsText" text="Pesquisa de Preços">
      <formula>NOT(ISERROR(SEARCH("Pesquisa de Preços",D1707)))</formula>
    </cfRule>
  </conditionalFormatting>
  <conditionalFormatting sqref="D1817">
    <cfRule type="containsText" dxfId="2082" priority="3979" operator="containsText" text="Pesquisa de Preços">
      <formula>NOT(ISERROR(SEARCH("Pesquisa de Preços",D1817)))</formula>
    </cfRule>
  </conditionalFormatting>
  <conditionalFormatting sqref="D1843">
    <cfRule type="containsText" dxfId="2081" priority="3973" operator="containsText" text="Pesquisa de Preços">
      <formula>NOT(ISERROR(SEARCH("Pesquisa de Preços",D1843)))</formula>
    </cfRule>
  </conditionalFormatting>
  <conditionalFormatting sqref="D1812">
    <cfRule type="containsText" dxfId="2080" priority="3978" operator="containsText" text="Pesquisa de Preços">
      <formula>NOT(ISERROR(SEARCH("Pesquisa de Preços",D1812)))</formula>
    </cfRule>
  </conditionalFormatting>
  <conditionalFormatting sqref="D1822 D1825:D1826">
    <cfRule type="containsText" dxfId="2079" priority="3977" operator="containsText" text="Pesquisa de Preços">
      <formula>NOT(ISERROR(SEARCH("Pesquisa de Preços",D1822)))</formula>
    </cfRule>
  </conditionalFormatting>
  <conditionalFormatting sqref="D1824">
    <cfRule type="containsText" dxfId="2078" priority="3976" operator="containsText" text="Pesquisa de Preços">
      <formula>NOT(ISERROR(SEARCH("Pesquisa de Preços",D1824)))</formula>
    </cfRule>
  </conditionalFormatting>
  <conditionalFormatting sqref="D1828 D1831:D1832">
    <cfRule type="containsText" dxfId="2077" priority="3975" operator="containsText" text="Pesquisa de Preços">
      <formula>NOT(ISERROR(SEARCH("Pesquisa de Preços",D1828)))</formula>
    </cfRule>
  </conditionalFormatting>
  <conditionalFormatting sqref="D1841:D1842 D1844:D1845">
    <cfRule type="containsText" dxfId="2076" priority="3974" operator="containsText" text="Pesquisa de Preços">
      <formula>NOT(ISERROR(SEARCH("Pesquisa de Preços",D1841)))</formula>
    </cfRule>
  </conditionalFormatting>
  <conditionalFormatting sqref="D1847:D1848 D1850:D1851">
    <cfRule type="containsText" dxfId="2075" priority="3972" operator="containsText" text="Pesquisa de Preços">
      <formula>NOT(ISERROR(SEARCH("Pesquisa de Preços",D1847)))</formula>
    </cfRule>
  </conditionalFormatting>
  <conditionalFormatting sqref="D1855">
    <cfRule type="containsText" dxfId="2074" priority="3968" operator="containsText" text="Pesquisa de Preços">
      <formula>NOT(ISERROR(SEARCH("Pesquisa de Preços",D1855)))</formula>
    </cfRule>
  </conditionalFormatting>
  <conditionalFormatting sqref="D1849">
    <cfRule type="containsText" dxfId="2073" priority="3971" operator="containsText" text="Pesquisa de Preços">
      <formula>NOT(ISERROR(SEARCH("Pesquisa de Preços",D1849)))</formula>
    </cfRule>
  </conditionalFormatting>
  <conditionalFormatting sqref="D1834:D1835 D1839">
    <cfRule type="containsText" dxfId="2072" priority="3970" operator="containsText" text="Pesquisa de Preços">
      <formula>NOT(ISERROR(SEARCH("Pesquisa de Preços",D1834)))</formula>
    </cfRule>
  </conditionalFormatting>
  <conditionalFormatting sqref="D1897">
    <cfRule type="containsText" dxfId="2071" priority="3965" operator="containsText" text="Pesquisa de Preços">
      <formula>NOT(ISERROR(SEARCH("Pesquisa de Preços",D1897)))</formula>
    </cfRule>
  </conditionalFormatting>
  <conditionalFormatting sqref="D1853:D1854 D1856:D1857">
    <cfRule type="containsText" dxfId="2070" priority="3969" operator="containsText" text="Pesquisa de Preços">
      <formula>NOT(ISERROR(SEARCH("Pesquisa de Preços",D1853)))</formula>
    </cfRule>
  </conditionalFormatting>
  <conditionalFormatting sqref="D1859 D1863">
    <cfRule type="containsText" dxfId="2069" priority="3967" operator="containsText" text="Pesquisa de Preços">
      <formula>NOT(ISERROR(SEARCH("Pesquisa de Preços",D1859)))</formula>
    </cfRule>
  </conditionalFormatting>
  <conditionalFormatting sqref="D1895:D1896 D1898:D1899">
    <cfRule type="containsText" dxfId="2068" priority="3966" operator="containsText" text="Pesquisa de Preços">
      <formula>NOT(ISERROR(SEARCH("Pesquisa de Preços",D1895)))</formula>
    </cfRule>
  </conditionalFormatting>
  <conditionalFormatting sqref="D1871:D1872 D1874:D1875">
    <cfRule type="containsText" dxfId="2067" priority="3964" operator="containsText" text="Pesquisa de Preços">
      <formula>NOT(ISERROR(SEARCH("Pesquisa de Preços",D1871)))</formula>
    </cfRule>
  </conditionalFormatting>
  <conditionalFormatting sqref="D1873">
    <cfRule type="containsText" dxfId="2066" priority="3963" operator="containsText" text="Pesquisa de Preços">
      <formula>NOT(ISERROR(SEARCH("Pesquisa de Preços",D1873)))</formula>
    </cfRule>
  </conditionalFormatting>
  <conditionalFormatting sqref="D1889 D1893">
    <cfRule type="containsText" dxfId="2065" priority="3962" operator="containsText" text="Pesquisa de Preços">
      <formula>NOT(ISERROR(SEARCH("Pesquisa de Preços",D1889)))</formula>
    </cfRule>
  </conditionalFormatting>
  <conditionalFormatting sqref="D1865:D1866 D1868:D1869">
    <cfRule type="containsText" dxfId="2064" priority="3961" operator="containsText" text="Pesquisa de Preços">
      <formula>NOT(ISERROR(SEARCH("Pesquisa de Preços",D1865)))</formula>
    </cfRule>
  </conditionalFormatting>
  <conditionalFormatting sqref="D1867">
    <cfRule type="containsText" dxfId="2063" priority="3960" operator="containsText" text="Pesquisa de Preços">
      <formula>NOT(ISERROR(SEARCH("Pesquisa de Preços",D1867)))</formula>
    </cfRule>
  </conditionalFormatting>
  <conditionalFormatting sqref="D1877:D1878 D1880:D1881">
    <cfRule type="containsText" dxfId="2062" priority="3959" operator="containsText" text="Pesquisa de Preços">
      <formula>NOT(ISERROR(SEARCH("Pesquisa de Preços",D1877)))</formula>
    </cfRule>
  </conditionalFormatting>
  <conditionalFormatting sqref="D1903">
    <cfRule type="containsText" dxfId="2061" priority="3955" operator="containsText" text="Pesquisa de Preços">
      <formula>NOT(ISERROR(SEARCH("Pesquisa de Preços",D1903)))</formula>
    </cfRule>
  </conditionalFormatting>
  <conditionalFormatting sqref="D1879">
    <cfRule type="containsText" dxfId="2060" priority="3958" operator="containsText" text="Pesquisa de Preços">
      <formula>NOT(ISERROR(SEARCH("Pesquisa de Preços",D1879)))</formula>
    </cfRule>
  </conditionalFormatting>
  <conditionalFormatting sqref="D1883 D1887">
    <cfRule type="containsText" dxfId="2059" priority="3957" operator="containsText" text="Pesquisa de Preços">
      <formula>NOT(ISERROR(SEARCH("Pesquisa de Preços",D1883)))</formula>
    </cfRule>
  </conditionalFormatting>
  <conditionalFormatting sqref="D1928 D1931:D1932">
    <cfRule type="containsText" dxfId="2058" priority="3949" operator="containsText" text="Pesquisa de Preços">
      <formula>NOT(ISERROR(SEARCH("Pesquisa de Preços",D1928)))</formula>
    </cfRule>
  </conditionalFormatting>
  <conditionalFormatting sqref="D1901:D1902 D1904:D1905">
    <cfRule type="containsText" dxfId="2057" priority="3956" operator="containsText" text="Pesquisa de Preços">
      <formula>NOT(ISERROR(SEARCH("Pesquisa de Preços",D1901)))</formula>
    </cfRule>
  </conditionalFormatting>
  <conditionalFormatting sqref="D1909">
    <cfRule type="containsText" dxfId="2056" priority="3953" operator="containsText" text="Pesquisa de Preços">
      <formula>NOT(ISERROR(SEARCH("Pesquisa de Preços",D1909)))</formula>
    </cfRule>
  </conditionalFormatting>
  <conditionalFormatting sqref="D1907:D1908 D1910:D1911">
    <cfRule type="containsText" dxfId="2055" priority="3954" operator="containsText" text="Pesquisa de Preços">
      <formula>NOT(ISERROR(SEARCH("Pesquisa de Preços",D1907)))</formula>
    </cfRule>
  </conditionalFormatting>
  <conditionalFormatting sqref="D1913">
    <cfRule type="containsText" dxfId="2054" priority="3952" operator="containsText" text="Pesquisa de Preços">
      <formula>NOT(ISERROR(SEARCH("Pesquisa de Preços",D1913)))</formula>
    </cfRule>
  </conditionalFormatting>
  <conditionalFormatting sqref="D1923:D1924 D1926">
    <cfRule type="containsText" dxfId="2053" priority="3951" operator="containsText" text="Pesquisa de Preços">
      <formula>NOT(ISERROR(SEARCH("Pesquisa de Preços",D1923)))</formula>
    </cfRule>
  </conditionalFormatting>
  <conditionalFormatting sqref="D1918">
    <cfRule type="containsText" dxfId="2052" priority="3950" operator="containsText" text="Pesquisa de Preços">
      <formula>NOT(ISERROR(SEARCH("Pesquisa de Preços",D1918)))</formula>
    </cfRule>
  </conditionalFormatting>
  <conditionalFormatting sqref="D1949:D1950 D1952:D1953">
    <cfRule type="containsText" dxfId="2051" priority="3948" operator="containsText" text="Pesquisa de Preços">
      <formula>NOT(ISERROR(SEARCH("Pesquisa de Preços",D1949)))</formula>
    </cfRule>
  </conditionalFormatting>
  <conditionalFormatting sqref="D1951">
    <cfRule type="containsText" dxfId="2050" priority="3947" operator="containsText" text="Pesquisa de Preços">
      <formula>NOT(ISERROR(SEARCH("Pesquisa de Preços",D1951)))</formula>
    </cfRule>
  </conditionalFormatting>
  <conditionalFormatting sqref="D1958:D1959">
    <cfRule type="containsText" dxfId="2049" priority="3946" operator="containsText" text="Pesquisa de Preços">
      <formula>NOT(ISERROR(SEARCH("Pesquisa de Preços",D1958)))</formula>
    </cfRule>
  </conditionalFormatting>
  <conditionalFormatting sqref="D1968:D1969 D1973">
    <cfRule type="containsText" dxfId="2048" priority="3943" operator="containsText" text="Pesquisa de Preços">
      <formula>NOT(ISERROR(SEARCH("Pesquisa de Preços",D1968)))</formula>
    </cfRule>
  </conditionalFormatting>
  <conditionalFormatting sqref="D1971">
    <cfRule type="containsText" dxfId="2047" priority="3942" operator="containsText" text="Pesquisa de Preços">
      <formula>NOT(ISERROR(SEARCH("Pesquisa de Preços",D1971)))</formula>
    </cfRule>
  </conditionalFormatting>
  <conditionalFormatting sqref="D1983:D1984 D1988:D1989">
    <cfRule type="containsText" dxfId="2046" priority="3945" operator="containsText" text="Pesquisa de Preços">
      <formula>NOT(ISERROR(SEARCH("Pesquisa de Preços",D1983)))</formula>
    </cfRule>
  </conditionalFormatting>
  <conditionalFormatting sqref="D1975 D1981">
    <cfRule type="containsText" dxfId="2045" priority="3944" operator="containsText" text="Pesquisa de Preços">
      <formula>NOT(ISERROR(SEARCH("Pesquisa de Preços",D1975)))</formula>
    </cfRule>
  </conditionalFormatting>
  <conditionalFormatting sqref="D1961:D1962 D1966">
    <cfRule type="containsText" dxfId="2044" priority="3941" operator="containsText" text="Pesquisa de Preços">
      <formula>NOT(ISERROR(SEARCH("Pesquisa de Preços",D1961)))</formula>
    </cfRule>
  </conditionalFormatting>
  <conditionalFormatting sqref="D1964">
    <cfRule type="containsText" dxfId="2043" priority="3940" operator="containsText" text="Pesquisa de Preços">
      <formula>NOT(ISERROR(SEARCH("Pesquisa de Preços",D1964)))</formula>
    </cfRule>
  </conditionalFormatting>
  <conditionalFormatting sqref="D2012 D2017">
    <cfRule type="containsText" dxfId="2042" priority="3939" operator="containsText" text="Pesquisa de Preços">
      <formula>NOT(ISERROR(SEARCH("Pesquisa de Preços",D2012)))</formula>
    </cfRule>
  </conditionalFormatting>
  <conditionalFormatting sqref="D2007:D2008">
    <cfRule type="containsText" dxfId="2041" priority="3937" operator="containsText" text="Pesquisa de Preços">
      <formula>NOT(ISERROR(SEARCH("Pesquisa de Preços",D2007)))</formula>
    </cfRule>
  </conditionalFormatting>
  <conditionalFormatting sqref="D2005 D2010">
    <cfRule type="containsText" dxfId="2040" priority="3938" operator="containsText" text="Pesquisa de Preços">
      <formula>NOT(ISERROR(SEARCH("Pesquisa de Preços",D2005)))</formula>
    </cfRule>
  </conditionalFormatting>
  <conditionalFormatting sqref="D2000:D2001">
    <cfRule type="containsText" dxfId="2039" priority="3935" operator="containsText" text="Pesquisa de Preços">
      <formula>NOT(ISERROR(SEARCH("Pesquisa de Preços",D2000)))</formula>
    </cfRule>
  </conditionalFormatting>
  <conditionalFormatting sqref="D1998 D2003">
    <cfRule type="containsText" dxfId="2038" priority="3936" operator="containsText" text="Pesquisa de Preços">
      <formula>NOT(ISERROR(SEARCH("Pesquisa de Preços",D1998)))</formula>
    </cfRule>
  </conditionalFormatting>
  <conditionalFormatting sqref="D1991 D1996">
    <cfRule type="containsText" dxfId="2037" priority="3934" operator="containsText" text="Pesquisa de Preços">
      <formula>NOT(ISERROR(SEARCH("Pesquisa de Preços",D1991)))</formula>
    </cfRule>
  </conditionalFormatting>
  <conditionalFormatting sqref="D2137">
    <cfRule type="containsText" dxfId="2036" priority="3933" operator="containsText" text="Pesquisa de Preços">
      <formula>NOT(ISERROR(SEARCH("Pesquisa de Preços",D2137)))</formula>
    </cfRule>
  </conditionalFormatting>
  <conditionalFormatting sqref="D2139:D2140">
    <cfRule type="containsText" dxfId="2035" priority="3932" operator="containsText" text="Pesquisa de Preços">
      <formula>NOT(ISERROR(SEARCH("Pesquisa de Preços",D2139)))</formula>
    </cfRule>
  </conditionalFormatting>
  <conditionalFormatting sqref="D2131">
    <cfRule type="containsText" dxfId="2034" priority="3931" operator="containsText" text="Pesquisa de Preços">
      <formula>NOT(ISERROR(SEARCH("Pesquisa de Preços",D2131)))</formula>
    </cfRule>
  </conditionalFormatting>
  <conditionalFormatting sqref="D2133">
    <cfRule type="containsText" dxfId="2033" priority="3930" operator="containsText" text="Pesquisa de Preços">
      <formula>NOT(ISERROR(SEARCH("Pesquisa de Preços",D2133)))</formula>
    </cfRule>
  </conditionalFormatting>
  <conditionalFormatting sqref="D2125">
    <cfRule type="containsText" dxfId="2032" priority="3929" operator="containsText" text="Pesquisa de Preços">
      <formula>NOT(ISERROR(SEARCH("Pesquisa de Preços",D2125)))</formula>
    </cfRule>
  </conditionalFormatting>
  <conditionalFormatting sqref="D2127">
    <cfRule type="containsText" dxfId="2031" priority="3928" operator="containsText" text="Pesquisa de Preços">
      <formula>NOT(ISERROR(SEARCH("Pesquisa de Preços",D2127)))</formula>
    </cfRule>
  </conditionalFormatting>
  <conditionalFormatting sqref="D2119">
    <cfRule type="containsText" dxfId="2030" priority="3927" operator="containsText" text="Pesquisa de Preços">
      <formula>NOT(ISERROR(SEARCH("Pesquisa de Preços",D2119)))</formula>
    </cfRule>
  </conditionalFormatting>
  <conditionalFormatting sqref="D2121:D2122">
    <cfRule type="containsText" dxfId="2029" priority="3926" operator="containsText" text="Pesquisa de Preços">
      <formula>NOT(ISERROR(SEARCH("Pesquisa de Preços",D2121)))</formula>
    </cfRule>
  </conditionalFormatting>
  <conditionalFormatting sqref="D2151 D2155:D2157">
    <cfRule type="containsText" dxfId="2028" priority="3925" operator="containsText" text="Pesquisa de Preços">
      <formula>NOT(ISERROR(SEARCH("Pesquisa de Preços",D2151)))</formula>
    </cfRule>
  </conditionalFormatting>
  <conditionalFormatting sqref="D2167 D2171:D2173">
    <cfRule type="containsText" dxfId="2027" priority="3924" operator="containsText" text="Pesquisa de Preços">
      <formula>NOT(ISERROR(SEARCH("Pesquisa de Preços",D2167)))</formula>
    </cfRule>
  </conditionalFormatting>
  <conditionalFormatting sqref="D2147:D2149">
    <cfRule type="containsText" dxfId="2026" priority="3923" operator="containsText" text="Pesquisa de Preços">
      <formula>NOT(ISERROR(SEARCH("Pesquisa de Preços",D2147)))</formula>
    </cfRule>
  </conditionalFormatting>
  <conditionalFormatting sqref="D2179:D2181">
    <cfRule type="containsText" dxfId="2025" priority="3922" operator="containsText" text="Pesquisa de Preços">
      <formula>NOT(ISERROR(SEARCH("Pesquisa de Preços",D2179)))</formula>
    </cfRule>
  </conditionalFormatting>
  <conditionalFormatting sqref="D2057 D2061:D2063">
    <cfRule type="containsText" dxfId="2024" priority="3918" operator="containsText" text="Pesquisa de Preços">
      <formula>NOT(ISERROR(SEARCH("Pesquisa de Preços",D2057)))</formula>
    </cfRule>
  </conditionalFormatting>
  <conditionalFormatting sqref="D2163:D2165">
    <cfRule type="containsText" dxfId="2023" priority="3921" operator="containsText" text="Pesquisa de Preços">
      <formula>NOT(ISERROR(SEARCH("Pesquisa de Preços",D2163)))</formula>
    </cfRule>
  </conditionalFormatting>
  <conditionalFormatting sqref="D2187:D2189">
    <cfRule type="containsText" dxfId="2022" priority="3920" operator="containsText" text="Pesquisa de Preços">
      <formula>NOT(ISERROR(SEARCH("Pesquisa de Preços",D2187)))</formula>
    </cfRule>
  </conditionalFormatting>
  <conditionalFormatting sqref="D2240:D2242 D2244">
    <cfRule type="containsText" dxfId="2021" priority="3895" operator="containsText" text="Pesquisa de Preços">
      <formula>NOT(ISERROR(SEARCH("Pesquisa de Preços",D2240)))</formula>
    </cfRule>
  </conditionalFormatting>
  <conditionalFormatting sqref="D2041 D2045:D2047">
    <cfRule type="containsText" dxfId="2020" priority="3919" operator="containsText" text="Pesquisa de Preços">
      <formula>NOT(ISERROR(SEARCH("Pesquisa de Preços",D2041)))</formula>
    </cfRule>
  </conditionalFormatting>
  <conditionalFormatting sqref="D2049 D2053:D2055">
    <cfRule type="containsText" dxfId="2019" priority="3915" operator="containsText" text="Pesquisa de Preços">
      <formula>NOT(ISERROR(SEARCH("Pesquisa de Preços",D2049)))</formula>
    </cfRule>
  </conditionalFormatting>
  <conditionalFormatting sqref="D2333:D2334 D2336:D2337">
    <cfRule type="containsText" dxfId="2018" priority="3890" operator="containsText" text="Pesquisa de Preços">
      <formula>NOT(ISERROR(SEARCH("Pesquisa de Preços",D2333)))</formula>
    </cfRule>
  </conditionalFormatting>
  <conditionalFormatting sqref="D2033 D2037:D2039">
    <cfRule type="containsText" dxfId="2017" priority="3917" operator="containsText" text="Pesquisa de Preços">
      <formula>NOT(ISERROR(SEARCH("Pesquisa de Preços",D2033)))</formula>
    </cfRule>
  </conditionalFormatting>
  <conditionalFormatting sqref="D2065 D2069:D2071">
    <cfRule type="containsText" dxfId="2016" priority="3916" operator="containsText" text="Pesquisa de Preços">
      <formula>NOT(ISERROR(SEARCH("Pesquisa de Preços",D2065)))</formula>
    </cfRule>
  </conditionalFormatting>
  <conditionalFormatting sqref="D2312">
    <cfRule type="containsText" dxfId="2015" priority="3892" operator="containsText" text="Pesquisa de Preços">
      <formula>NOT(ISERROR(SEARCH("Pesquisa de Preços",D2312)))</formula>
    </cfRule>
  </conditionalFormatting>
  <conditionalFormatting sqref="D2329">
    <cfRule type="containsText" dxfId="2014" priority="3887" operator="containsText" text="Pesquisa de Preços">
      <formula>NOT(ISERROR(SEARCH("Pesquisa de Preços",D2329)))</formula>
    </cfRule>
  </conditionalFormatting>
  <conditionalFormatting sqref="D2073 D2077:D2079">
    <cfRule type="containsText" dxfId="2013" priority="3914" operator="containsText" text="Pesquisa de Preços">
      <formula>NOT(ISERROR(SEARCH("Pesquisa de Preços",D2073)))</formula>
    </cfRule>
  </conditionalFormatting>
  <conditionalFormatting sqref="D2251">
    <cfRule type="containsText" dxfId="2012" priority="3902" operator="containsText" text="Pesquisa de Preços">
      <formula>NOT(ISERROR(SEARCH("Pesquisa de Preços",D2251)))</formula>
    </cfRule>
  </conditionalFormatting>
  <conditionalFormatting sqref="D2031">
    <cfRule type="containsText" dxfId="2011" priority="3913" operator="containsText" text="Pesquisa de Preços">
      <formula>NOT(ISERROR(SEARCH("Pesquisa de Preços",D2031)))</formula>
    </cfRule>
  </conditionalFormatting>
  <conditionalFormatting sqref="D2109:D2111">
    <cfRule type="containsText" dxfId="2010" priority="3912" operator="containsText" text="Pesquisa de Preços">
      <formula>NOT(ISERROR(SEARCH("Pesquisa de Preços",D2109)))</formula>
    </cfRule>
  </conditionalFormatting>
  <conditionalFormatting sqref="D2101:D2103">
    <cfRule type="containsText" dxfId="2009" priority="3911" operator="containsText" text="Pesquisa de Preços">
      <formula>NOT(ISERROR(SEARCH("Pesquisa de Preços",D2101)))</formula>
    </cfRule>
  </conditionalFormatting>
  <conditionalFormatting sqref="D2216">
    <cfRule type="containsText" dxfId="2008" priority="3905" operator="containsText" text="Pesquisa de Preços">
      <formula>NOT(ISERROR(SEARCH("Pesquisa de Preços",D2216)))</formula>
    </cfRule>
  </conditionalFormatting>
  <conditionalFormatting sqref="D2095">
    <cfRule type="containsText" dxfId="2007" priority="3910" operator="containsText" text="Pesquisa de Preços">
      <formula>NOT(ISERROR(SEARCH("Pesquisa de Preços",D2095)))</formula>
    </cfRule>
  </conditionalFormatting>
  <conditionalFormatting sqref="D2019:D2020 D2022:D2023">
    <cfRule type="containsText" dxfId="2006" priority="3909" operator="containsText" text="Pesquisa de Preços">
      <formula>NOT(ISERROR(SEARCH("Pesquisa de Preços",D2019)))</formula>
    </cfRule>
  </conditionalFormatting>
  <conditionalFormatting sqref="D2113">
    <cfRule type="containsText" dxfId="2005" priority="3908" operator="containsText" text="Pesquisa de Preços">
      <formula>NOT(ISERROR(SEARCH("Pesquisa de Preços",D2113)))</formula>
    </cfRule>
  </conditionalFormatting>
  <conditionalFormatting sqref="D2207:D2208">
    <cfRule type="containsText" dxfId="2004" priority="3907" operator="containsText" text="Pesquisa de Preços">
      <formula>NOT(ISERROR(SEARCH("Pesquisa de Preços",D2207)))</formula>
    </cfRule>
  </conditionalFormatting>
  <conditionalFormatting sqref="D2212:D2213">
    <cfRule type="containsText" dxfId="2003" priority="3906" operator="containsText" text="Pesquisa de Preços">
      <formula>NOT(ISERROR(SEARCH("Pesquisa de Preços",D2212)))</formula>
    </cfRule>
  </conditionalFormatting>
  <conditionalFormatting sqref="D2231 D2234:D2235">
    <cfRule type="containsText" dxfId="2002" priority="3904" operator="containsText" text="Pesquisa de Preços">
      <formula>NOT(ISERROR(SEARCH("Pesquisa de Preços",D2231)))</formula>
    </cfRule>
  </conditionalFormatting>
  <conditionalFormatting sqref="D2225 D2228:D2229">
    <cfRule type="containsText" dxfId="2001" priority="3903" operator="containsText" text="Pesquisa de Preços">
      <formula>NOT(ISERROR(SEARCH("Pesquisa de Preços",D2225)))</formula>
    </cfRule>
  </conditionalFormatting>
  <conditionalFormatting sqref="D2297">
    <cfRule type="containsText" dxfId="2000" priority="3900" operator="containsText" text="Pesquisa de Preços">
      <formula>NOT(ISERROR(SEARCH("Pesquisa de Preços",D2297)))</formula>
    </cfRule>
  </conditionalFormatting>
  <conditionalFormatting sqref="D2254">
    <cfRule type="containsText" dxfId="1999" priority="3901" operator="containsText" text="Pesquisa de Preços">
      <formula>NOT(ISERROR(SEARCH("Pesquisa de Preços",D2254)))</formula>
    </cfRule>
  </conditionalFormatting>
  <conditionalFormatting sqref="D2287">
    <cfRule type="containsText" dxfId="1998" priority="3899" operator="containsText" text="Pesquisa de Preços">
      <formula>NOT(ISERROR(SEARCH("Pesquisa de Preços",D2287)))</formula>
    </cfRule>
  </conditionalFormatting>
  <conditionalFormatting sqref="D2277 D2285">
    <cfRule type="containsText" dxfId="1997" priority="3897" operator="containsText" text="Pesquisa de Preços">
      <formula>NOT(ISERROR(SEARCH("Pesquisa de Preços",D2277)))</formula>
    </cfRule>
  </conditionalFormatting>
  <conditionalFormatting sqref="D2237:D2238">
    <cfRule type="containsText" dxfId="1996" priority="3896" operator="containsText" text="Pesquisa de Preços">
      <formula>NOT(ISERROR(SEARCH("Pesquisa de Preços",D2237)))</formula>
    </cfRule>
  </conditionalFormatting>
  <conditionalFormatting sqref="D2314:D2315">
    <cfRule type="containsText" dxfId="1995" priority="3894" operator="containsText" text="Pesquisa de Preços">
      <formula>NOT(ISERROR(SEARCH("Pesquisa de Preços",D2314)))</formula>
    </cfRule>
  </conditionalFormatting>
  <conditionalFormatting sqref="D2318">
    <cfRule type="containsText" dxfId="1994" priority="3893" operator="containsText" text="Pesquisa de Preços">
      <formula>NOT(ISERROR(SEARCH("Pesquisa de Preços",D2318)))</formula>
    </cfRule>
  </conditionalFormatting>
  <conditionalFormatting sqref="D2345">
    <cfRule type="containsText" dxfId="1993" priority="3891" operator="containsText" text="Pesquisa de Preços">
      <formula>NOT(ISERROR(SEARCH("Pesquisa de Preços",D2345)))</formula>
    </cfRule>
  </conditionalFormatting>
  <conditionalFormatting sqref="D2335">
    <cfRule type="containsText" dxfId="1992" priority="3889" operator="containsText" text="Pesquisa de Preços">
      <formula>NOT(ISERROR(SEARCH("Pesquisa de Preços",D2335)))</formula>
    </cfRule>
  </conditionalFormatting>
  <conditionalFormatting sqref="D2327:D2328 D2330:D2331">
    <cfRule type="containsText" dxfId="1991" priority="3888" operator="containsText" text="Pesquisa de Preços">
      <formula>NOT(ISERROR(SEARCH("Pesquisa de Preços",D2327)))</formula>
    </cfRule>
  </conditionalFormatting>
  <conditionalFormatting sqref="D2339:D2340 D2342:D2343">
    <cfRule type="containsText" dxfId="1990" priority="3886" operator="containsText" text="Pesquisa de Preços">
      <formula>NOT(ISERROR(SEARCH("Pesquisa de Preços",D2339)))</formula>
    </cfRule>
  </conditionalFormatting>
  <conditionalFormatting sqref="D2341">
    <cfRule type="containsText" dxfId="1989" priority="3885" operator="containsText" text="Pesquisa de Preços">
      <formula>NOT(ISERROR(SEARCH("Pesquisa de Preços",D2341)))</formula>
    </cfRule>
  </conditionalFormatting>
  <conditionalFormatting sqref="D2321 D2324:D2325">
    <cfRule type="containsText" dxfId="1988" priority="3884" operator="containsText" text="Pesquisa de Preços">
      <formula>NOT(ISERROR(SEARCH("Pesquisa de Preços",D2321)))</formula>
    </cfRule>
  </conditionalFormatting>
  <conditionalFormatting sqref="D2323">
    <cfRule type="containsText" dxfId="1987" priority="3883" operator="containsText" text="Pesquisa de Preços">
      <formula>NOT(ISERROR(SEARCH("Pesquisa de Preços",D2323)))</formula>
    </cfRule>
  </conditionalFormatting>
  <conditionalFormatting sqref="D2350:D2353">
    <cfRule type="containsText" dxfId="1986" priority="3882" operator="containsText" text="Pesquisa de Preços">
      <formula>NOT(ISERROR(SEARCH("Pesquisa de Preços",D2350)))</formula>
    </cfRule>
  </conditionalFormatting>
  <conditionalFormatting sqref="D2355 D2357:D2358">
    <cfRule type="containsText" dxfId="1985" priority="3881" operator="containsText" text="Pesquisa de Preços">
      <formula>NOT(ISERROR(SEARCH("Pesquisa de Preços",D2355)))</formula>
    </cfRule>
  </conditionalFormatting>
  <conditionalFormatting sqref="D893:D894 D896:D898">
    <cfRule type="containsText" dxfId="1984" priority="3880" operator="containsText" text="Pesquisa de Preços">
      <formula>NOT(ISERROR(SEARCH("Pesquisa de Preços",D893)))</formula>
    </cfRule>
  </conditionalFormatting>
  <conditionalFormatting sqref="D857:D858">
    <cfRule type="containsText" dxfId="1983" priority="3875" operator="containsText" text="Pesquisa de Preços">
      <formula>NOT(ISERROR(SEARCH("Pesquisa de Preços",D857)))</formula>
    </cfRule>
  </conditionalFormatting>
  <conditionalFormatting sqref="D876 D879:D880">
    <cfRule type="containsText" dxfId="1982" priority="3879" operator="containsText" text="Pesquisa de Preços">
      <formula>NOT(ISERROR(SEARCH("Pesquisa de Preços",D876)))</formula>
    </cfRule>
  </conditionalFormatting>
  <conditionalFormatting sqref="D882 D885:D886">
    <cfRule type="containsText" dxfId="1981" priority="3877" operator="containsText" text="Pesquisa de Preços">
      <formula>NOT(ISERROR(SEARCH("Pesquisa de Preços",D882)))</formula>
    </cfRule>
  </conditionalFormatting>
  <conditionalFormatting sqref="D858:D860">
    <cfRule type="containsText" dxfId="1980" priority="3874" operator="containsText" text="Pesquisa de Preços">
      <formula>NOT(ISERROR(SEARCH("Pesquisa de Preços",D858)))</formula>
    </cfRule>
  </conditionalFormatting>
  <conditionalFormatting sqref="D846 D848:D849">
    <cfRule type="containsText" dxfId="1979" priority="3873" operator="containsText" text="Pesquisa de Preços">
      <formula>NOT(ISERROR(SEARCH("Pesquisa de Preços",D846)))</formula>
    </cfRule>
  </conditionalFormatting>
  <conditionalFormatting sqref="D851 D854:D855">
    <cfRule type="containsText" dxfId="1978" priority="3872" operator="containsText" text="Pesquisa de Preços">
      <formula>NOT(ISERROR(SEARCH("Pesquisa de Preços",D851)))</formula>
    </cfRule>
  </conditionalFormatting>
  <conditionalFormatting sqref="D868">
    <cfRule type="containsText" dxfId="1977" priority="3871" operator="containsText" text="Pesquisa de Preços">
      <formula>NOT(ISERROR(SEARCH("Pesquisa de Preços",D868)))</formula>
    </cfRule>
  </conditionalFormatting>
  <conditionalFormatting sqref="D863">
    <cfRule type="containsText" dxfId="1976" priority="3870" operator="containsText" text="Pesquisa de Preços">
      <formula>NOT(ISERROR(SEARCH("Pesquisa de Preços",D863)))</formula>
    </cfRule>
  </conditionalFormatting>
  <conditionalFormatting sqref="D890">
    <cfRule type="containsText" dxfId="1975" priority="3868" operator="containsText" text="Pesquisa de Preços">
      <formula>NOT(ISERROR(SEARCH("Pesquisa de Preços",D890)))</formula>
    </cfRule>
  </conditionalFormatting>
  <conditionalFormatting sqref="D888:D889">
    <cfRule type="containsText" dxfId="1974" priority="3869" operator="containsText" text="Pesquisa de Preços">
      <formula>NOT(ISERROR(SEARCH("Pesquisa de Preços",D888)))</formula>
    </cfRule>
  </conditionalFormatting>
  <conditionalFormatting sqref="D900:D901">
    <cfRule type="containsText" dxfId="1973" priority="3867" operator="containsText" text="Pesquisa de Preços">
      <formula>NOT(ISERROR(SEARCH("Pesquisa de Preços",D900)))</formula>
    </cfRule>
  </conditionalFormatting>
  <conditionalFormatting sqref="D2366:D2367">
    <cfRule type="containsText" dxfId="1972" priority="3866" operator="containsText" text="Pesquisa de Preços">
      <formula>NOT(ISERROR(SEARCH("Pesquisa de Preços",D2366)))</formula>
    </cfRule>
  </conditionalFormatting>
  <conditionalFormatting sqref="D2374 D2377 D2379">
    <cfRule type="containsText" dxfId="1971" priority="3865" operator="containsText" text="Pesquisa de Preços">
      <formula>NOT(ISERROR(SEARCH("Pesquisa de Preços",D2374)))</formula>
    </cfRule>
  </conditionalFormatting>
  <conditionalFormatting sqref="D2360:D2361 D2363:D2364">
    <cfRule type="containsText" dxfId="1970" priority="3864" operator="containsText" text="Pesquisa de Preços">
      <formula>NOT(ISERROR(SEARCH("Pesquisa de Preços",D2360)))</formula>
    </cfRule>
  </conditionalFormatting>
  <conditionalFormatting sqref="D2387 D2391:D2392">
    <cfRule type="containsText" dxfId="1969" priority="3862" operator="containsText" text="Pesquisa de Preços">
      <formula>NOT(ISERROR(SEARCH("Pesquisa de Preços",D2387)))</formula>
    </cfRule>
  </conditionalFormatting>
  <conditionalFormatting sqref="D2362">
    <cfRule type="containsText" dxfId="1968" priority="3863" operator="containsText" text="Pesquisa de Preços">
      <formula>NOT(ISERROR(SEARCH("Pesquisa de Preços",D2362)))</formula>
    </cfRule>
  </conditionalFormatting>
  <conditionalFormatting sqref="D2381">
    <cfRule type="containsText" dxfId="1967" priority="3861" operator="containsText" text="Pesquisa de Preços">
      <formula>NOT(ISERROR(SEARCH("Pesquisa de Preços",D2381)))</formula>
    </cfRule>
  </conditionalFormatting>
  <conditionalFormatting sqref="D1770:D1771 D1774:D1775">
    <cfRule type="containsText" dxfId="1966" priority="3859" operator="containsText" text="Pesquisa de Preços">
      <formula>NOT(ISERROR(SEARCH("Pesquisa de Preços",D1770)))</formula>
    </cfRule>
  </conditionalFormatting>
  <conditionalFormatting sqref="D1772:D1773">
    <cfRule type="containsText" dxfId="1965" priority="3858" operator="containsText" text="Pesquisa de Preços">
      <formula>NOT(ISERROR(SEARCH("Pesquisa de Preços",D1772)))</formula>
    </cfRule>
  </conditionalFormatting>
  <conditionalFormatting sqref="D1784:D1785 D1788:D1789">
    <cfRule type="containsText" dxfId="1964" priority="3856" operator="containsText" text="Pesquisa de Preços">
      <formula>NOT(ISERROR(SEARCH("Pesquisa de Preços",D1784)))</formula>
    </cfRule>
  </conditionalFormatting>
  <conditionalFormatting sqref="D1786:D1787">
    <cfRule type="containsText" dxfId="1963" priority="3855" operator="containsText" text="Pesquisa de Preços">
      <formula>NOT(ISERROR(SEARCH("Pesquisa de Preços",D1786)))</formula>
    </cfRule>
  </conditionalFormatting>
  <conditionalFormatting sqref="D1798:D1799 D1802:D1803">
    <cfRule type="containsText" dxfId="1962" priority="3853" operator="containsText" text="Pesquisa de Preços">
      <formula>NOT(ISERROR(SEARCH("Pesquisa de Preços",D1798)))</formula>
    </cfRule>
  </conditionalFormatting>
  <conditionalFormatting sqref="D1800:D1801">
    <cfRule type="containsText" dxfId="1961" priority="3852" operator="containsText" text="Pesquisa de Preços">
      <formula>NOT(ISERROR(SEARCH("Pesquisa de Preços",D1800)))</formula>
    </cfRule>
  </conditionalFormatting>
  <conditionalFormatting sqref="D1756:D1757 D1760:D1761">
    <cfRule type="containsText" dxfId="1960" priority="3850" operator="containsText" text="Pesquisa de Preços">
      <formula>NOT(ISERROR(SEARCH("Pesquisa de Preços",D1756)))</formula>
    </cfRule>
  </conditionalFormatting>
  <conditionalFormatting sqref="D1758:D1759">
    <cfRule type="containsText" dxfId="1959" priority="3849" operator="containsText" text="Pesquisa de Preços">
      <formula>NOT(ISERROR(SEARCH("Pesquisa de Preços",D1758)))</formula>
    </cfRule>
  </conditionalFormatting>
  <conditionalFormatting sqref="D1763:D1764 D1767:D1768">
    <cfRule type="containsText" dxfId="1958" priority="3847" operator="containsText" text="Pesquisa de Preços">
      <formula>NOT(ISERROR(SEARCH("Pesquisa de Preços",D1763)))</formula>
    </cfRule>
  </conditionalFormatting>
  <conditionalFormatting sqref="D590 D594">
    <cfRule type="containsText" dxfId="1957" priority="3785" operator="containsText" text="Pesquisa de Preços">
      <formula>NOT(ISERROR(SEARCH("Pesquisa de Preços",D590)))</formula>
    </cfRule>
  </conditionalFormatting>
  <conditionalFormatting sqref="D1765:D1766">
    <cfRule type="containsText" dxfId="1956" priority="3846" operator="containsText" text="Pesquisa de Preços">
      <formula>NOT(ISERROR(SEARCH("Pesquisa de Preços",D1765)))</formula>
    </cfRule>
  </conditionalFormatting>
  <conditionalFormatting sqref="D1781:D1782 D1777:D1778">
    <cfRule type="containsText" dxfId="1955" priority="3844" operator="containsText" text="Pesquisa de Preços">
      <formula>NOT(ISERROR(SEARCH("Pesquisa de Preços",D1777)))</formula>
    </cfRule>
  </conditionalFormatting>
  <conditionalFormatting sqref="D1779:D1780">
    <cfRule type="containsText" dxfId="1954" priority="3843" operator="containsText" text="Pesquisa de Preços">
      <formula>NOT(ISERROR(SEARCH("Pesquisa de Preços",D1779)))</formula>
    </cfRule>
  </conditionalFormatting>
  <conditionalFormatting sqref="D1791:D1792 D1795:D1796">
    <cfRule type="containsText" dxfId="1953" priority="3842" operator="containsText" text="Pesquisa de Preços">
      <formula>NOT(ISERROR(SEARCH("Pesquisa de Preços",D1791)))</formula>
    </cfRule>
  </conditionalFormatting>
  <conditionalFormatting sqref="D1793:D1794">
    <cfRule type="containsText" dxfId="1952" priority="3841" operator="containsText" text="Pesquisa de Preços">
      <formula>NOT(ISERROR(SEARCH("Pesquisa de Preços",D1793)))</formula>
    </cfRule>
  </conditionalFormatting>
  <conditionalFormatting sqref="D1170">
    <cfRule type="containsText" dxfId="1951" priority="3840" operator="containsText" text="Pesquisa de Preços">
      <formula>NOT(ISERROR(SEARCH("Pesquisa de Preços",D1170)))</formula>
    </cfRule>
  </conditionalFormatting>
  <conditionalFormatting sqref="D1860 D1862">
    <cfRule type="containsText" dxfId="1950" priority="3839" operator="containsText" text="Pesquisa de Preços">
      <formula>NOT(ISERROR(SEARCH("Pesquisa de Preços",D1860)))</formula>
    </cfRule>
  </conditionalFormatting>
  <conditionalFormatting sqref="D1861">
    <cfRule type="containsText" dxfId="1949" priority="3838" operator="containsText" text="Pesquisa de Preços">
      <formula>NOT(ISERROR(SEARCH("Pesquisa de Preços",D1861)))</formula>
    </cfRule>
  </conditionalFormatting>
  <conditionalFormatting sqref="D1980">
    <cfRule type="containsText" dxfId="1948" priority="3837" operator="containsText" text="Pesquisa de Preços">
      <formula>NOT(ISERROR(SEARCH("Pesquisa de Preços",D1980)))</formula>
    </cfRule>
  </conditionalFormatting>
  <conditionalFormatting sqref="D2014:D2015">
    <cfRule type="containsText" dxfId="1947" priority="3836" operator="containsText" text="Pesquisa de Preços">
      <formula>NOT(ISERROR(SEARCH("Pesquisa de Preços",D2014)))</formula>
    </cfRule>
  </conditionalFormatting>
  <conditionalFormatting sqref="D1993:D1994">
    <cfRule type="containsText" dxfId="1946" priority="3835" operator="containsText" text="Pesquisa de Preços">
      <formula>NOT(ISERROR(SEARCH("Pesquisa de Preços",D1993)))</formula>
    </cfRule>
  </conditionalFormatting>
  <conditionalFormatting sqref="D2093:D2094">
    <cfRule type="containsText" dxfId="1945" priority="3834" operator="containsText" text="Pesquisa de Preços">
      <formula>NOT(ISERROR(SEARCH("Pesquisa de Preços",D2093)))</formula>
    </cfRule>
  </conditionalFormatting>
  <conditionalFormatting sqref="D2029:D2030">
    <cfRule type="containsText" dxfId="1944" priority="3833" operator="containsText" text="Pesquisa de Preços">
      <formula>NOT(ISERROR(SEARCH("Pesquisa de Preços",D2029)))</formula>
    </cfRule>
  </conditionalFormatting>
  <conditionalFormatting sqref="D829">
    <cfRule type="containsText" dxfId="1943" priority="3760" operator="containsText" text="Pesquisa de Preços">
      <formula>NOT(ISERROR(SEARCH("Pesquisa de Preços",D829)))</formula>
    </cfRule>
  </conditionalFormatting>
  <conditionalFormatting sqref="D830">
    <cfRule type="containsText" dxfId="1942" priority="3759" operator="containsText" text="Pesquisa de Preços">
      <formula>NOT(ISERROR(SEARCH("Pesquisa de Preços",D830)))</formula>
    </cfRule>
  </conditionalFormatting>
  <conditionalFormatting sqref="D1295">
    <cfRule type="containsText" dxfId="1941" priority="3755" operator="containsText" text="Pesquisa de Preços">
      <formula>NOT(ISERROR(SEARCH("Pesquisa de Preços",D1295)))</formula>
    </cfRule>
  </conditionalFormatting>
  <conditionalFormatting sqref="D1157">
    <cfRule type="containsText" dxfId="1940" priority="3752" operator="containsText" text="Pesquisa de Preços">
      <formula>NOT(ISERROR(SEARCH("Pesquisa de Preços",D1157)))</formula>
    </cfRule>
  </conditionalFormatting>
  <conditionalFormatting sqref="D1349">
    <cfRule type="containsText" dxfId="1939" priority="3754" operator="containsText" text="Pesquisa de Preços">
      <formula>NOT(ISERROR(SEARCH("Pesquisa de Preços",D1349)))</formula>
    </cfRule>
  </conditionalFormatting>
  <conditionalFormatting sqref="D1380">
    <cfRule type="containsText" dxfId="1938" priority="3748" operator="containsText" text="Pesquisa de Preços">
      <formula>NOT(ISERROR(SEARCH("Pesquisa de Preços",D1380)))</formula>
    </cfRule>
  </conditionalFormatting>
  <conditionalFormatting sqref="D207">
    <cfRule type="containsText" dxfId="1937" priority="3749" operator="containsText" text="Pesquisa de Preços">
      <formula>NOT(ISERROR(SEARCH("Pesquisa de Preços",D207)))</formula>
    </cfRule>
  </conditionalFormatting>
  <conditionalFormatting sqref="D1635">
    <cfRule type="containsText" dxfId="1936" priority="3745" operator="containsText" text="Pesquisa de Preços">
      <formula>NOT(ISERROR(SEARCH("Pesquisa de Preços",D1635)))</formula>
    </cfRule>
  </conditionalFormatting>
  <conditionalFormatting sqref="D1685">
    <cfRule type="containsText" dxfId="1935" priority="3744" operator="containsText" text="Pesquisa de Preços">
      <formula>NOT(ISERROR(SEARCH("Pesquisa de Preços",D1685)))</formula>
    </cfRule>
  </conditionalFormatting>
  <conditionalFormatting sqref="D1686">
    <cfRule type="containsText" dxfId="1934" priority="3743" operator="containsText" text="Pesquisa de Preços">
      <formula>NOT(ISERROR(SEARCH("Pesquisa de Preços",D1686)))</formula>
    </cfRule>
  </conditionalFormatting>
  <conditionalFormatting sqref="D1612">
    <cfRule type="containsText" dxfId="1933" priority="3741" operator="containsText" text="Pesquisa de Preços">
      <formula>NOT(ISERROR(SEARCH("Pesquisa de Preços",D1612)))</formula>
    </cfRule>
  </conditionalFormatting>
  <conditionalFormatting sqref="D1687">
    <cfRule type="containsText" dxfId="1932" priority="3739" operator="containsText" text="Pesquisa de Preços">
      <formula>NOT(ISERROR(SEARCH("Pesquisa de Preços",D1687)))</formula>
    </cfRule>
  </conditionalFormatting>
  <conditionalFormatting sqref="D820">
    <cfRule type="containsText" dxfId="1931" priority="3832" operator="containsText" text="Pesquisa de Preços">
      <formula>NOT(ISERROR(SEARCH("Pesquisa de Preços",D820)))</formula>
    </cfRule>
  </conditionalFormatting>
  <conditionalFormatting sqref="D821">
    <cfRule type="containsText" dxfId="1930" priority="3831" operator="containsText" text="Pesquisa de Preços">
      <formula>NOT(ISERROR(SEARCH("Pesquisa de Preços",D821)))</formula>
    </cfRule>
  </conditionalFormatting>
  <conditionalFormatting sqref="D54">
    <cfRule type="containsText" dxfId="1929" priority="3814" operator="containsText" text="Pesquisa de Preços">
      <formula>NOT(ISERROR(SEARCH("Pesquisa de Preços",D54)))</formula>
    </cfRule>
  </conditionalFormatting>
  <conditionalFormatting sqref="D450">
    <cfRule type="containsText" dxfId="1928" priority="3830" operator="containsText" text="Pesquisa de Preços">
      <formula>NOT(ISERROR(SEARCH("Pesquisa de Preços",D450)))</formula>
    </cfRule>
  </conditionalFormatting>
  <conditionalFormatting sqref="D449">
    <cfRule type="containsText" dxfId="1927" priority="3829" operator="containsText" text="Pesquisa de Preços">
      <formula>NOT(ISERROR(SEARCH("Pesquisa de Preços",D449)))</formula>
    </cfRule>
  </conditionalFormatting>
  <conditionalFormatting sqref="D448">
    <cfRule type="containsText" dxfId="1926" priority="3828" operator="containsText" text="Pesquisa de Preços">
      <formula>NOT(ISERROR(SEARCH("Pesquisa de Preços",D448)))</formula>
    </cfRule>
  </conditionalFormatting>
  <conditionalFormatting sqref="D206">
    <cfRule type="containsText" dxfId="1925" priority="3827" operator="containsText" text="Pesquisa de Preços">
      <formula>NOT(ISERROR(SEARCH("Pesquisa de Preços",D206)))</formula>
    </cfRule>
  </conditionalFormatting>
  <conditionalFormatting sqref="D103:D104">
    <cfRule type="containsText" dxfId="1924" priority="3826" operator="containsText" text="Pesquisa de Preços">
      <formula>NOT(ISERROR(SEARCH("Pesquisa de Preços",D103)))</formula>
    </cfRule>
  </conditionalFormatting>
  <conditionalFormatting sqref="D423:D424">
    <cfRule type="containsText" dxfId="1923" priority="3825" operator="containsText" text="Pesquisa de Preços">
      <formula>NOT(ISERROR(SEARCH("Pesquisa de Preços",D423)))</formula>
    </cfRule>
  </conditionalFormatting>
  <conditionalFormatting sqref="D425:D427">
    <cfRule type="containsText" dxfId="1922" priority="3824" operator="containsText" text="Pesquisa de Preços">
      <formula>NOT(ISERROR(SEARCH("Pesquisa de Preços",D425)))</formula>
    </cfRule>
  </conditionalFormatting>
  <conditionalFormatting sqref="D616 D620">
    <cfRule type="containsText" dxfId="1921" priority="3823" operator="containsText" text="Pesquisa de Preços">
      <formula>NOT(ISERROR(SEARCH("Pesquisa de Preços",D616)))</formula>
    </cfRule>
  </conditionalFormatting>
  <conditionalFormatting sqref="D589 D595">
    <cfRule type="containsText" dxfId="1920" priority="3821" operator="containsText" text="Pesquisa de Preços">
      <formula>NOT(ISERROR(SEARCH("Pesquisa de Preços",D589)))</formula>
    </cfRule>
  </conditionalFormatting>
  <conditionalFormatting sqref="D638:D639 D642:D643">
    <cfRule type="containsText" dxfId="1919" priority="3819" operator="containsText" text="Pesquisa de Preços">
      <formula>NOT(ISERROR(SEARCH("Pesquisa de Preços",D638)))</formula>
    </cfRule>
  </conditionalFormatting>
  <conditionalFormatting sqref="D640:D641">
    <cfRule type="containsText" dxfId="1918" priority="3818" operator="containsText" text="Pesquisa de Preços">
      <formula>NOT(ISERROR(SEARCH("Pesquisa de Preços",D640)))</formula>
    </cfRule>
  </conditionalFormatting>
  <conditionalFormatting sqref="D1719">
    <cfRule type="containsText" dxfId="1917" priority="3725" operator="containsText" text="Pesquisa de Preços">
      <formula>NOT(ISERROR(SEARCH("Pesquisa de Preços",D1719)))</formula>
    </cfRule>
  </conditionalFormatting>
  <conditionalFormatting sqref="D226">
    <cfRule type="containsText" dxfId="1916" priority="3817" operator="containsText" text="Pesquisa de Preços">
      <formula>NOT(ISERROR(SEARCH("Pesquisa de Preços",D226)))</formula>
    </cfRule>
  </conditionalFormatting>
  <conditionalFormatting sqref="D152">
    <cfRule type="containsText" dxfId="1915" priority="3816" operator="containsText" text="Pesquisa de Preços">
      <formula>NOT(ISERROR(SEARCH("Pesquisa de Preços",D152)))</formula>
    </cfRule>
  </conditionalFormatting>
  <conditionalFormatting sqref="D164">
    <cfRule type="containsText" dxfId="1914" priority="3815" operator="containsText" text="Pesquisa de Preços">
      <formula>NOT(ISERROR(SEARCH("Pesquisa de Preços",D164)))</formula>
    </cfRule>
  </conditionalFormatting>
  <conditionalFormatting sqref="D55:D57">
    <cfRule type="containsText" dxfId="1913" priority="3813" operator="containsText" text="Pesquisa de Preços">
      <formula>NOT(ISERROR(SEARCH("Pesquisa de Preços",D55)))</formula>
    </cfRule>
  </conditionalFormatting>
  <conditionalFormatting sqref="D30:D31">
    <cfRule type="containsText" dxfId="1912" priority="3812" operator="containsText" text="Pesquisa de Preços">
      <formula>NOT(ISERROR(SEARCH("Pesquisa de Preços",D30)))</formula>
    </cfRule>
  </conditionalFormatting>
  <conditionalFormatting sqref="D25:D26">
    <cfRule type="containsText" dxfId="1911" priority="3811" operator="containsText" text="Pesquisa de Preços">
      <formula>NOT(ISERROR(SEARCH("Pesquisa de Preços",D25)))</formula>
    </cfRule>
  </conditionalFormatting>
  <conditionalFormatting sqref="D181">
    <cfRule type="containsText" dxfId="1910" priority="3810" operator="containsText" text="Pesquisa de Preços">
      <formula>NOT(ISERROR(SEARCH("Pesquisa de Preços",D181)))</formula>
    </cfRule>
  </conditionalFormatting>
  <conditionalFormatting sqref="D128:D129">
    <cfRule type="containsText" dxfId="1909" priority="3809" operator="containsText" text="Pesquisa de Preços">
      <formula>NOT(ISERROR(SEARCH("Pesquisa de Preços",D128)))</formula>
    </cfRule>
  </conditionalFormatting>
  <conditionalFormatting sqref="D1920">
    <cfRule type="containsText" dxfId="1908" priority="3717" operator="containsText" text="Pesquisa de Preços">
      <formula>NOT(ISERROR(SEARCH("Pesquisa de Preços",D1920)))</formula>
    </cfRule>
  </conditionalFormatting>
  <conditionalFormatting sqref="D84">
    <cfRule type="containsText" dxfId="1907" priority="3808" operator="containsText" text="Pesquisa de Preços">
      <formula>NOT(ISERROR(SEARCH("Pesquisa de Preços",D84)))</formula>
    </cfRule>
  </conditionalFormatting>
  <conditionalFormatting sqref="D85">
    <cfRule type="containsText" dxfId="1906" priority="3807" operator="containsText" text="Pesquisa de Preços">
      <formula>NOT(ISERROR(SEARCH("Pesquisa de Preços",D85)))</formula>
    </cfRule>
  </conditionalFormatting>
  <conditionalFormatting sqref="D61">
    <cfRule type="containsText" dxfId="1905" priority="3806" operator="containsText" text="Pesquisa de Preços">
      <formula>NOT(ISERROR(SEARCH("Pesquisa de Preços",D61)))</formula>
    </cfRule>
  </conditionalFormatting>
  <conditionalFormatting sqref="D62">
    <cfRule type="containsText" dxfId="1904" priority="3805" operator="containsText" text="Pesquisa de Preços">
      <formula>NOT(ISERROR(SEARCH("Pesquisa de Preços",D62)))</formula>
    </cfRule>
  </conditionalFormatting>
  <conditionalFormatting sqref="D2346">
    <cfRule type="containsText" dxfId="1903" priority="3714" operator="containsText" text="Pesquisa de Preços">
      <formula>NOT(ISERROR(SEARCH("Pesquisa de Preços",D2346)))</formula>
    </cfRule>
  </conditionalFormatting>
  <conditionalFormatting sqref="D311">
    <cfRule type="containsText" dxfId="1902" priority="3804" operator="containsText" text="Pesquisa de Preços">
      <formula>NOT(ISERROR(SEARCH("Pesquisa de Preços",D311)))</formula>
    </cfRule>
  </conditionalFormatting>
  <conditionalFormatting sqref="D297">
    <cfRule type="containsText" dxfId="1901" priority="3802" operator="containsText" text="Pesquisa de Preços">
      <formula>NOT(ISERROR(SEARCH("Pesquisa de Preços",D297)))</formula>
    </cfRule>
  </conditionalFormatting>
  <conditionalFormatting sqref="D457">
    <cfRule type="containsText" dxfId="1900" priority="3801" operator="containsText" text="Pesquisa de Preços">
      <formula>NOT(ISERROR(SEARCH("Pesquisa de Preços",D457)))</formula>
    </cfRule>
  </conditionalFormatting>
  <conditionalFormatting sqref="D467">
    <cfRule type="containsText" dxfId="1899" priority="3800" operator="containsText" text="Pesquisa de Preços">
      <formula>NOT(ISERROR(SEARCH("Pesquisa de Preços",D467)))</formula>
    </cfRule>
  </conditionalFormatting>
  <conditionalFormatting sqref="D623">
    <cfRule type="containsText" dxfId="1898" priority="3799" operator="containsText" text="Pesquisa de Preços">
      <formula>NOT(ISERROR(SEARCH("Pesquisa de Preços",D623)))</formula>
    </cfRule>
  </conditionalFormatting>
  <conditionalFormatting sqref="D624:D626">
    <cfRule type="containsText" dxfId="1897" priority="3798" operator="containsText" text="Pesquisa de Preços">
      <formula>NOT(ISERROR(SEARCH("Pesquisa de Preços",D624)))</formula>
    </cfRule>
  </conditionalFormatting>
  <conditionalFormatting sqref="D733:D734">
    <cfRule type="containsText" dxfId="1896" priority="3797" operator="containsText" text="Pesquisa de Preços">
      <formula>NOT(ISERROR(SEARCH("Pesquisa de Preços",D733)))</formula>
    </cfRule>
  </conditionalFormatting>
  <conditionalFormatting sqref="D732">
    <cfRule type="containsText" dxfId="1895" priority="3796" operator="containsText" text="Pesquisa de Preços">
      <formula>NOT(ISERROR(SEARCH("Pesquisa de Preços",D732)))</formula>
    </cfRule>
  </conditionalFormatting>
  <conditionalFormatting sqref="D993">
    <cfRule type="containsText" dxfId="1894" priority="3795" operator="containsText" text="Pesquisa de Preços">
      <formula>NOT(ISERROR(SEARCH("Pesquisa de Preços",D993)))</formula>
    </cfRule>
  </conditionalFormatting>
  <conditionalFormatting sqref="D607 D614">
    <cfRule type="containsText" dxfId="1893" priority="3779" operator="containsText" text="Pesquisa de Preços">
      <formula>NOT(ISERROR(SEARCH("Pesquisa de Preços",D607)))</formula>
    </cfRule>
  </conditionalFormatting>
  <conditionalFormatting sqref="D737">
    <cfRule type="containsText" dxfId="1892" priority="3775" operator="containsText" text="Pesquisa de Preços">
      <formula>NOT(ISERROR(SEARCH("Pesquisa de Preços",D737)))</formula>
    </cfRule>
  </conditionalFormatting>
  <conditionalFormatting sqref="D591:D593">
    <cfRule type="containsText" dxfId="1891" priority="3784" operator="containsText" text="Pesquisa de Preços">
      <formula>NOT(ISERROR(SEARCH("Pesquisa de Preços",D591)))</formula>
    </cfRule>
  </conditionalFormatting>
  <conditionalFormatting sqref="D1624:D1625">
    <cfRule type="containsText" dxfId="1890" priority="3790" operator="containsText" text="Pesquisa de Preços">
      <formula>NOT(ISERROR(SEARCH("Pesquisa de Preços",D1624)))</formula>
    </cfRule>
  </conditionalFormatting>
  <conditionalFormatting sqref="D1600">
    <cfRule type="containsText" dxfId="1889" priority="3794" operator="containsText" text="Pesquisa de Preços">
      <formula>NOT(ISERROR(SEARCH("Pesquisa de Preços",D1600)))</formula>
    </cfRule>
  </conditionalFormatting>
  <conditionalFormatting sqref="D1629">
    <cfRule type="containsText" dxfId="1888" priority="3793" operator="containsText" text="Pesquisa de Preços">
      <formula>NOT(ISERROR(SEARCH("Pesquisa de Preços",D1629)))</formula>
    </cfRule>
  </conditionalFormatting>
  <conditionalFormatting sqref="D1630:D1631">
    <cfRule type="containsText" dxfId="1887" priority="3792" operator="containsText" text="Pesquisa de Preços">
      <formula>NOT(ISERROR(SEARCH("Pesquisa de Preços",D1630)))</formula>
    </cfRule>
  </conditionalFormatting>
  <conditionalFormatting sqref="D1623">
    <cfRule type="containsText" dxfId="1886" priority="3791" operator="containsText" text="Pesquisa de Preços">
      <formula>NOT(ISERROR(SEARCH("Pesquisa de Preços",D1623)))</formula>
    </cfRule>
  </conditionalFormatting>
  <conditionalFormatting sqref="D1890 D1892">
    <cfRule type="containsText" dxfId="1885" priority="3789" operator="containsText" text="Pesquisa de Preços">
      <formula>NOT(ISERROR(SEARCH("Pesquisa de Preços",D1890)))</formula>
    </cfRule>
  </conditionalFormatting>
  <conditionalFormatting sqref="D1891">
    <cfRule type="containsText" dxfId="1884" priority="3788" operator="containsText" text="Pesquisa de Preços">
      <formula>NOT(ISERROR(SEARCH("Pesquisa de Preços",D1891)))</formula>
    </cfRule>
  </conditionalFormatting>
  <conditionalFormatting sqref="D1884 D1886">
    <cfRule type="containsText" dxfId="1883" priority="3787" operator="containsText" text="Pesquisa de Preços">
      <formula>NOT(ISERROR(SEARCH("Pesquisa de Preços",D1884)))</formula>
    </cfRule>
  </conditionalFormatting>
  <conditionalFormatting sqref="D1885">
    <cfRule type="containsText" dxfId="1882" priority="3786" operator="containsText" text="Pesquisa de Preços">
      <formula>NOT(ISERROR(SEARCH("Pesquisa de Preços",D1885)))</formula>
    </cfRule>
  </conditionalFormatting>
  <conditionalFormatting sqref="D382:D392">
    <cfRule type="containsText" dxfId="1881" priority="3782" operator="containsText" text="Pesquisa de Preços">
      <formula>NOT(ISERROR(SEARCH("Pesquisa de Preços",D382)))</formula>
    </cfRule>
  </conditionalFormatting>
  <conditionalFormatting sqref="D381">
    <cfRule type="containsText" dxfId="1880" priority="3783" operator="containsText" text="Pesquisa de Preços">
      <formula>NOT(ISERROR(SEARCH("Pesquisa de Preços",D381)))</formula>
    </cfRule>
  </conditionalFormatting>
  <conditionalFormatting sqref="D1067:D1068">
    <cfRule type="containsText" dxfId="1879" priority="3683" operator="containsText" text="Pesquisa de Preços">
      <formula>NOT(ISERROR(SEARCH("Pesquisa de Preços",D1067)))</formula>
    </cfRule>
  </conditionalFormatting>
  <conditionalFormatting sqref="D605">
    <cfRule type="containsText" dxfId="1878" priority="3781" operator="containsText" text="Pesquisa de Preços">
      <formula>NOT(ISERROR(SEARCH("Pesquisa de Preços",D605)))</formula>
    </cfRule>
  </conditionalFormatting>
  <conditionalFormatting sqref="D597">
    <cfRule type="containsText" dxfId="1877" priority="3780" operator="containsText" text="Pesquisa de Preços">
      <formula>NOT(ISERROR(SEARCH("Pesquisa de Preços",D597)))</formula>
    </cfRule>
  </conditionalFormatting>
  <conditionalFormatting sqref="D1080:D1082 D1084">
    <cfRule type="containsText" dxfId="1876" priority="3682" operator="containsText" text="Pesquisa de Preços">
      <formula>NOT(ISERROR(SEARCH("Pesquisa de Preços",D1080)))</formula>
    </cfRule>
  </conditionalFormatting>
  <conditionalFormatting sqref="D598">
    <cfRule type="containsText" dxfId="1875" priority="3778" operator="containsText" text="Pesquisa de Preços">
      <formula>NOT(ISERROR(SEARCH("Pesquisa de Preços",D598)))</formula>
    </cfRule>
  </conditionalFormatting>
  <conditionalFormatting sqref="D608">
    <cfRule type="containsText" dxfId="1874" priority="3777" operator="containsText" text="Pesquisa de Preços">
      <formula>NOT(ISERROR(SEARCH("Pesquisa de Preços",D608)))</formula>
    </cfRule>
  </conditionalFormatting>
  <conditionalFormatting sqref="D631">
    <cfRule type="containsText" dxfId="1873" priority="3772" operator="containsText" text="Pesquisa de Preços">
      <formula>NOT(ISERROR(SEARCH("Pesquisa de Preços",D631)))</formula>
    </cfRule>
  </conditionalFormatting>
  <conditionalFormatting sqref="D630 D635:D636">
    <cfRule type="containsText" dxfId="1872" priority="3773" operator="containsText" text="Pesquisa de Preços">
      <formula>NOT(ISERROR(SEARCH("Pesquisa de Preços",D630)))</formula>
    </cfRule>
  </conditionalFormatting>
  <conditionalFormatting sqref="D1253 D1257:D1258">
    <cfRule type="containsText" dxfId="1871" priority="3769" operator="containsText" text="Pesquisa de Preços">
      <formula>NOT(ISERROR(SEARCH("Pesquisa de Preços",D1253)))</formula>
    </cfRule>
  </conditionalFormatting>
  <conditionalFormatting sqref="D632:D634">
    <cfRule type="containsText" dxfId="1870" priority="3771" operator="containsText" text="Pesquisa de Preços">
      <formula>NOT(ISERROR(SEARCH("Pesquisa de Preços",D632)))</formula>
    </cfRule>
  </conditionalFormatting>
  <conditionalFormatting sqref="D1255">
    <cfRule type="containsText" dxfId="1869" priority="3768" operator="containsText" text="Pesquisa de Preços">
      <formula>NOT(ISERROR(SEARCH("Pesquisa de Preços",D1255)))</formula>
    </cfRule>
  </conditionalFormatting>
  <conditionalFormatting sqref="D1155 D1159:D1160">
    <cfRule type="containsText" dxfId="1868" priority="3766" operator="containsText" text="Pesquisa de Preços">
      <formula>NOT(ISERROR(SEARCH("Pesquisa de Preços",D1155)))</formula>
    </cfRule>
  </conditionalFormatting>
  <conditionalFormatting sqref="D1211 D1215:D1216">
    <cfRule type="containsText" dxfId="1867" priority="3764" operator="containsText" text="Pesquisa de Preços">
      <formula>NOT(ISERROR(SEARCH("Pesquisa de Preços",D1211)))</formula>
    </cfRule>
  </conditionalFormatting>
  <conditionalFormatting sqref="D1214">
    <cfRule type="containsText" dxfId="1866" priority="3763" operator="containsText" text="Pesquisa de Preços">
      <formula>NOT(ISERROR(SEARCH("Pesquisa de Preços",D1214)))</formula>
    </cfRule>
  </conditionalFormatting>
  <conditionalFormatting sqref="D670">
    <cfRule type="containsText" dxfId="1865" priority="3762" operator="containsText" text="Pesquisa de Preços">
      <formula>NOT(ISERROR(SEARCH("Pesquisa de Preços",D670)))</formula>
    </cfRule>
  </conditionalFormatting>
  <conditionalFormatting sqref="D738">
    <cfRule type="containsText" dxfId="1864" priority="3761" operator="containsText" text="Pesquisa de Preços">
      <formula>NOT(ISERROR(SEARCH("Pesquisa de Preços",D738)))</formula>
    </cfRule>
  </conditionalFormatting>
  <conditionalFormatting sqref="D865:D866">
    <cfRule type="containsText" dxfId="1863" priority="3758" operator="containsText" text="Pesquisa de Preços">
      <formula>NOT(ISERROR(SEARCH("Pesquisa de Preços",D865)))</formula>
    </cfRule>
  </conditionalFormatting>
  <conditionalFormatting sqref="D1296">
    <cfRule type="containsText" dxfId="1862" priority="3756" operator="containsText" text="Pesquisa de Preços">
      <formula>NOT(ISERROR(SEARCH("Pesquisa de Preços",D1296)))</formula>
    </cfRule>
  </conditionalFormatting>
  <conditionalFormatting sqref="D1350">
    <cfRule type="containsText" dxfId="1861" priority="3753" operator="containsText" text="Pesquisa de Preços">
      <formula>NOT(ISERROR(SEARCH("Pesquisa de Preços",D1350)))</formula>
    </cfRule>
  </conditionalFormatting>
  <conditionalFormatting sqref="D1509">
    <cfRule type="containsText" dxfId="1860" priority="3681" operator="containsText" text="Pesquisa de Preços">
      <formula>NOT(ISERROR(SEARCH("Pesquisa de Preços",D1509)))</formula>
    </cfRule>
  </conditionalFormatting>
  <conditionalFormatting sqref="D208">
    <cfRule type="containsText" dxfId="1859" priority="3750" operator="containsText" text="Pesquisa de Preços">
      <formula>NOT(ISERROR(SEARCH("Pesquisa de Preços",D208)))</formula>
    </cfRule>
  </conditionalFormatting>
  <conditionalFormatting sqref="D1618">
    <cfRule type="containsText" dxfId="1858" priority="3746" operator="containsText" text="Pesquisa de Preços">
      <formula>NOT(ISERROR(SEARCH("Pesquisa de Preços",D1618)))</formula>
    </cfRule>
  </conditionalFormatting>
  <conditionalFormatting sqref="D1611">
    <cfRule type="containsText" dxfId="1857" priority="3742" operator="containsText" text="Pesquisa de Preços">
      <formula>NOT(ISERROR(SEARCH("Pesquisa de Preços",D1611)))</formula>
    </cfRule>
  </conditionalFormatting>
  <conditionalFormatting sqref="D1674">
    <cfRule type="containsText" dxfId="1856" priority="3740" operator="containsText" text="Pesquisa de Preços">
      <formula>NOT(ISERROR(SEARCH("Pesquisa de Preços",D1674)))</formula>
    </cfRule>
  </conditionalFormatting>
  <conditionalFormatting sqref="D1613">
    <cfRule type="containsText" dxfId="1855" priority="3738" operator="containsText" text="Pesquisa de Preços">
      <formula>NOT(ISERROR(SEARCH("Pesquisa de Preços",D1613)))</formula>
    </cfRule>
  </conditionalFormatting>
  <conditionalFormatting sqref="D142">
    <cfRule type="containsText" dxfId="1854" priority="3737" operator="containsText" text="Pesquisa de Preços">
      <formula>NOT(ISERROR(SEARCH("Pesquisa de Preços",D142)))</formula>
    </cfRule>
  </conditionalFormatting>
  <conditionalFormatting sqref="D802">
    <cfRule type="containsText" dxfId="1853" priority="3736" operator="containsText" text="Pesquisa de Preços">
      <formula>NOT(ISERROR(SEARCH("Pesquisa de Preços",D802)))</formula>
    </cfRule>
  </conditionalFormatting>
  <conditionalFormatting sqref="D1001">
    <cfRule type="containsText" dxfId="1852" priority="3735" operator="containsText" text="Pesquisa de Preços">
      <formula>NOT(ISERROR(SEARCH("Pesquisa de Preços",D1001)))</formula>
    </cfRule>
  </conditionalFormatting>
  <conditionalFormatting sqref="D1006">
    <cfRule type="containsText" dxfId="1851" priority="3734" operator="containsText" text="Pesquisa de Preços">
      <formula>NOT(ISERROR(SEARCH("Pesquisa de Preços",D1006)))</formula>
    </cfRule>
  </conditionalFormatting>
  <conditionalFormatting sqref="D89">
    <cfRule type="containsText" dxfId="1850" priority="3733" operator="containsText" text="Pesquisa de Preços">
      <formula>NOT(ISERROR(SEARCH("Pesquisa de Preços",D89)))</formula>
    </cfRule>
  </conditionalFormatting>
  <conditionalFormatting sqref="D90">
    <cfRule type="containsText" dxfId="1849" priority="3732" operator="containsText" text="Pesquisa de Preços">
      <formula>NOT(ISERROR(SEARCH("Pesquisa de Preços",D90)))</formula>
    </cfRule>
  </conditionalFormatting>
  <conditionalFormatting sqref="D1457">
    <cfRule type="containsText" dxfId="1848" priority="3680" operator="containsText" text="Pesquisa de Preços">
      <formula>NOT(ISERROR(SEARCH("Pesquisa de Preços",D1457)))</formula>
    </cfRule>
  </conditionalFormatting>
  <conditionalFormatting sqref="D113">
    <cfRule type="containsText" dxfId="1847" priority="3731" operator="containsText" text="Pesquisa de Preços">
      <formula>NOT(ISERROR(SEARCH("Pesquisa de Preços",D113)))</formula>
    </cfRule>
  </conditionalFormatting>
  <conditionalFormatting sqref="D114">
    <cfRule type="containsText" dxfId="1846" priority="3730" operator="containsText" text="Pesquisa de Preços">
      <formula>NOT(ISERROR(SEARCH("Pesquisa de Preços",D114)))</formula>
    </cfRule>
  </conditionalFormatting>
  <conditionalFormatting sqref="D1480">
    <cfRule type="containsText" dxfId="1845" priority="3679" operator="containsText" text="Pesquisa de Preços">
      <formula>NOT(ISERROR(SEARCH("Pesquisa de Preços",D1480)))</formula>
    </cfRule>
  </conditionalFormatting>
  <conditionalFormatting sqref="D1692:D1693">
    <cfRule type="containsText" dxfId="1844" priority="3729" operator="containsText" text="Pesquisa de Preços">
      <formula>NOT(ISERROR(SEARCH("Pesquisa de Preços",D1692)))</formula>
    </cfRule>
  </conditionalFormatting>
  <conditionalFormatting sqref="D1658">
    <cfRule type="containsText" dxfId="1843" priority="3728" operator="containsText" text="Pesquisa de Preços">
      <formula>NOT(ISERROR(SEARCH("Pesquisa de Preços",D1658)))</formula>
    </cfRule>
  </conditionalFormatting>
  <conditionalFormatting sqref="D1741">
    <cfRule type="containsText" dxfId="1842" priority="3727" operator="containsText" text="Pesquisa de Preços">
      <formula>NOT(ISERROR(SEARCH("Pesquisa de Preços",D1741)))</formula>
    </cfRule>
  </conditionalFormatting>
  <conditionalFormatting sqref="D1720">
    <cfRule type="containsText" dxfId="1841" priority="3726" operator="containsText" text="Pesquisa de Preços">
      <formula>NOT(ISERROR(SEARCH("Pesquisa de Preços",D1720)))</formula>
    </cfRule>
  </conditionalFormatting>
  <conditionalFormatting sqref="D1705">
    <cfRule type="containsText" dxfId="1840" priority="3724" operator="containsText" text="Pesquisa de Preços">
      <formula>NOT(ISERROR(SEARCH("Pesquisa de Preços",D1705)))</formula>
    </cfRule>
  </conditionalFormatting>
  <conditionalFormatting sqref="D1706">
    <cfRule type="containsText" dxfId="1839" priority="3723" operator="containsText" text="Pesquisa de Preços">
      <formula>NOT(ISERROR(SEARCH("Pesquisa de Preços",D1706)))</formula>
    </cfRule>
  </conditionalFormatting>
  <conditionalFormatting sqref="D1823">
    <cfRule type="containsText" dxfId="1838" priority="3722" operator="containsText" text="Pesquisa de Preços">
      <formula>NOT(ISERROR(SEARCH("Pesquisa de Preços",D1823)))</formula>
    </cfRule>
  </conditionalFormatting>
  <conditionalFormatting sqref="D1830">
    <cfRule type="containsText" dxfId="1837" priority="3721" operator="containsText" text="Pesquisa de Preços">
      <formula>NOT(ISERROR(SEARCH("Pesquisa de Preços",D1830)))</formula>
    </cfRule>
  </conditionalFormatting>
  <conditionalFormatting sqref="D1829">
    <cfRule type="containsText" dxfId="1836" priority="3720" operator="containsText" text="Pesquisa de Preços">
      <formula>NOT(ISERROR(SEARCH("Pesquisa de Preços",D1829)))</formula>
    </cfRule>
  </conditionalFormatting>
  <conditionalFormatting sqref="D1837">
    <cfRule type="containsText" dxfId="1835" priority="3719" operator="containsText" text="Pesquisa de Preços">
      <formula>NOT(ISERROR(SEARCH("Pesquisa de Preços",D1837)))</formula>
    </cfRule>
  </conditionalFormatting>
  <conditionalFormatting sqref="D1836">
    <cfRule type="containsText" dxfId="1834" priority="3718" operator="containsText" text="Pesquisa de Preços">
      <formula>NOT(ISERROR(SEARCH("Pesquisa de Preços",D1836)))</formula>
    </cfRule>
  </conditionalFormatting>
  <conditionalFormatting sqref="D1919">
    <cfRule type="containsText" dxfId="1833" priority="3716" operator="containsText" text="Pesquisa de Preços">
      <formula>NOT(ISERROR(SEARCH("Pesquisa de Preços",D1919)))</formula>
    </cfRule>
  </conditionalFormatting>
  <conditionalFormatting sqref="D841">
    <cfRule type="containsText" dxfId="1832" priority="3715" operator="containsText" text="Pesquisa de Preços">
      <formula>NOT(ISERROR(SEARCH("Pesquisa de Preços",D841)))</formula>
    </cfRule>
  </conditionalFormatting>
  <conditionalFormatting sqref="D2383">
    <cfRule type="containsText" dxfId="1831" priority="3713" operator="containsText" text="Pesquisa de Preços">
      <formula>NOT(ISERROR(SEARCH("Pesquisa de Preços",D2383)))</formula>
    </cfRule>
  </conditionalFormatting>
  <conditionalFormatting sqref="D2382">
    <cfRule type="containsText" dxfId="1830" priority="3712" operator="containsText" text="Pesquisa de Preços">
      <formula>NOT(ISERROR(SEARCH("Pesquisa de Preços",D2382)))</formula>
    </cfRule>
  </conditionalFormatting>
  <conditionalFormatting sqref="D2253">
    <cfRule type="containsText" dxfId="1829" priority="3711" operator="containsText" text="Pesquisa de Preços">
      <formula>NOT(ISERROR(SEARCH("Pesquisa de Preços",D2253)))</formula>
    </cfRule>
  </conditionalFormatting>
  <conditionalFormatting sqref="D2252">
    <cfRule type="containsText" dxfId="1828" priority="3710" operator="containsText" text="Pesquisa de Preços">
      <formula>NOT(ISERROR(SEARCH("Pesquisa de Preços",D2252)))</formula>
    </cfRule>
  </conditionalFormatting>
  <conditionalFormatting sqref="D2375">
    <cfRule type="containsText" dxfId="1827" priority="3709" operator="containsText" text="Pesquisa de Preços">
      <formula>NOT(ISERROR(SEARCH("Pesquisa de Preços",D2375)))</formula>
    </cfRule>
  </conditionalFormatting>
  <conditionalFormatting sqref="D2376">
    <cfRule type="containsText" dxfId="1826" priority="3708" operator="containsText" text="Pesquisa de Preços">
      <formula>NOT(ISERROR(SEARCH("Pesquisa de Preços",D2376)))</formula>
    </cfRule>
  </conditionalFormatting>
  <conditionalFormatting sqref="D133">
    <cfRule type="containsText" dxfId="1825" priority="3707" operator="containsText" text="Pesquisa de Preços">
      <formula>NOT(ISERROR(SEARCH("Pesquisa de Preços",D133)))</formula>
    </cfRule>
  </conditionalFormatting>
  <conditionalFormatting sqref="D1640">
    <cfRule type="containsText" dxfId="1824" priority="3706" operator="containsText" text="Pesquisa de Preços">
      <formula>NOT(ISERROR(SEARCH("Pesquisa de Preços",D1640)))</formula>
    </cfRule>
  </conditionalFormatting>
  <conditionalFormatting sqref="D1641">
    <cfRule type="containsText" dxfId="1823" priority="3705" operator="containsText" text="Pesquisa de Preços">
      <formula>NOT(ISERROR(SEARCH("Pesquisa de Preços",D1641)))</formula>
    </cfRule>
  </conditionalFormatting>
  <conditionalFormatting sqref="D1957">
    <cfRule type="containsText" dxfId="1822" priority="3678" operator="containsText" text="Pesquisa de Preços">
      <formula>NOT(ISERROR(SEARCH("Pesquisa de Preços",D1957)))</formula>
    </cfRule>
  </conditionalFormatting>
  <conditionalFormatting sqref="D80">
    <cfRule type="containsText" dxfId="1821" priority="3704" operator="containsText" text="Pesquisa de Preços">
      <formula>NOT(ISERROR(SEARCH("Pesquisa de Preços",D80)))</formula>
    </cfRule>
  </conditionalFormatting>
  <conditionalFormatting sqref="D1131">
    <cfRule type="containsText" dxfId="1820" priority="3703" operator="containsText" text="Pesquisa de Preços">
      <formula>NOT(ISERROR(SEARCH("Pesquisa de Preços",D1131)))</formula>
    </cfRule>
  </conditionalFormatting>
  <conditionalFormatting sqref="D403:D413">
    <cfRule type="containsText" dxfId="1819" priority="3702" operator="containsText" text="Pesquisa de Preços">
      <formula>NOT(ISERROR(SEARCH("Pesquisa de Preços",D403)))</formula>
    </cfRule>
  </conditionalFormatting>
  <conditionalFormatting sqref="D417">
    <cfRule type="containsText" dxfId="1818" priority="3701" operator="containsText" text="Pesquisa de Preços">
      <formula>NOT(ISERROR(SEARCH("Pesquisa de Preços",D417)))</formula>
    </cfRule>
  </conditionalFormatting>
  <conditionalFormatting sqref="D418">
    <cfRule type="containsText" dxfId="1817" priority="3700" operator="containsText" text="Pesquisa de Preços">
      <formula>NOT(ISERROR(SEARCH("Pesquisa de Preços",D418)))</formula>
    </cfRule>
  </conditionalFormatting>
  <conditionalFormatting sqref="D417">
    <cfRule type="containsText" dxfId="1816" priority="3699" operator="containsText" text="Pesquisa de Preços">
      <formula>NOT(ISERROR(SEARCH("Pesquisa de Preços",D417)))</formula>
    </cfRule>
  </conditionalFormatting>
  <conditionalFormatting sqref="D418">
    <cfRule type="containsText" dxfId="1815" priority="3698" operator="containsText" text="Pesquisa de Preços">
      <formula>NOT(ISERROR(SEARCH("Pesquisa de Preços",D418)))</formula>
    </cfRule>
  </conditionalFormatting>
  <conditionalFormatting sqref="D419:D420">
    <cfRule type="containsText" dxfId="1814" priority="3697" operator="containsText" text="Pesquisa de Preços">
      <formula>NOT(ISERROR(SEARCH("Pesquisa de Preços",D419)))</formula>
    </cfRule>
  </conditionalFormatting>
  <conditionalFormatting sqref="D195">
    <cfRule type="containsText" dxfId="1813" priority="3696" operator="containsText" text="Pesquisa de Preços">
      <formula>NOT(ISERROR(SEARCH("Pesquisa de Preços",D195)))</formula>
    </cfRule>
  </conditionalFormatting>
  <conditionalFormatting sqref="D834:D838">
    <cfRule type="containsText" dxfId="1812" priority="3695" operator="containsText" text="Pesquisa de Preços">
      <formula>NOT(ISERROR(SEARCH("Pesquisa de Preços",D834)))</formula>
    </cfRule>
  </conditionalFormatting>
  <conditionalFormatting sqref="D834:D838">
    <cfRule type="containsText" dxfId="1811" priority="3694" operator="containsText" text="Pesquisa de Preços">
      <formula>NOT(ISERROR(SEARCH("Pesquisa de Preços",D834)))</formula>
    </cfRule>
  </conditionalFormatting>
  <conditionalFormatting sqref="D1929">
    <cfRule type="containsText" dxfId="1810" priority="3693" operator="containsText" text="Pesquisa de Preços">
      <formula>NOT(ISERROR(SEARCH("Pesquisa de Preços",D1929)))</formula>
    </cfRule>
  </conditionalFormatting>
  <conditionalFormatting sqref="D1930">
    <cfRule type="containsText" dxfId="1809" priority="3692" operator="containsText" text="Pesquisa de Preços">
      <formula>NOT(ISERROR(SEARCH("Pesquisa de Preços",D1930)))</formula>
    </cfRule>
  </conditionalFormatting>
  <conditionalFormatting sqref="D812">
    <cfRule type="containsText" dxfId="1808" priority="3691" operator="containsText" text="Pesquisa de Preços">
      <formula>NOT(ISERROR(SEARCH("Pesquisa de Preços",D812)))</formula>
    </cfRule>
  </conditionalFormatting>
  <conditionalFormatting sqref="D769">
    <cfRule type="containsText" dxfId="1807" priority="3690" operator="containsText" text="Pesquisa de Preços">
      <formula>NOT(ISERROR(SEARCH("Pesquisa de Preços",D769)))</formula>
    </cfRule>
  </conditionalFormatting>
  <conditionalFormatting sqref="D768">
    <cfRule type="containsText" dxfId="1806" priority="3689" operator="containsText" text="Pesquisa de Preços">
      <formula>NOT(ISERROR(SEARCH("Pesquisa de Preços",D768)))</formula>
    </cfRule>
  </conditionalFormatting>
  <conditionalFormatting sqref="D852">
    <cfRule type="containsText" dxfId="1805" priority="3688" operator="containsText" text="Pesquisa de Preços">
      <formula>NOT(ISERROR(SEARCH("Pesquisa de Preços",D852)))</formula>
    </cfRule>
  </conditionalFormatting>
  <conditionalFormatting sqref="D869">
    <cfRule type="containsText" dxfId="1804" priority="3687" operator="containsText" text="Pesquisa de Preços">
      <formula>NOT(ISERROR(SEARCH("Pesquisa de Preços",D869)))</formula>
    </cfRule>
  </conditionalFormatting>
  <conditionalFormatting sqref="D871:D872">
    <cfRule type="containsText" dxfId="1803" priority="3686" operator="containsText" text="Pesquisa de Preços">
      <formula>NOT(ISERROR(SEARCH("Pesquisa de Preços",D871)))</formula>
    </cfRule>
  </conditionalFormatting>
  <conditionalFormatting sqref="D847">
    <cfRule type="containsText" dxfId="1802" priority="3685" operator="containsText" text="Pesquisa de Preços">
      <formula>NOT(ISERROR(SEARCH("Pesquisa de Preços",D847)))</formula>
    </cfRule>
  </conditionalFormatting>
  <conditionalFormatting sqref="G2902">
    <cfRule type="notContainsText" dxfId="1801" priority="3677" operator="notContains" text="Sinapi">
      <formula>ISERROR(SEARCH("Sinapi",G2902))</formula>
    </cfRule>
  </conditionalFormatting>
  <conditionalFormatting sqref="G2907">
    <cfRule type="notContainsText" dxfId="1800" priority="3676" operator="notContains" text="Sinapi">
      <formula>ISERROR(SEARCH("Sinapi",G2907))</formula>
    </cfRule>
  </conditionalFormatting>
  <conditionalFormatting sqref="G2912">
    <cfRule type="notContainsText" dxfId="1799" priority="3675" operator="notContains" text="Sinapi">
      <formula>ISERROR(SEARCH("Sinapi",G2912))</formula>
    </cfRule>
  </conditionalFormatting>
  <conditionalFormatting sqref="G2917">
    <cfRule type="notContainsText" dxfId="1798" priority="3674" operator="notContains" text="Sinapi">
      <formula>ISERROR(SEARCH("Sinapi",G2917))</formula>
    </cfRule>
  </conditionalFormatting>
  <conditionalFormatting sqref="G2922">
    <cfRule type="notContainsText" dxfId="1797" priority="3673" operator="notContains" text="Sinapi">
      <formula>ISERROR(SEARCH("Sinapi",G2922))</formula>
    </cfRule>
  </conditionalFormatting>
  <conditionalFormatting sqref="G2927">
    <cfRule type="notContainsText" dxfId="1796" priority="3672" operator="notContains" text="Sinapi">
      <formula>ISERROR(SEARCH("Sinapi",G2927))</formula>
    </cfRule>
  </conditionalFormatting>
  <conditionalFormatting sqref="G2932">
    <cfRule type="notContainsText" dxfId="1795" priority="3671" operator="notContains" text="Sinapi">
      <formula>ISERROR(SEARCH("Sinapi",G2932))</formula>
    </cfRule>
  </conditionalFormatting>
  <conditionalFormatting sqref="G2937">
    <cfRule type="notContainsText" dxfId="1794" priority="3670" operator="notContains" text="Sinapi">
      <formula>ISERROR(SEARCH("Sinapi",G2937))</formula>
    </cfRule>
  </conditionalFormatting>
  <conditionalFormatting sqref="G2957">
    <cfRule type="notContainsText" dxfId="1793" priority="3668" operator="notContains" text="Sinapi">
      <formula>ISERROR(SEARCH("Sinapi",G2957))</formula>
    </cfRule>
  </conditionalFormatting>
  <conditionalFormatting sqref="G2952">
    <cfRule type="notContainsText" dxfId="1792" priority="3669" operator="notContains" text="Sinapi">
      <formula>ISERROR(SEARCH("Sinapi",G2952))</formula>
    </cfRule>
  </conditionalFormatting>
  <conditionalFormatting sqref="G2962">
    <cfRule type="notContainsText" dxfId="1791" priority="3667" operator="notContains" text="Sinapi">
      <formula>ISERROR(SEARCH("Sinapi",G2962))</formula>
    </cfRule>
  </conditionalFormatting>
  <conditionalFormatting sqref="G2967">
    <cfRule type="notContainsText" dxfId="1790" priority="3666" operator="notContains" text="Sinapi">
      <formula>ISERROR(SEARCH("Sinapi",G2967))</formula>
    </cfRule>
  </conditionalFormatting>
  <conditionalFormatting sqref="G2972">
    <cfRule type="notContainsText" dxfId="1789" priority="3665" operator="notContains" text="Sinapi">
      <formula>ISERROR(SEARCH("Sinapi",G2972))</formula>
    </cfRule>
  </conditionalFormatting>
  <conditionalFormatting sqref="G2977">
    <cfRule type="notContainsText" dxfId="1788" priority="3664" operator="notContains" text="Sinapi">
      <formula>ISERROR(SEARCH("Sinapi",G2977))</formula>
    </cfRule>
  </conditionalFormatting>
  <conditionalFormatting sqref="G2982">
    <cfRule type="notContainsText" dxfId="1787" priority="3663" operator="notContains" text="Sinapi">
      <formula>ISERROR(SEARCH("Sinapi",G2982))</formula>
    </cfRule>
  </conditionalFormatting>
  <conditionalFormatting sqref="G2987">
    <cfRule type="notContainsText" dxfId="1786" priority="3662" operator="notContains" text="Sinapi">
      <formula>ISERROR(SEARCH("Sinapi",G2987))</formula>
    </cfRule>
  </conditionalFormatting>
  <conditionalFormatting sqref="G2992">
    <cfRule type="notContainsText" dxfId="1785" priority="3661" operator="notContains" text="Sinapi">
      <formula>ISERROR(SEARCH("Sinapi",G2992))</formula>
    </cfRule>
  </conditionalFormatting>
  <conditionalFormatting sqref="G3005">
    <cfRule type="notContainsText" dxfId="1784" priority="3660" operator="notContains" text="Sinapi">
      <formula>ISERROR(SEARCH("Sinapi",G3005))</formula>
    </cfRule>
  </conditionalFormatting>
  <conditionalFormatting sqref="G3030">
    <cfRule type="notContainsText" dxfId="1783" priority="3659" operator="notContains" text="Sinapi">
      <formula>ISERROR(SEARCH("Sinapi",G3030))</formula>
    </cfRule>
  </conditionalFormatting>
  <conditionalFormatting sqref="G3043">
    <cfRule type="notContainsText" dxfId="1782" priority="3658" operator="notContains" text="Sinapi">
      <formula>ISERROR(SEARCH("Sinapi",G3043))</formula>
    </cfRule>
  </conditionalFormatting>
  <conditionalFormatting sqref="G3048">
    <cfRule type="notContainsText" dxfId="1781" priority="3657" operator="notContains" text="Sinapi">
      <formula>ISERROR(SEARCH("Sinapi",G3048))</formula>
    </cfRule>
  </conditionalFormatting>
  <conditionalFormatting sqref="G3053">
    <cfRule type="notContainsText" dxfId="1780" priority="3656" operator="notContains" text="Sinapi">
      <formula>ISERROR(SEARCH("Sinapi",G3053))</formula>
    </cfRule>
  </conditionalFormatting>
  <conditionalFormatting sqref="G3058">
    <cfRule type="notContainsText" dxfId="1779" priority="3655" operator="notContains" text="Sinapi">
      <formula>ISERROR(SEARCH("Sinapi",G3058))</formula>
    </cfRule>
  </conditionalFormatting>
  <conditionalFormatting sqref="G3063">
    <cfRule type="notContainsText" dxfId="1778" priority="3654" operator="notContains" text="Sinapi">
      <formula>ISERROR(SEARCH("Sinapi",G3063))</formula>
    </cfRule>
  </conditionalFormatting>
  <conditionalFormatting sqref="G3068">
    <cfRule type="notContainsText" dxfId="1777" priority="3653" operator="notContains" text="Sinapi">
      <formula>ISERROR(SEARCH("Sinapi",G3068))</formula>
    </cfRule>
  </conditionalFormatting>
  <conditionalFormatting sqref="G3073">
    <cfRule type="notContainsText" dxfId="1776" priority="3652" operator="notContains" text="Sinapi">
      <formula>ISERROR(SEARCH("Sinapi",G3073))</formula>
    </cfRule>
  </conditionalFormatting>
  <conditionalFormatting sqref="G3078">
    <cfRule type="notContainsText" dxfId="1775" priority="3651" operator="notContains" text="Sinapi">
      <formula>ISERROR(SEARCH("Sinapi",G3078))</formula>
    </cfRule>
  </conditionalFormatting>
  <conditionalFormatting sqref="G3083">
    <cfRule type="notContainsText" dxfId="1774" priority="3650" operator="notContains" text="Sinapi">
      <formula>ISERROR(SEARCH("Sinapi",G3083))</formula>
    </cfRule>
  </conditionalFormatting>
  <conditionalFormatting sqref="G3123">
    <cfRule type="notContainsText" dxfId="1773" priority="3649" operator="notContains" text="Sinapi">
      <formula>ISERROR(SEARCH("Sinapi",G3123))</formula>
    </cfRule>
  </conditionalFormatting>
  <conditionalFormatting sqref="G3303">
    <cfRule type="notContainsText" dxfId="1772" priority="3648" operator="notContains" text="Sinapi">
      <formula>ISERROR(SEARCH("Sinapi",G3303))</formula>
    </cfRule>
  </conditionalFormatting>
  <conditionalFormatting sqref="G3322">
    <cfRule type="notContainsText" dxfId="1771" priority="3647" operator="notContains" text="Sinapi">
      <formula>ISERROR(SEARCH("Sinapi",G3322))</formula>
    </cfRule>
  </conditionalFormatting>
  <conditionalFormatting sqref="G3333">
    <cfRule type="notContainsText" dxfId="1770" priority="3646" operator="notContains" text="Sinapi">
      <formula>ISERROR(SEARCH("Sinapi",G3333))</formula>
    </cfRule>
  </conditionalFormatting>
  <conditionalFormatting sqref="G3337">
    <cfRule type="notContainsText" dxfId="1769" priority="3645" operator="notContains" text="Sinapi">
      <formula>ISERROR(SEARCH("Sinapi",G3337))</formula>
    </cfRule>
  </conditionalFormatting>
  <conditionalFormatting sqref="D172:D173">
    <cfRule type="containsText" dxfId="1768" priority="3624" operator="containsText" text="Pesquisa de Preços">
      <formula>NOT(ISERROR(SEARCH("Pesquisa de Preços",D172)))</formula>
    </cfRule>
  </conditionalFormatting>
  <conditionalFormatting sqref="G3018">
    <cfRule type="notContainsText" dxfId="1767" priority="3623" operator="notContains" text="Sinapi">
      <formula>ISERROR(SEARCH("Sinapi",G3018))</formula>
    </cfRule>
  </conditionalFormatting>
  <conditionalFormatting sqref="E18 E3336 E262 E2410">
    <cfRule type="containsText" dxfId="1766" priority="3614" operator="containsText" text="Pesquisa de Preços">
      <formula>NOT(ISERROR(SEARCH("Pesquisa de Preços",E18)))</formula>
    </cfRule>
  </conditionalFormatting>
  <conditionalFormatting sqref="E9">
    <cfRule type="containsText" dxfId="1765" priority="3613" operator="containsText" text="Pesquisa de Preços">
      <formula>NOT(ISERROR(SEARCH("Pesquisa de Preços",E9)))</formula>
    </cfRule>
  </conditionalFormatting>
  <conditionalFormatting sqref="E7">
    <cfRule type="containsText" dxfId="1764" priority="3612" operator="containsText" text="Pesquisa de Preços">
      <formula>NOT(ISERROR(SEARCH("Pesquisa de Preços",E7)))</formula>
    </cfRule>
  </conditionalFormatting>
  <conditionalFormatting sqref="E6">
    <cfRule type="containsText" dxfId="1763" priority="3611" operator="containsText" text="Pesquisa de Preços">
      <formula>NOT(ISERROR(SEARCH("Pesquisa de Preços",E6)))</formula>
    </cfRule>
  </conditionalFormatting>
  <conditionalFormatting sqref="E8">
    <cfRule type="containsText" dxfId="1762" priority="3610" operator="containsText" text="Pesquisa de Preços">
      <formula>NOT(ISERROR(SEARCH("Pesquisa de Preços",E8)))</formula>
    </cfRule>
  </conditionalFormatting>
  <conditionalFormatting sqref="E15">
    <cfRule type="containsText" dxfId="1761" priority="3609" operator="containsText" text="Pesquisa de Preços">
      <formula>NOT(ISERROR(SEARCH("Pesquisa de Preços",E15)))</formula>
    </cfRule>
  </conditionalFormatting>
  <conditionalFormatting sqref="E14">
    <cfRule type="containsText" dxfId="1760" priority="3608" operator="containsText" text="Pesquisa de Preços">
      <formula>NOT(ISERROR(SEARCH("Pesquisa de Preços",E14)))</formula>
    </cfRule>
  </conditionalFormatting>
  <conditionalFormatting sqref="E16">
    <cfRule type="containsText" dxfId="1759" priority="3607" operator="containsText" text="Pesquisa de Preços">
      <formula>NOT(ISERROR(SEARCH("Pesquisa de Preços",E16)))</formula>
    </cfRule>
  </conditionalFormatting>
  <conditionalFormatting sqref="E12">
    <cfRule type="containsText" dxfId="1758" priority="3606" operator="containsText" text="Pesquisa de Preços">
      <formula>NOT(ISERROR(SEARCH("Pesquisa de Preços",E12)))</formula>
    </cfRule>
  </conditionalFormatting>
  <conditionalFormatting sqref="E10">
    <cfRule type="containsText" dxfId="1757" priority="3603" operator="containsText" text="Pesquisa de Preços">
      <formula>NOT(ISERROR(SEARCH("Pesquisa de Preços",E10)))</formula>
    </cfRule>
  </conditionalFormatting>
  <conditionalFormatting sqref="E13">
    <cfRule type="containsText" dxfId="1756" priority="3605" operator="containsText" text="Pesquisa de Preços">
      <formula>NOT(ISERROR(SEARCH("Pesquisa de Preços",E13)))</formula>
    </cfRule>
  </conditionalFormatting>
  <conditionalFormatting sqref="E11">
    <cfRule type="containsText" dxfId="1755" priority="3604" operator="containsText" text="Pesquisa de Preços">
      <formula>NOT(ISERROR(SEARCH("Pesquisa de Preços",E11)))</formula>
    </cfRule>
  </conditionalFormatting>
  <conditionalFormatting sqref="E225">
    <cfRule type="containsText" dxfId="1754" priority="3601" operator="containsText" text="Pesquisa de Preços">
      <formula>NOT(ISERROR(SEARCH("Pesquisa de Preços",E225)))</formula>
    </cfRule>
  </conditionalFormatting>
  <conditionalFormatting sqref="E227">
    <cfRule type="containsText" dxfId="1753" priority="3602" operator="containsText" text="Pesquisa de Preços">
      <formula>NOT(ISERROR(SEARCH("Pesquisa de Preços",E227)))</formula>
    </cfRule>
  </conditionalFormatting>
  <conditionalFormatting sqref="E224">
    <cfRule type="containsText" dxfId="1752" priority="3600" operator="containsText" text="Pesquisa de Preços">
      <formula>NOT(ISERROR(SEARCH("Pesquisa de Preços",E224)))</formula>
    </cfRule>
  </conditionalFormatting>
  <conditionalFormatting sqref="E514">
    <cfRule type="containsText" dxfId="1751" priority="3446" operator="containsText" text="Pesquisa de Preços">
      <formula>NOT(ISERROR(SEARCH("Pesquisa de Preços",E514)))</formula>
    </cfRule>
  </conditionalFormatting>
  <conditionalFormatting sqref="E150">
    <cfRule type="containsText" dxfId="1750" priority="3595" operator="containsText" text="Pesquisa de Preços">
      <formula>NOT(ISERROR(SEARCH("Pesquisa de Preços",E150)))</formula>
    </cfRule>
  </conditionalFormatting>
  <conditionalFormatting sqref="E490:E496">
    <cfRule type="containsText" dxfId="1749" priority="3442" operator="containsText" text="Pesquisa de Preços">
      <formula>NOT(ISERROR(SEARCH("Pesquisa de Preços",E490)))</formula>
    </cfRule>
  </conditionalFormatting>
  <conditionalFormatting sqref="E149">
    <cfRule type="containsText" dxfId="1748" priority="3594" operator="containsText" text="Pesquisa de Preços">
      <formula>NOT(ISERROR(SEARCH("Pesquisa de Preços",E149)))</formula>
    </cfRule>
  </conditionalFormatting>
  <conditionalFormatting sqref="E78">
    <cfRule type="containsText" dxfId="1747" priority="3597" operator="containsText" text="Pesquisa de Preços">
      <formula>NOT(ISERROR(SEARCH("Pesquisa de Preços",E78)))</formula>
    </cfRule>
  </conditionalFormatting>
  <conditionalFormatting sqref="E162">
    <cfRule type="containsText" dxfId="1746" priority="3593" operator="containsText" text="Pesquisa de Preços">
      <formula>NOT(ISERROR(SEARCH("Pesquisa de Preços",E162)))</formula>
    </cfRule>
  </conditionalFormatting>
  <conditionalFormatting sqref="E79">
    <cfRule type="containsText" dxfId="1745" priority="3599" operator="containsText" text="Pesquisa de Preços">
      <formula>NOT(ISERROR(SEARCH("Pesquisa de Preços",E79)))</formula>
    </cfRule>
  </conditionalFormatting>
  <conditionalFormatting sqref="E77">
    <cfRule type="containsText" dxfId="1744" priority="3596" operator="containsText" text="Pesquisa de Preços">
      <formula>NOT(ISERROR(SEARCH("Pesquisa de Preços",E77)))</formula>
    </cfRule>
  </conditionalFormatting>
  <conditionalFormatting sqref="E81">
    <cfRule type="containsText" dxfId="1743" priority="3598" operator="containsText" text="Pesquisa de Preços">
      <formula>NOT(ISERROR(SEARCH("Pesquisa de Preços",E81)))</formula>
    </cfRule>
  </conditionalFormatting>
  <conditionalFormatting sqref="E545">
    <cfRule type="containsText" dxfId="1742" priority="3434" operator="containsText" text="Pesquisa de Preços">
      <formula>NOT(ISERROR(SEARCH("Pesquisa de Preços",E545)))</formula>
    </cfRule>
  </conditionalFormatting>
  <conditionalFormatting sqref="E87">
    <cfRule type="containsText" dxfId="1741" priority="3590" operator="containsText" text="Pesquisa de Preços">
      <formula>NOT(ISERROR(SEARCH("Pesquisa de Preços",E87)))</formula>
    </cfRule>
  </conditionalFormatting>
  <conditionalFormatting sqref="E161">
    <cfRule type="containsText" dxfId="1740" priority="3592" operator="containsText" text="Pesquisa de Preços">
      <formula>NOT(ISERROR(SEARCH("Pesquisa de Preços",E161)))</formula>
    </cfRule>
  </conditionalFormatting>
  <conditionalFormatting sqref="E553">
    <cfRule type="containsText" dxfId="1739" priority="3431" operator="containsText" text="Pesquisa de Preços">
      <formula>NOT(ISERROR(SEARCH("Pesquisa de Preços",E553)))</formula>
    </cfRule>
  </conditionalFormatting>
  <conditionalFormatting sqref="E88">
    <cfRule type="containsText" dxfId="1738" priority="3591" operator="containsText" text="Pesquisa de Preços">
      <formula>NOT(ISERROR(SEARCH("Pesquisa de Preços",E88)))</formula>
    </cfRule>
  </conditionalFormatting>
  <conditionalFormatting sqref="E60">
    <cfRule type="containsText" dxfId="1737" priority="3589" operator="containsText" text="Pesquisa de Preços">
      <formula>NOT(ISERROR(SEARCH("Pesquisa de Preços",E60)))</formula>
    </cfRule>
  </conditionalFormatting>
  <conditionalFormatting sqref="E569">
    <cfRule type="containsText" dxfId="1736" priority="3422" operator="containsText" text="Pesquisa de Preços">
      <formula>NOT(ISERROR(SEARCH("Pesquisa de Preços",E569)))</formula>
    </cfRule>
  </conditionalFormatting>
  <conditionalFormatting sqref="E59">
    <cfRule type="containsText" dxfId="1735" priority="3588" operator="containsText" text="Pesquisa de Preços">
      <formula>NOT(ISERROR(SEARCH("Pesquisa de Preços",E59)))</formula>
    </cfRule>
  </conditionalFormatting>
  <conditionalFormatting sqref="E53">
    <cfRule type="containsText" dxfId="1734" priority="3587" operator="containsText" text="Pesquisa de Preços">
      <formula>NOT(ISERROR(SEARCH("Pesquisa de Preços",E53)))</formula>
    </cfRule>
  </conditionalFormatting>
  <conditionalFormatting sqref="E33">
    <cfRule type="containsText" dxfId="1733" priority="3584" operator="containsText" text="Pesquisa de Preços">
      <formula>NOT(ISERROR(SEARCH("Pesquisa de Preços",E33)))</formula>
    </cfRule>
  </conditionalFormatting>
  <conditionalFormatting sqref="E52">
    <cfRule type="containsText" dxfId="1732" priority="3586" operator="containsText" text="Pesquisa de Preços">
      <formula>NOT(ISERROR(SEARCH("Pesquisa de Preços",E52)))</formula>
    </cfRule>
  </conditionalFormatting>
  <conditionalFormatting sqref="E579">
    <cfRule type="containsText" dxfId="1731" priority="3420" operator="containsText" text="Pesquisa de Preços">
      <formula>NOT(ISERROR(SEARCH("Pesquisa de Preços",E579)))</formula>
    </cfRule>
  </conditionalFormatting>
  <conditionalFormatting sqref="E34:E35">
    <cfRule type="containsText" dxfId="1730" priority="3585" operator="containsText" text="Pesquisa de Preços">
      <formula>NOT(ISERROR(SEARCH("Pesquisa de Preços",E34)))</formula>
    </cfRule>
  </conditionalFormatting>
  <conditionalFormatting sqref="E98:E99">
    <cfRule type="containsText" dxfId="1729" priority="3581" operator="containsText" text="Pesquisa de Preços">
      <formula>NOT(ISERROR(SEARCH("Pesquisa de Preços",E98)))</formula>
    </cfRule>
  </conditionalFormatting>
  <conditionalFormatting sqref="E29">
    <cfRule type="containsText" dxfId="1728" priority="3583" operator="containsText" text="Pesquisa de Preços">
      <formula>NOT(ISERROR(SEARCH("Pesquisa de Preços",E29)))</formula>
    </cfRule>
  </conditionalFormatting>
  <conditionalFormatting sqref="E28">
    <cfRule type="containsText" dxfId="1727" priority="3582" operator="containsText" text="Pesquisa de Preços">
      <formula>NOT(ISERROR(SEARCH("Pesquisa de Preços",E28)))</formula>
    </cfRule>
  </conditionalFormatting>
  <conditionalFormatting sqref="E145:E146">
    <cfRule type="containsText" dxfId="1726" priority="3578" operator="containsText" text="Pesquisa de Preços">
      <formula>NOT(ISERROR(SEARCH("Pesquisa de Preços",E145)))</formula>
    </cfRule>
  </conditionalFormatting>
  <conditionalFormatting sqref="E42">
    <cfRule type="containsText" dxfId="1725" priority="3574" operator="containsText" text="Pesquisa de Preços">
      <formula>NOT(ISERROR(SEARCH("Pesquisa de Preços",E42)))</formula>
    </cfRule>
  </conditionalFormatting>
  <conditionalFormatting sqref="E97">
    <cfRule type="containsText" dxfId="1724" priority="3580" operator="containsText" text="Pesquisa de Preços">
      <formula>NOT(ISERROR(SEARCH("Pesquisa de Preços",E97)))</formula>
    </cfRule>
  </conditionalFormatting>
  <conditionalFormatting sqref="E100">
    <cfRule type="containsText" dxfId="1723" priority="3579" operator="containsText" text="Pesquisa de Preços">
      <formula>NOT(ISERROR(SEARCH("Pesquisa de Preços",E100)))</formula>
    </cfRule>
  </conditionalFormatting>
  <conditionalFormatting sqref="E180">
    <cfRule type="containsText" dxfId="1722" priority="3569" operator="containsText" text="Pesquisa de Preços">
      <formula>NOT(ISERROR(SEARCH("Pesquisa de Preços",E180)))</formula>
    </cfRule>
  </conditionalFormatting>
  <conditionalFormatting sqref="E144">
    <cfRule type="containsText" dxfId="1721" priority="3577" operator="containsText" text="Pesquisa de Preços">
      <formula>NOT(ISERROR(SEARCH("Pesquisa de Preços",E144)))</formula>
    </cfRule>
  </conditionalFormatting>
  <conditionalFormatting sqref="E24">
    <cfRule type="containsText" dxfId="1720" priority="3573" operator="containsText" text="Pesquisa de Preços">
      <formula>NOT(ISERROR(SEARCH("Pesquisa de Preços",E24)))</formula>
    </cfRule>
  </conditionalFormatting>
  <conditionalFormatting sqref="E147">
    <cfRule type="containsText" dxfId="1719" priority="3576" operator="containsText" text="Pesquisa de Preços">
      <formula>NOT(ISERROR(SEARCH("Pesquisa de Preços",E147)))</formula>
    </cfRule>
  </conditionalFormatting>
  <conditionalFormatting sqref="E43">
    <cfRule type="containsText" dxfId="1718" priority="3575" operator="containsText" text="Pesquisa de Preços">
      <formula>NOT(ISERROR(SEARCH("Pesquisa de Preços",E43)))</formula>
    </cfRule>
  </conditionalFormatting>
  <conditionalFormatting sqref="E23">
    <cfRule type="containsText" dxfId="1717" priority="3572" operator="containsText" text="Pesquisa de Preços">
      <formula>NOT(ISERROR(SEARCH("Pesquisa de Preços",E23)))</formula>
    </cfRule>
  </conditionalFormatting>
  <conditionalFormatting sqref="E117">
    <cfRule type="containsText" dxfId="1716" priority="3567" operator="containsText" text="Pesquisa de Preços">
      <formula>NOT(ISERROR(SEARCH("Pesquisa de Preços",E117)))</formula>
    </cfRule>
  </conditionalFormatting>
  <conditionalFormatting sqref="E179">
    <cfRule type="containsText" dxfId="1715" priority="3568" operator="containsText" text="Pesquisa de Preços">
      <formula>NOT(ISERROR(SEARCH("Pesquisa de Preços",E179)))</formula>
    </cfRule>
  </conditionalFormatting>
  <conditionalFormatting sqref="E38:E40">
    <cfRule type="containsText" dxfId="1714" priority="3571" operator="containsText" text="Pesquisa de Preços">
      <formula>NOT(ISERROR(SEARCH("Pesquisa de Preços",E38)))</formula>
    </cfRule>
  </conditionalFormatting>
  <conditionalFormatting sqref="E37">
    <cfRule type="containsText" dxfId="1713" priority="3570" operator="containsText" text="Pesquisa de Preços">
      <formula>NOT(ISERROR(SEARCH("Pesquisa de Preços",E37)))</formula>
    </cfRule>
  </conditionalFormatting>
  <conditionalFormatting sqref="E116">
    <cfRule type="containsText" dxfId="1712" priority="3566" operator="containsText" text="Pesquisa de Preços">
      <formula>NOT(ISERROR(SEARCH("Pesquisa de Preços",E116)))</formula>
    </cfRule>
  </conditionalFormatting>
  <conditionalFormatting sqref="E677">
    <cfRule type="containsText" dxfId="1711" priority="3416" operator="containsText" text="Pesquisa de Preços">
      <formula>NOT(ISERROR(SEARCH("Pesquisa de Preços",E677)))</formula>
    </cfRule>
  </conditionalFormatting>
  <conditionalFormatting sqref="E669">
    <cfRule type="containsText" dxfId="1710" priority="3414" operator="containsText" text="Pesquisa de Preços">
      <formula>NOT(ISERROR(SEARCH("Pesquisa de Preços",E669)))</formula>
    </cfRule>
  </conditionalFormatting>
  <conditionalFormatting sqref="E175">
    <cfRule type="containsText" dxfId="1709" priority="3564" operator="containsText" text="Pesquisa de Preços">
      <formula>NOT(ISERROR(SEARCH("Pesquisa de Preços",E175)))</formula>
    </cfRule>
  </conditionalFormatting>
  <conditionalFormatting sqref="E176:E177">
    <cfRule type="containsText" dxfId="1708" priority="3565" operator="containsText" text="Pesquisa de Preços">
      <formula>NOT(ISERROR(SEARCH("Pesquisa de Preços",E176)))</formula>
    </cfRule>
  </conditionalFormatting>
  <conditionalFormatting sqref="E219">
    <cfRule type="containsText" dxfId="1707" priority="3562" operator="containsText" text="Pesquisa de Preços">
      <formula>NOT(ISERROR(SEARCH("Pesquisa de Preços",E219)))</formula>
    </cfRule>
  </conditionalFormatting>
  <conditionalFormatting sqref="E220:E221">
    <cfRule type="containsText" dxfId="1706" priority="3563" operator="containsText" text="Pesquisa de Preços">
      <formula>NOT(ISERROR(SEARCH("Pesquisa de Preços",E220)))</formula>
    </cfRule>
  </conditionalFormatting>
  <conditionalFormatting sqref="E126">
    <cfRule type="containsText" dxfId="1705" priority="3559" operator="containsText" text="Pesquisa de Preços">
      <formula>NOT(ISERROR(SEARCH("Pesquisa de Preços",E126)))</formula>
    </cfRule>
  </conditionalFormatting>
  <conditionalFormatting sqref="E687:E688 E694:E695">
    <cfRule type="containsText" dxfId="1704" priority="3412" operator="containsText" text="Pesquisa de Preços">
      <formula>NOT(ISERROR(SEARCH("Pesquisa de Preços",E687)))</formula>
    </cfRule>
  </conditionalFormatting>
  <conditionalFormatting sqref="E222">
    <cfRule type="containsText" dxfId="1703" priority="3561" operator="containsText" text="Pesquisa de Preços">
      <formula>NOT(ISERROR(SEARCH("Pesquisa de Preços",E222)))</formula>
    </cfRule>
  </conditionalFormatting>
  <conditionalFormatting sqref="E127">
    <cfRule type="containsText" dxfId="1702" priority="3560" operator="containsText" text="Pesquisa de Preços">
      <formula>NOT(ISERROR(SEARCH("Pesquisa de Preços",E127)))</formula>
    </cfRule>
  </conditionalFormatting>
  <conditionalFormatting sqref="E715">
    <cfRule type="containsText" dxfId="1701" priority="3409" operator="containsText" text="Pesquisa de Preços">
      <formula>NOT(ISERROR(SEARCH("Pesquisa de Preços",E715)))</formula>
    </cfRule>
  </conditionalFormatting>
  <conditionalFormatting sqref="E167:E168">
    <cfRule type="containsText" dxfId="1700" priority="3558" operator="containsText" text="Pesquisa de Preços">
      <formula>NOT(ISERROR(SEARCH("Pesquisa de Preços",E167)))</formula>
    </cfRule>
  </conditionalFormatting>
  <conditionalFormatting sqref="E166">
    <cfRule type="containsText" dxfId="1699" priority="3557" operator="containsText" text="Pesquisa de Preços">
      <formula>NOT(ISERROR(SEARCH("Pesquisa de Preços",E166)))</formula>
    </cfRule>
  </conditionalFormatting>
  <conditionalFormatting sqref="E731">
    <cfRule type="containsText" dxfId="1698" priority="3407" operator="containsText" text="Pesquisa de Preços">
      <formula>NOT(ISERROR(SEARCH("Pesquisa de Preços",E731)))</formula>
    </cfRule>
  </conditionalFormatting>
  <conditionalFormatting sqref="E169">
    <cfRule type="containsText" dxfId="1697" priority="3556" operator="containsText" text="Pesquisa de Preços">
      <formula>NOT(ISERROR(SEARCH("Pesquisa de Preços",E169)))</formula>
    </cfRule>
  </conditionalFormatting>
  <conditionalFormatting sqref="E83">
    <cfRule type="containsText" dxfId="1696" priority="3555" operator="containsText" text="Pesquisa de Preços">
      <formula>NOT(ISERROR(SEARCH("Pesquisa de Preços",E83)))</formula>
    </cfRule>
  </conditionalFormatting>
  <conditionalFormatting sqref="E82">
    <cfRule type="containsText" dxfId="1695" priority="3554" operator="containsText" text="Pesquisa de Preços">
      <formula>NOT(ISERROR(SEARCH("Pesquisa de Preços",E82)))</formula>
    </cfRule>
  </conditionalFormatting>
  <conditionalFormatting sqref="E112">
    <cfRule type="containsText" dxfId="1694" priority="3553" operator="containsText" text="Pesquisa de Preços">
      <formula>NOT(ISERROR(SEARCH("Pesquisa de Preços",E112)))</formula>
    </cfRule>
  </conditionalFormatting>
  <conditionalFormatting sqref="E211:E212">
    <cfRule type="containsText" dxfId="1693" priority="3551" operator="containsText" text="Pesquisa de Preços">
      <formula>NOT(ISERROR(SEARCH("Pesquisa de Preços",E211)))</formula>
    </cfRule>
  </conditionalFormatting>
  <conditionalFormatting sqref="E111">
    <cfRule type="containsText" dxfId="1692" priority="3552" operator="containsText" text="Pesquisa de Preços">
      <formula>NOT(ISERROR(SEARCH("Pesquisa de Preços",E111)))</formula>
    </cfRule>
  </conditionalFormatting>
  <conditionalFormatting sqref="E201">
    <cfRule type="containsText" dxfId="1691" priority="3548" operator="containsText" text="Pesquisa de Preços">
      <formula>NOT(ISERROR(SEARCH("Pesquisa de Preços",E201)))</formula>
    </cfRule>
  </conditionalFormatting>
  <conditionalFormatting sqref="E210">
    <cfRule type="containsText" dxfId="1690" priority="3550" operator="containsText" text="Pesquisa de Preços">
      <formula>NOT(ISERROR(SEARCH("Pesquisa de Preços",E210)))</formula>
    </cfRule>
  </conditionalFormatting>
  <conditionalFormatting sqref="E202">
    <cfRule type="containsText" dxfId="1689" priority="3549" operator="containsText" text="Pesquisa de Preços">
      <formula>NOT(ISERROR(SEARCH("Pesquisa de Preços",E202)))</formula>
    </cfRule>
  </conditionalFormatting>
  <conditionalFormatting sqref="E198:E199">
    <cfRule type="containsText" dxfId="1688" priority="3546" operator="containsText" text="Pesquisa de Preços">
      <formula>NOT(ISERROR(SEARCH("Pesquisa de Preços",E198)))</formula>
    </cfRule>
  </conditionalFormatting>
  <conditionalFormatting sqref="E203:E204">
    <cfRule type="containsText" dxfId="1687" priority="3547" operator="containsText" text="Pesquisa de Preços">
      <formula>NOT(ISERROR(SEARCH("Pesquisa de Preços",E203)))</formula>
    </cfRule>
  </conditionalFormatting>
  <conditionalFormatting sqref="E197">
    <cfRule type="containsText" dxfId="1686" priority="3545" operator="containsText" text="Pesquisa de Preços">
      <formula>NOT(ISERROR(SEARCH("Pesquisa de Preços",E197)))</formula>
    </cfRule>
  </conditionalFormatting>
  <conditionalFormatting sqref="E70:E71 E75:E76">
    <cfRule type="containsText" dxfId="1685" priority="3544" operator="containsText" text="Pesquisa de Preços">
      <formula>NOT(ISERROR(SEARCH("Pesquisa de Preços",E70)))</formula>
    </cfRule>
  </conditionalFormatting>
  <conditionalFormatting sqref="E69">
    <cfRule type="containsText" dxfId="1684" priority="3543" operator="containsText" text="Pesquisa de Preços">
      <formula>NOT(ISERROR(SEARCH("Pesquisa de Preços",E69)))</formula>
    </cfRule>
  </conditionalFormatting>
  <conditionalFormatting sqref="E72:E74">
    <cfRule type="containsText" dxfId="1683" priority="3542" operator="containsText" text="Pesquisa de Preços">
      <formula>NOT(ISERROR(SEARCH("Pesquisa de Preços",E72)))</formula>
    </cfRule>
  </conditionalFormatting>
  <conditionalFormatting sqref="E136:E137">
    <cfRule type="containsText" dxfId="1682" priority="3541" operator="containsText" text="Pesquisa de Preços">
      <formula>NOT(ISERROR(SEARCH("Pesquisa de Preços",E136)))</formula>
    </cfRule>
  </conditionalFormatting>
  <conditionalFormatting sqref="E135">
    <cfRule type="containsText" dxfId="1681" priority="3540" operator="containsText" text="Pesquisa de Preços">
      <formula>NOT(ISERROR(SEARCH("Pesquisa de Preços",E135)))</formula>
    </cfRule>
  </conditionalFormatting>
  <conditionalFormatting sqref="E140:E141">
    <cfRule type="containsText" dxfId="1680" priority="3539" operator="containsText" text="Pesquisa de Preços">
      <formula>NOT(ISERROR(SEARCH("Pesquisa de Preços",E140)))</formula>
    </cfRule>
  </conditionalFormatting>
  <conditionalFormatting sqref="E139">
    <cfRule type="containsText" dxfId="1679" priority="3538" operator="containsText" text="Pesquisa de Preços">
      <formula>NOT(ISERROR(SEARCH("Pesquisa de Preços",E139)))</formula>
    </cfRule>
  </conditionalFormatting>
  <conditionalFormatting sqref="E791 E793:E802">
    <cfRule type="containsText" dxfId="1678" priority="3401" operator="containsText" text="Pesquisa de Preços">
      <formula>NOT(ISERROR(SEARCH("Pesquisa de Preços",E791)))</formula>
    </cfRule>
  </conditionalFormatting>
  <conditionalFormatting sqref="E155:E157">
    <cfRule type="containsText" dxfId="1677" priority="3537" operator="containsText" text="Pesquisa de Preços">
      <formula>NOT(ISERROR(SEARCH("Pesquisa de Preços",E155)))</formula>
    </cfRule>
  </conditionalFormatting>
  <conditionalFormatting sqref="E154">
    <cfRule type="containsText" dxfId="1676" priority="3536" operator="containsText" text="Pesquisa de Preços">
      <formula>NOT(ISERROR(SEARCH("Pesquisa de Preços",E154)))</formula>
    </cfRule>
  </conditionalFormatting>
  <conditionalFormatting sqref="E833">
    <cfRule type="containsText" dxfId="1675" priority="3399" operator="containsText" text="Pesquisa de Preços">
      <formula>NOT(ISERROR(SEARCH("Pesquisa de Preços",E833)))</formula>
    </cfRule>
  </conditionalFormatting>
  <conditionalFormatting sqref="E93">
    <cfRule type="containsText" dxfId="1674" priority="3535" operator="containsText" text="Pesquisa de Preços">
      <formula>NOT(ISERROR(SEARCH("Pesquisa de Preços",E93)))</formula>
    </cfRule>
  </conditionalFormatting>
  <conditionalFormatting sqref="E92">
    <cfRule type="containsText" dxfId="1673" priority="3534" operator="containsText" text="Pesquisa de Preços">
      <formula>NOT(ISERROR(SEARCH("Pesquisa de Preços",E92)))</formula>
    </cfRule>
  </conditionalFormatting>
  <conditionalFormatting sqref="E815:E816">
    <cfRule type="containsText" dxfId="1672" priority="3397" operator="containsText" text="Pesquisa de Preços">
      <formula>NOT(ISERROR(SEARCH("Pesquisa de Preços",E815)))</formula>
    </cfRule>
  </conditionalFormatting>
  <conditionalFormatting sqref="E48:E49">
    <cfRule type="containsText" dxfId="1671" priority="3533" operator="containsText" text="Pesquisa de Preços">
      <formula>NOT(ISERROR(SEARCH("Pesquisa de Preços",E48)))</formula>
    </cfRule>
  </conditionalFormatting>
  <conditionalFormatting sqref="E47">
    <cfRule type="containsText" dxfId="1670" priority="3532" operator="containsText" text="Pesquisa de Preços">
      <formula>NOT(ISERROR(SEARCH("Pesquisa de Preços",E47)))</formula>
    </cfRule>
  </conditionalFormatting>
  <conditionalFormatting sqref="E50">
    <cfRule type="containsText" dxfId="1669" priority="3531" operator="containsText" text="Pesquisa de Preços">
      <formula>NOT(ISERROR(SEARCH("Pesquisa de Preços",E50)))</formula>
    </cfRule>
  </conditionalFormatting>
  <conditionalFormatting sqref="E191:E192">
    <cfRule type="containsText" dxfId="1668" priority="3530" operator="containsText" text="Pesquisa de Preços">
      <formula>NOT(ISERROR(SEARCH("Pesquisa de Preços",E191)))</formula>
    </cfRule>
  </conditionalFormatting>
  <conditionalFormatting sqref="E190">
    <cfRule type="containsText" dxfId="1667" priority="3529" operator="containsText" text="Pesquisa de Preços">
      <formula>NOT(ISERROR(SEARCH("Pesquisa de Preços",E190)))</formula>
    </cfRule>
  </conditionalFormatting>
  <conditionalFormatting sqref="E749:E750 E753:E754">
    <cfRule type="containsText" dxfId="1666" priority="3395" operator="containsText" text="Pesquisa de Preços">
      <formula>NOT(ISERROR(SEARCH("Pesquisa de Preços",E749)))</formula>
    </cfRule>
  </conditionalFormatting>
  <conditionalFormatting sqref="E193">
    <cfRule type="containsText" dxfId="1665" priority="3528" operator="containsText" text="Pesquisa de Preços">
      <formula>NOT(ISERROR(SEARCH("Pesquisa de Preços",E193)))</formula>
    </cfRule>
  </conditionalFormatting>
  <conditionalFormatting sqref="E215:E216">
    <cfRule type="containsText" dxfId="1664" priority="3527" operator="containsText" text="Pesquisa de Preços">
      <formula>NOT(ISERROR(SEARCH("Pesquisa de Preços",E215)))</formula>
    </cfRule>
  </conditionalFormatting>
  <conditionalFormatting sqref="E214">
    <cfRule type="containsText" dxfId="1663" priority="3526" operator="containsText" text="Pesquisa de Preços">
      <formula>NOT(ISERROR(SEARCH("Pesquisa de Preços",E214)))</formula>
    </cfRule>
  </conditionalFormatting>
  <conditionalFormatting sqref="E217">
    <cfRule type="containsText" dxfId="1662" priority="3525" operator="containsText" text="Pesquisa de Preços">
      <formula>NOT(ISERROR(SEARCH("Pesquisa de Preços",E217)))</formula>
    </cfRule>
  </conditionalFormatting>
  <conditionalFormatting sqref="E122:E123">
    <cfRule type="containsText" dxfId="1661" priority="3524" operator="containsText" text="Pesquisa de Preços">
      <formula>NOT(ISERROR(SEARCH("Pesquisa de Preços",E122)))</formula>
    </cfRule>
  </conditionalFormatting>
  <conditionalFormatting sqref="E121">
    <cfRule type="containsText" dxfId="1660" priority="3523" operator="containsText" text="Pesquisa de Preços">
      <formula>NOT(ISERROR(SEARCH("Pesquisa de Preços",E121)))</formula>
    </cfRule>
  </conditionalFormatting>
  <conditionalFormatting sqref="E756:E757">
    <cfRule type="containsText" dxfId="1659" priority="3392" operator="containsText" text="Pesquisa de Preços">
      <formula>NOT(ISERROR(SEARCH("Pesquisa de Preços",E756)))</formula>
    </cfRule>
  </conditionalFormatting>
  <conditionalFormatting sqref="E124">
    <cfRule type="containsText" dxfId="1658" priority="3522" operator="containsText" text="Pesquisa de Preços">
      <formula>NOT(ISERROR(SEARCH("Pesquisa de Preços",E124)))</formula>
    </cfRule>
  </conditionalFormatting>
  <conditionalFormatting sqref="E107:E108">
    <cfRule type="containsText" dxfId="1657" priority="3521" operator="containsText" text="Pesquisa de Preços">
      <formula>NOT(ISERROR(SEARCH("Pesquisa de Preços",E107)))</formula>
    </cfRule>
  </conditionalFormatting>
  <conditionalFormatting sqref="E106">
    <cfRule type="containsText" dxfId="1656" priority="3520" operator="containsText" text="Pesquisa de Preços">
      <formula>NOT(ISERROR(SEARCH("Pesquisa de Preços",E106)))</formula>
    </cfRule>
  </conditionalFormatting>
  <conditionalFormatting sqref="E824 E826">
    <cfRule type="containsText" dxfId="1655" priority="3389" operator="containsText" text="Pesquisa de Preços">
      <formula>NOT(ISERROR(SEARCH("Pesquisa de Preços",E824)))</formula>
    </cfRule>
  </conditionalFormatting>
  <conditionalFormatting sqref="E109">
    <cfRule type="containsText" dxfId="1654" priority="3519" operator="containsText" text="Pesquisa de Preços">
      <formula>NOT(ISERROR(SEARCH("Pesquisa de Preços",E109)))</formula>
    </cfRule>
  </conditionalFormatting>
  <conditionalFormatting sqref="E132">
    <cfRule type="containsText" dxfId="1653" priority="3518" operator="containsText" text="Pesquisa de Preços">
      <formula>NOT(ISERROR(SEARCH("Pesquisa de Preços",E132)))</formula>
    </cfRule>
  </conditionalFormatting>
  <conditionalFormatting sqref="E131">
    <cfRule type="containsText" dxfId="1652" priority="3517" operator="containsText" text="Pesquisa de Preços">
      <formula>NOT(ISERROR(SEARCH("Pesquisa de Preços",E131)))</formula>
    </cfRule>
  </conditionalFormatting>
  <conditionalFormatting sqref="E828">
    <cfRule type="containsText" dxfId="1651" priority="3387" operator="containsText" text="Pesquisa de Preços">
      <formula>NOT(ISERROR(SEARCH("Pesquisa de Preços",E828)))</formula>
    </cfRule>
  </conditionalFormatting>
  <conditionalFormatting sqref="E65:E66">
    <cfRule type="containsText" dxfId="1650" priority="3516" operator="containsText" text="Pesquisa de Preços">
      <formula>NOT(ISERROR(SEARCH("Pesquisa de Preços",E65)))</formula>
    </cfRule>
  </conditionalFormatting>
  <conditionalFormatting sqref="E64">
    <cfRule type="containsText" dxfId="1649" priority="3515" operator="containsText" text="Pesquisa de Preços">
      <formula>NOT(ISERROR(SEARCH("Pesquisa de Preços",E64)))</formula>
    </cfRule>
  </conditionalFormatting>
  <conditionalFormatting sqref="E805">
    <cfRule type="containsText" dxfId="1648" priority="3385" operator="containsText" text="Pesquisa de Preços">
      <formula>NOT(ISERROR(SEARCH("Pesquisa de Preços",E805)))</formula>
    </cfRule>
  </conditionalFormatting>
  <conditionalFormatting sqref="E67">
    <cfRule type="containsText" dxfId="1647" priority="3514" operator="containsText" text="Pesquisa de Preços">
      <formula>NOT(ISERROR(SEARCH("Pesquisa de Preços",E67)))</formula>
    </cfRule>
  </conditionalFormatting>
  <conditionalFormatting sqref="E283">
    <cfRule type="containsText" dxfId="1646" priority="3503" operator="containsText" text="Pesquisa de Preços">
      <formula>NOT(ISERROR(SEARCH("Pesquisa de Preços",E283)))</formula>
    </cfRule>
  </conditionalFormatting>
  <conditionalFormatting sqref="E268">
    <cfRule type="containsText" dxfId="1645" priority="3500" operator="containsText" text="Pesquisa de Preços">
      <formula>NOT(ISERROR(SEARCH("Pesquisa de Preços",E268)))</formula>
    </cfRule>
  </conditionalFormatting>
  <conditionalFormatting sqref="E321">
    <cfRule type="containsText" dxfId="1644" priority="3498" operator="containsText" text="Pesquisa de Preços">
      <formula>NOT(ISERROR(SEARCH("Pesquisa de Preços",E321)))</formula>
    </cfRule>
  </conditionalFormatting>
  <conditionalFormatting sqref="E305">
    <cfRule type="containsText" dxfId="1643" priority="3495" operator="containsText" text="Pesquisa de Preços">
      <formula>NOT(ISERROR(SEARCH("Pesquisa de Preços",E305)))</formula>
    </cfRule>
  </conditionalFormatting>
  <conditionalFormatting sqref="E342:E343">
    <cfRule type="containsText" dxfId="1642" priority="3493" operator="containsText" text="Pesquisa de Preços">
      <formula>NOT(ISERROR(SEARCH("Pesquisa de Preços",E342)))</formula>
    </cfRule>
  </conditionalFormatting>
  <conditionalFormatting sqref="E290">
    <cfRule type="containsText" dxfId="1641" priority="3487" operator="containsText" text="Pesquisa de Preços">
      <formula>NOT(ISERROR(SEARCH("Pesquisa de Preços",E290)))</formula>
    </cfRule>
  </conditionalFormatting>
  <conditionalFormatting sqref="E327:E328">
    <cfRule type="containsText" dxfId="1640" priority="3485" operator="containsText" text="Pesquisa de Preços">
      <formula>NOT(ISERROR(SEARCH("Pesquisa de Preços",E327)))</formula>
    </cfRule>
  </conditionalFormatting>
  <conditionalFormatting sqref="E401">
    <cfRule type="containsText" dxfId="1639" priority="3475" operator="containsText" text="Pesquisa de Preços">
      <formula>NOT(ISERROR(SEARCH("Pesquisa de Preços",E401)))</formula>
    </cfRule>
  </conditionalFormatting>
  <conditionalFormatting sqref="E416 E421">
    <cfRule type="containsText" dxfId="1638" priority="3474" operator="containsText" text="Pesquisa de Preços">
      <formula>NOT(ISERROR(SEARCH("Pesquisa de Preços",E416)))</formula>
    </cfRule>
  </conditionalFormatting>
  <conditionalFormatting sqref="E434">
    <cfRule type="containsText" dxfId="1637" priority="3468" operator="containsText" text="Pesquisa de Preços">
      <formula>NOT(ISERROR(SEARCH("Pesquisa de Preços",E434)))</formula>
    </cfRule>
  </conditionalFormatting>
  <conditionalFormatting sqref="E247">
    <cfRule type="containsText" dxfId="1636" priority="3513" operator="containsText" text="Pesquisa de Preços">
      <formula>NOT(ISERROR(SEARCH("Pesquisa de Preços",E247)))</formula>
    </cfRule>
  </conditionalFormatting>
  <conditionalFormatting sqref="E249:E250">
    <cfRule type="containsText" dxfId="1635" priority="3512" operator="containsText" text="Pesquisa de Preços">
      <formula>NOT(ISERROR(SEARCH("Pesquisa de Preços",E249)))</formula>
    </cfRule>
  </conditionalFormatting>
  <conditionalFormatting sqref="E248">
    <cfRule type="containsText" dxfId="1634" priority="3511" operator="containsText" text="Pesquisa de Preços">
      <formula>NOT(ISERROR(SEARCH("Pesquisa de Preços",E248)))</formula>
    </cfRule>
  </conditionalFormatting>
  <conditionalFormatting sqref="E1089:E1091">
    <cfRule type="containsText" dxfId="1633" priority="3323" operator="containsText" text="Pesquisa de Preços">
      <formula>NOT(ISERROR(SEARCH("Pesquisa de Preços",E1089)))</formula>
    </cfRule>
  </conditionalFormatting>
  <conditionalFormatting sqref="E251:E261">
    <cfRule type="containsText" dxfId="1632" priority="3510" operator="containsText" text="Pesquisa de Preços">
      <formula>NOT(ISERROR(SEARCH("Pesquisa de Preços",E251)))</formula>
    </cfRule>
  </conditionalFormatting>
  <conditionalFormatting sqref="E264:E265">
    <cfRule type="containsText" dxfId="1631" priority="3509" operator="containsText" text="Pesquisa de Preços">
      <formula>NOT(ISERROR(SEARCH("Pesquisa de Preços",E264)))</formula>
    </cfRule>
  </conditionalFormatting>
  <conditionalFormatting sqref="E263">
    <cfRule type="containsText" dxfId="1630" priority="3508" operator="containsText" text="Pesquisa de Preços">
      <formula>NOT(ISERROR(SEARCH("Pesquisa de Preços",E263)))</formula>
    </cfRule>
  </conditionalFormatting>
  <conditionalFormatting sqref="E277:E278 E281:E282">
    <cfRule type="containsText" dxfId="1629" priority="3507" operator="containsText" text="Pesquisa de Preços">
      <formula>NOT(ISERROR(SEARCH("Pesquisa de Preços",E277)))</formula>
    </cfRule>
  </conditionalFormatting>
  <conditionalFormatting sqref="E276">
    <cfRule type="containsText" dxfId="1628" priority="3506" operator="containsText" text="Pesquisa de Preços">
      <formula>NOT(ISERROR(SEARCH("Pesquisa de Preços",E276)))</formula>
    </cfRule>
  </conditionalFormatting>
  <conditionalFormatting sqref="E279:E280">
    <cfRule type="containsText" dxfId="1627" priority="3505" operator="containsText" text="Pesquisa de Preços">
      <formula>NOT(ISERROR(SEARCH("Pesquisa de Preços",E279)))</formula>
    </cfRule>
  </conditionalFormatting>
  <conditionalFormatting sqref="E284:E285 E288:E289">
    <cfRule type="containsText" dxfId="1626" priority="3504" operator="containsText" text="Pesquisa de Preços">
      <formula>NOT(ISERROR(SEARCH("Pesquisa de Preços",E284)))</formula>
    </cfRule>
  </conditionalFormatting>
  <conditionalFormatting sqref="E286:E287">
    <cfRule type="containsText" dxfId="1625" priority="3502" operator="containsText" text="Pesquisa de Preços">
      <formula>NOT(ISERROR(SEARCH("Pesquisa de Preços",E286)))</formula>
    </cfRule>
  </conditionalFormatting>
  <conditionalFormatting sqref="E269:E270 E274:E275">
    <cfRule type="containsText" dxfId="1624" priority="3501" operator="containsText" text="Pesquisa de Preços">
      <formula>NOT(ISERROR(SEARCH("Pesquisa de Preços",E269)))</formula>
    </cfRule>
  </conditionalFormatting>
  <conditionalFormatting sqref="E271:E273">
    <cfRule type="containsText" dxfId="1623" priority="3499" operator="containsText" text="Pesquisa de Preços">
      <formula>NOT(ISERROR(SEARCH("Pesquisa de Preços",E271)))</formula>
    </cfRule>
  </conditionalFormatting>
  <conditionalFormatting sqref="E320">
    <cfRule type="containsText" dxfId="1622" priority="3497" operator="containsText" text="Pesquisa de Preços">
      <formula>NOT(ISERROR(SEARCH("Pesquisa de Preços",E320)))</formula>
    </cfRule>
  </conditionalFormatting>
  <conditionalFormatting sqref="E532:E533 E535:E536">
    <cfRule type="containsText" dxfId="1621" priority="3445" operator="containsText" text="Pesquisa de Preços">
      <formula>NOT(ISERROR(SEARCH("Pesquisa de Preços",E532)))</formula>
    </cfRule>
  </conditionalFormatting>
  <conditionalFormatting sqref="E306">
    <cfRule type="containsText" dxfId="1620" priority="3496" operator="containsText" text="Pesquisa de Preços">
      <formula>NOT(ISERROR(SEARCH("Pesquisa de Preços",E306)))</formula>
    </cfRule>
  </conditionalFormatting>
  <conditionalFormatting sqref="E312:E314">
    <cfRule type="containsText" dxfId="1619" priority="3494" operator="containsText" text="Pesquisa de Preços">
      <formula>NOT(ISERROR(SEARCH("Pesquisa de Preços",E312)))</formula>
    </cfRule>
  </conditionalFormatting>
  <conditionalFormatting sqref="E341">
    <cfRule type="containsText" dxfId="1618" priority="3492" operator="containsText" text="Pesquisa de Preços">
      <formula>NOT(ISERROR(SEARCH("Pesquisa de Preços",E341)))</formula>
    </cfRule>
  </conditionalFormatting>
  <conditionalFormatting sqref="E1286">
    <cfRule type="containsText" dxfId="1617" priority="3247" operator="containsText" text="Pesquisa de Preços">
      <formula>NOT(ISERROR(SEARCH("Pesquisa de Preços",E1286)))</formula>
    </cfRule>
  </conditionalFormatting>
  <conditionalFormatting sqref="E352">
    <cfRule type="containsText" dxfId="1616" priority="3491" operator="containsText" text="Pesquisa de Preços">
      <formula>NOT(ISERROR(SEARCH("Pesquisa de Preços",E352)))</formula>
    </cfRule>
  </conditionalFormatting>
  <conditionalFormatting sqref="E351">
    <cfRule type="containsText" dxfId="1615" priority="3490" operator="containsText" text="Pesquisa de Preços">
      <formula>NOT(ISERROR(SEARCH("Pesquisa de Preços",E351)))</formula>
    </cfRule>
  </conditionalFormatting>
  <conditionalFormatting sqref="E355:E358">
    <cfRule type="containsText" dxfId="1614" priority="3489" operator="containsText" text="Pesquisa de Preços">
      <formula>NOT(ISERROR(SEARCH("Pesquisa de Preços",E355)))</formula>
    </cfRule>
  </conditionalFormatting>
  <conditionalFormatting sqref="E291:E292">
    <cfRule type="containsText" dxfId="1613" priority="3488" operator="containsText" text="Pesquisa de Preços">
      <formula>NOT(ISERROR(SEARCH("Pesquisa de Preços",E291)))</formula>
    </cfRule>
  </conditionalFormatting>
  <conditionalFormatting sqref="E298:E299">
    <cfRule type="containsText" dxfId="1612" priority="3486" operator="containsText" text="Pesquisa de Preços">
      <formula>NOT(ISERROR(SEARCH("Pesquisa de Preços",E298)))</formula>
    </cfRule>
  </conditionalFormatting>
  <conditionalFormatting sqref="E326">
    <cfRule type="containsText" dxfId="1611" priority="3484" operator="containsText" text="Pesquisa de Preços">
      <formula>NOT(ISERROR(SEARCH("Pesquisa de Preços",E326)))</formula>
    </cfRule>
  </conditionalFormatting>
  <conditionalFormatting sqref="E329:E339">
    <cfRule type="containsText" dxfId="1610" priority="3483" operator="containsText" text="Pesquisa de Preços">
      <formula>NOT(ISERROR(SEARCH("Pesquisa de Preços",E329)))</formula>
    </cfRule>
  </conditionalFormatting>
  <conditionalFormatting sqref="E366:E367 E369:E370">
    <cfRule type="containsText" dxfId="1609" priority="3482" operator="containsText" text="Pesquisa de Preços">
      <formula>NOT(ISERROR(SEARCH("Pesquisa de Preços",E366)))</formula>
    </cfRule>
  </conditionalFormatting>
  <conditionalFormatting sqref="E365">
    <cfRule type="containsText" dxfId="1608" priority="3481" operator="containsText" text="Pesquisa de Preços">
      <formula>NOT(ISERROR(SEARCH("Pesquisa de Preços",E365)))</formula>
    </cfRule>
  </conditionalFormatting>
  <conditionalFormatting sqref="E368">
    <cfRule type="containsText" dxfId="1607" priority="3480" operator="containsText" text="Pesquisa de Preços">
      <formula>NOT(ISERROR(SEARCH("Pesquisa de Preços",E368)))</formula>
    </cfRule>
  </conditionalFormatting>
  <conditionalFormatting sqref="E372:E373 E378:E379">
    <cfRule type="containsText" dxfId="1606" priority="3479" operator="containsText" text="Pesquisa de Preços">
      <formula>NOT(ISERROR(SEARCH("Pesquisa de Preços",E372)))</formula>
    </cfRule>
  </conditionalFormatting>
  <conditionalFormatting sqref="E371">
    <cfRule type="containsText" dxfId="1605" priority="3478" operator="containsText" text="Pesquisa de Preços">
      <formula>NOT(ISERROR(SEARCH("Pesquisa de Preços",E371)))</formula>
    </cfRule>
  </conditionalFormatting>
  <conditionalFormatting sqref="E374:E377">
    <cfRule type="containsText" dxfId="1604" priority="3477" operator="containsText" text="Pesquisa de Preços">
      <formula>NOT(ISERROR(SEARCH("Pesquisa de Preços",E374)))</formula>
    </cfRule>
  </conditionalFormatting>
  <conditionalFormatting sqref="E402">
    <cfRule type="containsText" dxfId="1603" priority="3476" operator="containsText" text="Pesquisa de Preços">
      <formula>NOT(ISERROR(SEARCH("Pesquisa de Preços",E402)))</formula>
    </cfRule>
  </conditionalFormatting>
  <conditionalFormatting sqref="E415">
    <cfRule type="containsText" dxfId="1602" priority="3473" operator="containsText" text="Pesquisa de Preços">
      <formula>NOT(ISERROR(SEARCH("Pesquisa de Preços",E415)))</formula>
    </cfRule>
  </conditionalFormatting>
  <conditionalFormatting sqref="E441:E442 E444:E445">
    <cfRule type="containsText" dxfId="1601" priority="3472" operator="containsText" text="Pesquisa de Preços">
      <formula>NOT(ISERROR(SEARCH("Pesquisa de Preços",E441)))</formula>
    </cfRule>
  </conditionalFormatting>
  <conditionalFormatting sqref="E440">
    <cfRule type="containsText" dxfId="1600" priority="3471" operator="containsText" text="Pesquisa de Preços">
      <formula>NOT(ISERROR(SEARCH("Pesquisa de Preços",E440)))</formula>
    </cfRule>
  </conditionalFormatting>
  <conditionalFormatting sqref="E443">
    <cfRule type="containsText" dxfId="1599" priority="3470" operator="containsText" text="Pesquisa de Preços">
      <formula>NOT(ISERROR(SEARCH("Pesquisa de Preços",E443)))</formula>
    </cfRule>
  </conditionalFormatting>
  <conditionalFormatting sqref="E435:E436 E438:E439">
    <cfRule type="containsText" dxfId="1598" priority="3469" operator="containsText" text="Pesquisa de Preços">
      <formula>NOT(ISERROR(SEARCH("Pesquisa de Preços",E435)))</formula>
    </cfRule>
  </conditionalFormatting>
  <conditionalFormatting sqref="E437">
    <cfRule type="containsText" dxfId="1597" priority="3467" operator="containsText" text="Pesquisa de Preços">
      <formula>NOT(ISERROR(SEARCH("Pesquisa de Preços",E437)))</formula>
    </cfRule>
  </conditionalFormatting>
  <conditionalFormatting sqref="E455:E456 E459:E463">
    <cfRule type="containsText" dxfId="1596" priority="3466" operator="containsText" text="Pesquisa de Preços">
      <formula>NOT(ISERROR(SEARCH("Pesquisa de Preços",E455)))</formula>
    </cfRule>
  </conditionalFormatting>
  <conditionalFormatting sqref="E454">
    <cfRule type="containsText" dxfId="1595" priority="3465" operator="containsText" text="Pesquisa de Preços">
      <formula>NOT(ISERROR(SEARCH("Pesquisa de Preços",E454)))</formula>
    </cfRule>
  </conditionalFormatting>
  <conditionalFormatting sqref="E458">
    <cfRule type="containsText" dxfId="1594" priority="3464" operator="containsText" text="Pesquisa de Preços">
      <formula>NOT(ISERROR(SEARCH("Pesquisa de Preços",E458)))</formula>
    </cfRule>
  </conditionalFormatting>
  <conditionalFormatting sqref="E465:E466 E469:E470">
    <cfRule type="containsText" dxfId="1593" priority="3463" operator="containsText" text="Pesquisa de Preços">
      <formula>NOT(ISERROR(SEARCH("Pesquisa de Preços",E465)))</formula>
    </cfRule>
  </conditionalFormatting>
  <conditionalFormatting sqref="E464">
    <cfRule type="containsText" dxfId="1592" priority="3462" operator="containsText" text="Pesquisa de Preços">
      <formula>NOT(ISERROR(SEARCH("Pesquisa de Preços",E464)))</formula>
    </cfRule>
  </conditionalFormatting>
  <conditionalFormatting sqref="E468">
    <cfRule type="containsText" dxfId="1591" priority="3461" operator="containsText" text="Pesquisa de Preços">
      <formula>NOT(ISERROR(SEARCH("Pesquisa de Preços",E468)))</formula>
    </cfRule>
  </conditionalFormatting>
  <conditionalFormatting sqref="E472 E482">
    <cfRule type="containsText" dxfId="1590" priority="3460" operator="containsText" text="Pesquisa de Preços">
      <formula>NOT(ISERROR(SEARCH("Pesquisa de Preços",E472)))</formula>
    </cfRule>
  </conditionalFormatting>
  <conditionalFormatting sqref="E471">
    <cfRule type="containsText" dxfId="1589" priority="3459" operator="containsText" text="Pesquisa de Preços">
      <formula>NOT(ISERROR(SEARCH("Pesquisa de Preços",E471)))</formula>
    </cfRule>
  </conditionalFormatting>
  <conditionalFormatting sqref="E447 E451 E453">
    <cfRule type="containsText" dxfId="1588" priority="3458" operator="containsText" text="Pesquisa de Preços">
      <formula>NOT(ISERROR(SEARCH("Pesquisa de Preços",E447)))</formula>
    </cfRule>
  </conditionalFormatting>
  <conditionalFormatting sqref="E446">
    <cfRule type="containsText" dxfId="1587" priority="3457" operator="containsText" text="Pesquisa de Preços">
      <formula>NOT(ISERROR(SEARCH("Pesquisa de Preços",E446)))</formula>
    </cfRule>
  </conditionalFormatting>
  <conditionalFormatting sqref="E484:E485 E487:E488">
    <cfRule type="containsText" dxfId="1586" priority="3456" operator="containsText" text="Pesquisa de Preços">
      <formula>NOT(ISERROR(SEARCH("Pesquisa de Preços",E484)))</formula>
    </cfRule>
  </conditionalFormatting>
  <conditionalFormatting sqref="E483">
    <cfRule type="containsText" dxfId="1585" priority="3455" operator="containsText" text="Pesquisa de Preços">
      <formula>NOT(ISERROR(SEARCH("Pesquisa de Preços",E483)))</formula>
    </cfRule>
  </conditionalFormatting>
  <conditionalFormatting sqref="E486">
    <cfRule type="containsText" dxfId="1584" priority="3454" operator="containsText" text="Pesquisa de Preços">
      <formula>NOT(ISERROR(SEARCH("Pesquisa de Preços",E486)))</formula>
    </cfRule>
  </conditionalFormatting>
  <conditionalFormatting sqref="E505:E506 E509:E510">
    <cfRule type="containsText" dxfId="1583" priority="3453" operator="containsText" text="Pesquisa de Preços">
      <formula>NOT(ISERROR(SEARCH("Pesquisa de Preços",E505)))</formula>
    </cfRule>
  </conditionalFormatting>
  <conditionalFormatting sqref="E504">
    <cfRule type="containsText" dxfId="1582" priority="3452" operator="containsText" text="Pesquisa de Preços">
      <formula>NOT(ISERROR(SEARCH("Pesquisa de Preços",E504)))</formula>
    </cfRule>
  </conditionalFormatting>
  <conditionalFormatting sqref="E1266">
    <cfRule type="containsText" dxfId="1581" priority="3260" operator="containsText" text="Pesquisa de Preços">
      <formula>NOT(ISERROR(SEARCH("Pesquisa de Preços",E1266)))</formula>
    </cfRule>
  </conditionalFormatting>
  <conditionalFormatting sqref="E507:E508">
    <cfRule type="containsText" dxfId="1580" priority="3451" operator="containsText" text="Pesquisa de Preços">
      <formula>NOT(ISERROR(SEARCH("Pesquisa de Preços",E507)))</formula>
    </cfRule>
  </conditionalFormatting>
  <conditionalFormatting sqref="E498 E503">
    <cfRule type="containsText" dxfId="1579" priority="3450" operator="containsText" text="Pesquisa de Preços">
      <formula>NOT(ISERROR(SEARCH("Pesquisa de Preços",E498)))</formula>
    </cfRule>
  </conditionalFormatting>
  <conditionalFormatting sqref="E497">
    <cfRule type="containsText" dxfId="1578" priority="3449" operator="containsText" text="Pesquisa de Preços">
      <formula>NOT(ISERROR(SEARCH("Pesquisa de Preços",E497)))</formula>
    </cfRule>
  </conditionalFormatting>
  <conditionalFormatting sqref="E1300">
    <cfRule type="containsText" dxfId="1577" priority="3257" operator="containsText" text="Pesquisa de Preços">
      <formula>NOT(ISERROR(SEARCH("Pesquisa de Preços",E1300)))</formula>
    </cfRule>
  </conditionalFormatting>
  <conditionalFormatting sqref="E512:E513 E515:E516">
    <cfRule type="containsText" dxfId="1576" priority="3448" operator="containsText" text="Pesquisa de Preços">
      <formula>NOT(ISERROR(SEARCH("Pesquisa de Preços",E512)))</formula>
    </cfRule>
  </conditionalFormatting>
  <conditionalFormatting sqref="E511">
    <cfRule type="containsText" dxfId="1575" priority="3447" operator="containsText" text="Pesquisa de Preços">
      <formula>NOT(ISERROR(SEARCH("Pesquisa de Preços",E511)))</formula>
    </cfRule>
  </conditionalFormatting>
  <conditionalFormatting sqref="E1308">
    <cfRule type="containsText" dxfId="1574" priority="3254" operator="containsText" text="Pesquisa de Preços">
      <formula>NOT(ISERROR(SEARCH("Pesquisa de Preços",E1308)))</formula>
    </cfRule>
  </conditionalFormatting>
  <conditionalFormatting sqref="E531">
    <cfRule type="containsText" dxfId="1573" priority="3444" operator="containsText" text="Pesquisa de Preços">
      <formula>NOT(ISERROR(SEARCH("Pesquisa de Preços",E531)))</formula>
    </cfRule>
  </conditionalFormatting>
  <conditionalFormatting sqref="E1272">
    <cfRule type="containsText" dxfId="1572" priority="3252" operator="containsText" text="Pesquisa de Preços">
      <formula>NOT(ISERROR(SEARCH("Pesquisa de Preços",E1272)))</formula>
    </cfRule>
  </conditionalFormatting>
  <conditionalFormatting sqref="E534">
    <cfRule type="containsText" dxfId="1571" priority="3443" operator="containsText" text="Pesquisa de Preços">
      <formula>NOT(ISERROR(SEARCH("Pesquisa de Preços",E534)))</formula>
    </cfRule>
  </conditionalFormatting>
  <conditionalFormatting sqref="E489">
    <cfRule type="containsText" dxfId="1570" priority="3441" operator="containsText" text="Pesquisa de Preços">
      <formula>NOT(ISERROR(SEARCH("Pesquisa de Preços",E489)))</formula>
    </cfRule>
  </conditionalFormatting>
  <conditionalFormatting sqref="E1279">
    <cfRule type="containsText" dxfId="1569" priority="3249" operator="containsText" text="Pesquisa de Preços">
      <formula>NOT(ISERROR(SEARCH("Pesquisa de Preços",E1279)))</formula>
    </cfRule>
  </conditionalFormatting>
  <conditionalFormatting sqref="E525:E530">
    <cfRule type="containsText" dxfId="1568" priority="3440" operator="containsText" text="Pesquisa de Preços">
      <formula>NOT(ISERROR(SEARCH("Pesquisa de Preços",E525)))</formula>
    </cfRule>
  </conditionalFormatting>
  <conditionalFormatting sqref="E524">
    <cfRule type="containsText" dxfId="1567" priority="3439" operator="containsText" text="Pesquisa de Preços">
      <formula>NOT(ISERROR(SEARCH("Pesquisa de Preços",E524)))</formula>
    </cfRule>
  </conditionalFormatting>
  <conditionalFormatting sqref="E518 E523">
    <cfRule type="containsText" dxfId="1566" priority="3437" operator="containsText" text="Pesquisa de Preços">
      <formula>NOT(ISERROR(SEARCH("Pesquisa de Preços",E518)))</formula>
    </cfRule>
  </conditionalFormatting>
  <conditionalFormatting sqref="E517">
    <cfRule type="containsText" dxfId="1565" priority="3436" operator="containsText" text="Pesquisa de Preços">
      <formula>NOT(ISERROR(SEARCH("Pesquisa de Preços",E517)))</formula>
    </cfRule>
  </conditionalFormatting>
  <conditionalFormatting sqref="E1293">
    <cfRule type="containsText" dxfId="1564" priority="3245" operator="containsText" text="Pesquisa de Preços">
      <formula>NOT(ISERROR(SEARCH("Pesquisa de Preços",E1293)))</formula>
    </cfRule>
  </conditionalFormatting>
  <conditionalFormatting sqref="E546:E547 E551:E552">
    <cfRule type="containsText" dxfId="1563" priority="3435" operator="containsText" text="Pesquisa de Preços">
      <formula>NOT(ISERROR(SEARCH("Pesquisa de Preços",E546)))</formula>
    </cfRule>
  </conditionalFormatting>
  <conditionalFormatting sqref="E1334">
    <cfRule type="containsText" dxfId="1562" priority="3243" operator="containsText" text="Pesquisa de Preços">
      <formula>NOT(ISERROR(SEARCH("Pesquisa de Preços",E1334)))</formula>
    </cfRule>
  </conditionalFormatting>
  <conditionalFormatting sqref="E548:E550">
    <cfRule type="containsText" dxfId="1561" priority="3433" operator="containsText" text="Pesquisa de Preços">
      <formula>NOT(ISERROR(SEARCH("Pesquisa de Preços",E548)))</formula>
    </cfRule>
  </conditionalFormatting>
  <conditionalFormatting sqref="E554:E555 E559:E560">
    <cfRule type="containsText" dxfId="1560" priority="3432" operator="containsText" text="Pesquisa de Preços">
      <formula>NOT(ISERROR(SEARCH("Pesquisa de Preços",E554)))</formula>
    </cfRule>
  </conditionalFormatting>
  <conditionalFormatting sqref="E1328">
    <cfRule type="containsText" dxfId="1559" priority="3241" operator="containsText" text="Pesquisa de Preços">
      <formula>NOT(ISERROR(SEARCH("Pesquisa de Preços",E1328)))</formula>
    </cfRule>
  </conditionalFormatting>
  <conditionalFormatting sqref="E556:E558">
    <cfRule type="containsText" dxfId="1558" priority="3430" operator="containsText" text="Pesquisa de Preços">
      <formula>NOT(ISERROR(SEARCH("Pesquisa de Preços",E556)))</formula>
    </cfRule>
  </conditionalFormatting>
  <conditionalFormatting sqref="E538:E539 E543:E544">
    <cfRule type="containsText" dxfId="1557" priority="3429" operator="containsText" text="Pesquisa de Preços">
      <formula>NOT(ISERROR(SEARCH("Pesquisa de Preços",E538)))</formula>
    </cfRule>
  </conditionalFormatting>
  <conditionalFormatting sqref="E537">
    <cfRule type="containsText" dxfId="1556" priority="3428" operator="containsText" text="Pesquisa de Preços">
      <formula>NOT(ISERROR(SEARCH("Pesquisa de Preços",E537)))</formula>
    </cfRule>
  </conditionalFormatting>
  <conditionalFormatting sqref="E1322">
    <cfRule type="containsText" dxfId="1555" priority="3239" operator="containsText" text="Pesquisa de Preços">
      <formula>NOT(ISERROR(SEARCH("Pesquisa de Preços",E1322)))</formula>
    </cfRule>
  </conditionalFormatting>
  <conditionalFormatting sqref="E540:E542">
    <cfRule type="containsText" dxfId="1554" priority="3427" operator="containsText" text="Pesquisa de Preços">
      <formula>NOT(ISERROR(SEARCH("Pesquisa de Preços",E540)))</formula>
    </cfRule>
  </conditionalFormatting>
  <conditionalFormatting sqref="E562:E563 E567:E568">
    <cfRule type="containsText" dxfId="1553" priority="3426" operator="containsText" text="Pesquisa de Preços">
      <formula>NOT(ISERROR(SEARCH("Pesquisa de Preços",E562)))</formula>
    </cfRule>
  </conditionalFormatting>
  <conditionalFormatting sqref="E561">
    <cfRule type="containsText" dxfId="1552" priority="3425" operator="containsText" text="Pesquisa de Preços">
      <formula>NOT(ISERROR(SEARCH("Pesquisa de Preços",E561)))</formula>
    </cfRule>
  </conditionalFormatting>
  <conditionalFormatting sqref="E1317">
    <cfRule type="containsText" dxfId="1551" priority="3237" operator="containsText" text="Pesquisa de Preços">
      <formula>NOT(ISERROR(SEARCH("Pesquisa de Preços",E1317)))</formula>
    </cfRule>
  </conditionalFormatting>
  <conditionalFormatting sqref="E564:E566">
    <cfRule type="containsText" dxfId="1550" priority="3424" operator="containsText" text="Pesquisa de Preços">
      <formula>NOT(ISERROR(SEARCH("Pesquisa de Preços",E564)))</formula>
    </cfRule>
  </conditionalFormatting>
  <conditionalFormatting sqref="E570:E571">
    <cfRule type="containsText" dxfId="1549" priority="3423" operator="containsText" text="Pesquisa de Preços">
      <formula>NOT(ISERROR(SEARCH("Pesquisa de Preços",E570)))</formula>
    </cfRule>
  </conditionalFormatting>
  <conditionalFormatting sqref="E1340">
    <cfRule type="containsText" dxfId="1548" priority="3235" operator="containsText" text="Pesquisa de Preços">
      <formula>NOT(ISERROR(SEARCH("Pesquisa de Preços",E1340)))</formula>
    </cfRule>
  </conditionalFormatting>
  <conditionalFormatting sqref="E580:E581 E584:E587">
    <cfRule type="containsText" dxfId="1547" priority="3421" operator="containsText" text="Pesquisa de Preços">
      <formula>NOT(ISERROR(SEARCH("Pesquisa de Preços",E580)))</formula>
    </cfRule>
  </conditionalFormatting>
  <conditionalFormatting sqref="E1353">
    <cfRule type="containsText" dxfId="1546" priority="3232" operator="containsText" text="Pesquisa de Preços">
      <formula>NOT(ISERROR(SEARCH("Pesquisa de Preços",E1353)))</formula>
    </cfRule>
  </conditionalFormatting>
  <conditionalFormatting sqref="E582:E583">
    <cfRule type="containsText" dxfId="1545" priority="3419" operator="containsText" text="Pesquisa de Preços">
      <formula>NOT(ISERROR(SEARCH("Pesquisa de Preços",E582)))</formula>
    </cfRule>
  </conditionalFormatting>
  <conditionalFormatting sqref="E622 E627:E628">
    <cfRule type="containsText" dxfId="1544" priority="3418" operator="containsText" text="Pesquisa de Preços">
      <formula>NOT(ISERROR(SEARCH("Pesquisa de Preços",E622)))</formula>
    </cfRule>
  </conditionalFormatting>
  <conditionalFormatting sqref="E621">
    <cfRule type="containsText" dxfId="1543" priority="3417" operator="containsText" text="Pesquisa de Preços">
      <formula>NOT(ISERROR(SEARCH("Pesquisa de Preços",E621)))</formula>
    </cfRule>
  </conditionalFormatting>
  <conditionalFormatting sqref="E1347">
    <cfRule type="containsText" dxfId="1542" priority="3229" operator="containsText" text="Pesquisa de Preços">
      <formula>NOT(ISERROR(SEARCH("Pesquisa de Preços",E1347)))</formula>
    </cfRule>
  </conditionalFormatting>
  <conditionalFormatting sqref="E1463">
    <cfRule type="containsText" dxfId="1541" priority="3192" operator="containsText" text="Pesquisa de Preços">
      <formula>NOT(ISERROR(SEARCH("Pesquisa de Preços",E1463)))</formula>
    </cfRule>
  </conditionalFormatting>
  <conditionalFormatting sqref="E832">
    <cfRule type="containsText" dxfId="1540" priority="3398" operator="containsText" text="Pesquisa de Preços">
      <formula>NOT(ISERROR(SEARCH("Pesquisa de Preços",E832)))</formula>
    </cfRule>
  </conditionalFormatting>
  <conditionalFormatting sqref="E1576">
    <cfRule type="containsText" dxfId="1539" priority="3188" operator="containsText" text="Pesquisa de Preços">
      <formula>NOT(ISERROR(SEARCH("Pesquisa de Preços",E1576)))</formula>
    </cfRule>
  </conditionalFormatting>
  <conditionalFormatting sqref="E748">
    <cfRule type="containsText" dxfId="1538" priority="3394" operator="containsText" text="Pesquisa de Preços">
      <formula>NOT(ISERROR(SEARCH("Pesquisa de Preços",E748)))</formula>
    </cfRule>
  </conditionalFormatting>
  <conditionalFormatting sqref="E676">
    <cfRule type="containsText" dxfId="1537" priority="3415" operator="containsText" text="Pesquisa de Preços">
      <formula>NOT(ISERROR(SEARCH("Pesquisa de Preços",E676)))</formula>
    </cfRule>
  </conditionalFormatting>
  <conditionalFormatting sqref="E668">
    <cfRule type="containsText" dxfId="1536" priority="3413" operator="containsText" text="Pesquisa de Preços">
      <formula>NOT(ISERROR(SEARCH("Pesquisa de Preços",E668)))</formula>
    </cfRule>
  </conditionalFormatting>
  <conditionalFormatting sqref="E714">
    <cfRule type="containsText" dxfId="1535" priority="3408" operator="containsText" text="Pesquisa de Preços">
      <formula>NOT(ISERROR(SEARCH("Pesquisa de Preços",E714)))</formula>
    </cfRule>
  </conditionalFormatting>
  <conditionalFormatting sqref="E686">
    <cfRule type="containsText" dxfId="1534" priority="3411" operator="containsText" text="Pesquisa de Preços">
      <formula>NOT(ISERROR(SEARCH("Pesquisa de Preços",E686)))</formula>
    </cfRule>
  </conditionalFormatting>
  <conditionalFormatting sqref="E758:E764">
    <cfRule type="containsText" dxfId="1533" priority="3390" operator="containsText" text="Pesquisa de Preços">
      <formula>NOT(ISERROR(SEARCH("Pesquisa de Preços",E758)))</formula>
    </cfRule>
  </conditionalFormatting>
  <conditionalFormatting sqref="E689:E691">
    <cfRule type="containsText" dxfId="1532" priority="3410" operator="containsText" text="Pesquisa de Preços">
      <formula>NOT(ISERROR(SEARCH("Pesquisa de Preços",E689)))</formula>
    </cfRule>
  </conditionalFormatting>
  <conditionalFormatting sqref="E724">
    <cfRule type="containsText" dxfId="1531" priority="3405" operator="containsText" text="Pesquisa de Preços">
      <formula>NOT(ISERROR(SEARCH("Pesquisa de Preços",E724)))</formula>
    </cfRule>
  </conditionalFormatting>
  <conditionalFormatting sqref="E730">
    <cfRule type="containsText" dxfId="1530" priority="3406" operator="containsText" text="Pesquisa de Preços">
      <formula>NOT(ISERROR(SEARCH("Pesquisa de Preços",E730)))</formula>
    </cfRule>
  </conditionalFormatting>
  <conditionalFormatting sqref="E827">
    <cfRule type="containsText" dxfId="1529" priority="3386" operator="containsText" text="Pesquisa de Preços">
      <formula>NOT(ISERROR(SEARCH("Pesquisa de Preços",E827)))</formula>
    </cfRule>
  </conditionalFormatting>
  <conditionalFormatting sqref="E723">
    <cfRule type="containsText" dxfId="1528" priority="3404" operator="containsText" text="Pesquisa de Preços">
      <formula>NOT(ISERROR(SEARCH("Pesquisa de Preços",E723)))</formula>
    </cfRule>
  </conditionalFormatting>
  <conditionalFormatting sqref="E767">
    <cfRule type="containsText" dxfId="1527" priority="3381" operator="containsText" text="Pesquisa de Preços">
      <formula>NOT(ISERROR(SEARCH("Pesquisa de Preços",E767)))</formula>
    </cfRule>
  </conditionalFormatting>
  <conditionalFormatting sqref="E839">
    <cfRule type="containsText" dxfId="1526" priority="3375" operator="containsText" text="Pesquisa de Preços">
      <formula>NOT(ISERROR(SEARCH("Pesquisa de Preços",E839)))</formula>
    </cfRule>
  </conditionalFormatting>
  <conditionalFormatting sqref="E745:E746">
    <cfRule type="containsText" dxfId="1525" priority="3403" operator="containsText" text="Pesquisa de Preços">
      <formula>NOT(ISERROR(SEARCH("Pesquisa de Preços",E745)))</formula>
    </cfRule>
  </conditionalFormatting>
  <conditionalFormatting sqref="E744">
    <cfRule type="containsText" dxfId="1524" priority="3402" operator="containsText" text="Pesquisa de Preços">
      <formula>NOT(ISERROR(SEARCH("Pesquisa de Preços",E744)))</formula>
    </cfRule>
  </conditionalFormatting>
  <conditionalFormatting sqref="E1418">
    <cfRule type="containsText" dxfId="1523" priority="3194" operator="containsText" text="Pesquisa de Preços">
      <formula>NOT(ISERROR(SEARCH("Pesquisa de Preços",E1418)))</formula>
    </cfRule>
  </conditionalFormatting>
  <conditionalFormatting sqref="E790">
    <cfRule type="containsText" dxfId="1522" priority="3400" operator="containsText" text="Pesquisa de Preços">
      <formula>NOT(ISERROR(SEARCH("Pesquisa de Preços",E790)))</formula>
    </cfRule>
  </conditionalFormatting>
  <conditionalFormatting sqref="E814">
    <cfRule type="containsText" dxfId="1521" priority="3396" operator="containsText" text="Pesquisa de Preços">
      <formula>NOT(ISERROR(SEARCH("Pesquisa de Preços",E814)))</formula>
    </cfRule>
  </conditionalFormatting>
  <conditionalFormatting sqref="E751:E752">
    <cfRule type="containsText" dxfId="1520" priority="3393" operator="containsText" text="Pesquisa de Preços">
      <formula>NOT(ISERROR(SEARCH("Pesquisa de Preços",E751)))</formula>
    </cfRule>
  </conditionalFormatting>
  <conditionalFormatting sqref="E755">
    <cfRule type="containsText" dxfId="1519" priority="3391" operator="containsText" text="Pesquisa de Preços">
      <formula>NOT(ISERROR(SEARCH("Pesquisa de Preços",E755)))</formula>
    </cfRule>
  </conditionalFormatting>
  <conditionalFormatting sqref="E944">
    <cfRule type="containsText" dxfId="1518" priority="3358" operator="containsText" text="Pesquisa de Preços">
      <formula>NOT(ISERROR(SEARCH("Pesquisa de Preços",E944)))</formula>
    </cfRule>
  </conditionalFormatting>
  <conditionalFormatting sqref="E823">
    <cfRule type="containsText" dxfId="1517" priority="3388" operator="containsText" text="Pesquisa de Preços">
      <formula>NOT(ISERROR(SEARCH("Pesquisa de Preços",E823)))</formula>
    </cfRule>
  </conditionalFormatting>
  <conditionalFormatting sqref="E1667">
    <cfRule type="containsText" dxfId="1516" priority="3152" operator="containsText" text="Pesquisa de Preços">
      <formula>NOT(ISERROR(SEARCH("Pesquisa de Preços",E1667)))</formula>
    </cfRule>
  </conditionalFormatting>
  <conditionalFormatting sqref="E804">
    <cfRule type="containsText" dxfId="1515" priority="3384" operator="containsText" text="Pesquisa de Preços">
      <formula>NOT(ISERROR(SEARCH("Pesquisa de Preços",E804)))</formula>
    </cfRule>
  </conditionalFormatting>
  <conditionalFormatting sqref="E976">
    <cfRule type="containsText" dxfId="1514" priority="3352" operator="containsText" text="Pesquisa de Preços">
      <formula>NOT(ISERROR(SEARCH("Pesquisa de Preços",E976)))</formula>
    </cfRule>
  </conditionalFormatting>
  <conditionalFormatting sqref="E819 E822">
    <cfRule type="containsText" dxfId="1513" priority="3383" operator="containsText" text="Pesquisa de Preços">
      <formula>NOT(ISERROR(SEARCH("Pesquisa de Preços",E819)))</formula>
    </cfRule>
  </conditionalFormatting>
  <conditionalFormatting sqref="E818">
    <cfRule type="containsText" dxfId="1512" priority="3382" operator="containsText" text="Pesquisa de Preços">
      <formula>NOT(ISERROR(SEARCH("Pesquisa de Preços",E818)))</formula>
    </cfRule>
  </conditionalFormatting>
  <conditionalFormatting sqref="E979:E984">
    <cfRule type="containsText" dxfId="1511" priority="3351" operator="containsText" text="Pesquisa de Preços">
      <formula>NOT(ISERROR(SEARCH("Pesquisa de Preços",E979)))</formula>
    </cfRule>
  </conditionalFormatting>
  <conditionalFormatting sqref="E766">
    <cfRule type="containsText" dxfId="1510" priority="3380" operator="containsText" text="Pesquisa de Preços">
      <formula>NOT(ISERROR(SEARCH("Pesquisa de Preços",E766)))</formula>
    </cfRule>
  </conditionalFormatting>
  <conditionalFormatting sqref="E1008">
    <cfRule type="containsText" dxfId="1509" priority="3346" operator="containsText" text="Pesquisa de Preços">
      <formula>NOT(ISERROR(SEARCH("Pesquisa de Preços",E1008)))</formula>
    </cfRule>
  </conditionalFormatting>
  <conditionalFormatting sqref="E184:E185">
    <cfRule type="containsText" dxfId="1508" priority="3379" operator="containsText" text="Pesquisa de Preços">
      <formula>NOT(ISERROR(SEARCH("Pesquisa de Preços",E184)))</formula>
    </cfRule>
  </conditionalFormatting>
  <conditionalFormatting sqref="E183">
    <cfRule type="containsText" dxfId="1507" priority="3378" operator="containsText" text="Pesquisa de Preços">
      <formula>NOT(ISERROR(SEARCH("Pesquisa de Preços",E183)))</formula>
    </cfRule>
  </conditionalFormatting>
  <conditionalFormatting sqref="E1011:E1014">
    <cfRule type="containsText" dxfId="1506" priority="3345" operator="containsText" text="Pesquisa de Preços">
      <formula>NOT(ISERROR(SEARCH("Pesquisa de Preços",E1011)))</formula>
    </cfRule>
  </conditionalFormatting>
  <conditionalFormatting sqref="E186:E188">
    <cfRule type="containsText" dxfId="1505" priority="3377" operator="containsText" text="Pesquisa de Preços">
      <formula>NOT(ISERROR(SEARCH("Pesquisa de Preços",E186)))</formula>
    </cfRule>
  </conditionalFormatting>
  <conditionalFormatting sqref="E840 E843:E844">
    <cfRule type="containsText" dxfId="1504" priority="3376" operator="containsText" text="Pesquisa de Preços">
      <formula>NOT(ISERROR(SEARCH("Pesquisa de Preços",E840)))</formula>
    </cfRule>
  </conditionalFormatting>
  <conditionalFormatting sqref="E1711">
    <cfRule type="containsText" dxfId="1503" priority="3144" operator="containsText" text="Pesquisa de Preços">
      <formula>NOT(ISERROR(SEARCH("Pesquisa de Preços",E1711)))</formula>
    </cfRule>
  </conditionalFormatting>
  <conditionalFormatting sqref="E842">
    <cfRule type="containsText" dxfId="1502" priority="3374" operator="containsText" text="Pesquisa de Preços">
      <formula>NOT(ISERROR(SEARCH("Pesquisa de Preços",E842)))</formula>
    </cfRule>
  </conditionalFormatting>
  <conditionalFormatting sqref="E910:E916">
    <cfRule type="containsText" dxfId="1501" priority="3373" operator="containsText" text="Pesquisa de Preços">
      <formula>NOT(ISERROR(SEARCH("Pesquisa de Preços",E910)))</formula>
    </cfRule>
  </conditionalFormatting>
  <conditionalFormatting sqref="E909">
    <cfRule type="containsText" dxfId="1500" priority="3372" operator="containsText" text="Pesquisa de Preços">
      <formula>NOT(ISERROR(SEARCH("Pesquisa de Preços",E909)))</formula>
    </cfRule>
  </conditionalFormatting>
  <conditionalFormatting sqref="E935:E941">
    <cfRule type="containsText" dxfId="1499" priority="3371" operator="containsText" text="Pesquisa de Preços">
      <formula>NOT(ISERROR(SEARCH("Pesquisa de Preços",E935)))</formula>
    </cfRule>
  </conditionalFormatting>
  <conditionalFormatting sqref="E934">
    <cfRule type="containsText" dxfId="1498" priority="3370" operator="containsText" text="Pesquisa de Preços">
      <formula>NOT(ISERROR(SEARCH("Pesquisa de Preços",E934)))</formula>
    </cfRule>
  </conditionalFormatting>
  <conditionalFormatting sqref="E1633">
    <cfRule type="containsText" dxfId="1497" priority="3166" operator="containsText" text="Pesquisa de Preços">
      <formula>NOT(ISERROR(SEARCH("Pesquisa de Preços",E1633)))</formula>
    </cfRule>
  </conditionalFormatting>
  <conditionalFormatting sqref="E926">
    <cfRule type="containsText" dxfId="1496" priority="3369" operator="containsText" text="Pesquisa de Preços">
      <formula>NOT(ISERROR(SEARCH("Pesquisa de Preços",E926)))</formula>
    </cfRule>
  </conditionalFormatting>
  <conditionalFormatting sqref="E925">
    <cfRule type="containsText" dxfId="1495" priority="3368" operator="containsText" text="Pesquisa de Preços">
      <formula>NOT(ISERROR(SEARCH("Pesquisa de Preços",E925)))</formula>
    </cfRule>
  </conditionalFormatting>
  <conditionalFormatting sqref="E1638">
    <cfRule type="containsText" dxfId="1494" priority="3164" operator="containsText" text="Pesquisa de Preços">
      <formula>NOT(ISERROR(SEARCH("Pesquisa de Preços",E1638)))</formula>
    </cfRule>
  </conditionalFormatting>
  <conditionalFormatting sqref="E918">
    <cfRule type="containsText" dxfId="1493" priority="3366" operator="containsText" text="Pesquisa de Preços">
      <formula>NOT(ISERROR(SEARCH("Pesquisa de Preços",E918)))</formula>
    </cfRule>
  </conditionalFormatting>
  <conditionalFormatting sqref="E919 E924">
    <cfRule type="containsText" dxfId="1492" priority="3367" operator="containsText" text="Pesquisa de Preços">
      <formula>NOT(ISERROR(SEARCH("Pesquisa de Preços",E919)))</formula>
    </cfRule>
  </conditionalFormatting>
  <conditionalFormatting sqref="E1609">
    <cfRule type="containsText" dxfId="1491" priority="3160" operator="containsText" text="Pesquisa de Preços">
      <formula>NOT(ISERROR(SEARCH("Pesquisa de Preços",E1609)))</formula>
    </cfRule>
  </conditionalFormatting>
  <conditionalFormatting sqref="E965:E967">
    <cfRule type="containsText" dxfId="1490" priority="3363" operator="containsText" text="Pesquisa de Preços">
      <formula>NOT(ISERROR(SEARCH("Pesquisa de Preços",E965)))</formula>
    </cfRule>
  </conditionalFormatting>
  <conditionalFormatting sqref="E963:E964">
    <cfRule type="containsText" dxfId="1489" priority="3365" operator="containsText" text="Pesquisa de Preços">
      <formula>NOT(ISERROR(SEARCH("Pesquisa de Preços",E963)))</formula>
    </cfRule>
  </conditionalFormatting>
  <conditionalFormatting sqref="E962">
    <cfRule type="containsText" dxfId="1488" priority="3364" operator="containsText" text="Pesquisa de Preços">
      <formula>NOT(ISERROR(SEARCH("Pesquisa de Preços",E962)))</formula>
    </cfRule>
  </conditionalFormatting>
  <conditionalFormatting sqref="E956">
    <cfRule type="containsText" dxfId="1487" priority="3362" operator="containsText" text="Pesquisa de Preços">
      <formula>NOT(ISERROR(SEARCH("Pesquisa de Preços",E956)))</formula>
    </cfRule>
  </conditionalFormatting>
  <conditionalFormatting sqref="E955">
    <cfRule type="containsText" dxfId="1486" priority="3361" operator="containsText" text="Pesquisa de Preços">
      <formula>NOT(ISERROR(SEARCH("Pesquisa de Preços",E955)))</formula>
    </cfRule>
  </conditionalFormatting>
  <conditionalFormatting sqref="E950 E954">
    <cfRule type="containsText" dxfId="1485" priority="3360" operator="containsText" text="Pesquisa de Preços">
      <formula>NOT(ISERROR(SEARCH("Pesquisa de Preços",E950)))</formula>
    </cfRule>
  </conditionalFormatting>
  <conditionalFormatting sqref="E949">
    <cfRule type="containsText" dxfId="1484" priority="3359" operator="containsText" text="Pesquisa de Preços">
      <formula>NOT(ISERROR(SEARCH("Pesquisa de Preços",E949)))</formula>
    </cfRule>
  </conditionalFormatting>
  <conditionalFormatting sqref="E1055">
    <cfRule type="containsText" dxfId="1483" priority="3326" operator="containsText" text="Pesquisa de Preços">
      <formula>NOT(ISERROR(SEARCH("Pesquisa de Preços",E1055)))</formula>
    </cfRule>
  </conditionalFormatting>
  <conditionalFormatting sqref="E969">
    <cfRule type="containsText" dxfId="1482" priority="3355" operator="containsText" text="Pesquisa de Preços">
      <formula>NOT(ISERROR(SEARCH("Pesquisa de Preços",E969)))</formula>
    </cfRule>
  </conditionalFormatting>
  <conditionalFormatting sqref="E943">
    <cfRule type="containsText" dxfId="1481" priority="3357" operator="containsText" text="Pesquisa de Preços">
      <formula>NOT(ISERROR(SEARCH("Pesquisa de Preços",E943)))</formula>
    </cfRule>
  </conditionalFormatting>
  <conditionalFormatting sqref="E970:E971 E974:E975">
    <cfRule type="containsText" dxfId="1480" priority="3356" operator="containsText" text="Pesquisa de Preços">
      <formula>NOT(ISERROR(SEARCH("Pesquisa de Preços",E970)))</formula>
    </cfRule>
  </conditionalFormatting>
  <conditionalFormatting sqref="E972:E973">
    <cfRule type="containsText" dxfId="1479" priority="3354" operator="containsText" text="Pesquisa de Preços">
      <formula>NOT(ISERROR(SEARCH("Pesquisa de Preços",E972)))</formula>
    </cfRule>
  </conditionalFormatting>
  <conditionalFormatting sqref="E977:E978 E985:E986">
    <cfRule type="containsText" dxfId="1478" priority="3353" operator="containsText" text="Pesquisa de Preços">
      <formula>NOT(ISERROR(SEARCH("Pesquisa de Preços",E977)))</formula>
    </cfRule>
  </conditionalFormatting>
  <conditionalFormatting sqref="E1656">
    <cfRule type="containsText" dxfId="1477" priority="3150" operator="containsText" text="Pesquisa de Preços">
      <formula>NOT(ISERROR(SEARCH("Pesquisa de Preços",E1656)))</formula>
    </cfRule>
  </conditionalFormatting>
  <conditionalFormatting sqref="E988:E989 E996:E997">
    <cfRule type="containsText" dxfId="1476" priority="3350" operator="containsText" text="Pesquisa de Preços">
      <formula>NOT(ISERROR(SEARCH("Pesquisa de Preços",E988)))</formula>
    </cfRule>
  </conditionalFormatting>
  <conditionalFormatting sqref="E987">
    <cfRule type="containsText" dxfId="1475" priority="3349" operator="containsText" text="Pesquisa de Preços">
      <formula>NOT(ISERROR(SEARCH("Pesquisa de Preços",E987)))</formula>
    </cfRule>
  </conditionalFormatting>
  <conditionalFormatting sqref="E1733">
    <cfRule type="containsText" dxfId="1474" priority="3148" operator="containsText" text="Pesquisa de Preços">
      <formula>NOT(ISERROR(SEARCH("Pesquisa de Preços",E1733)))</formula>
    </cfRule>
  </conditionalFormatting>
  <conditionalFormatting sqref="E994:E995 E990:E992">
    <cfRule type="containsText" dxfId="1473" priority="3348" operator="containsText" text="Pesquisa de Preços">
      <formula>NOT(ISERROR(SEARCH("Pesquisa de Preços",E990)))</formula>
    </cfRule>
  </conditionalFormatting>
  <conditionalFormatting sqref="E1009:E1010 E1015:E1016">
    <cfRule type="containsText" dxfId="1472" priority="3347" operator="containsText" text="Pesquisa de Preços">
      <formula>NOT(ISERROR(SEARCH("Pesquisa de Preços",E1009)))</formula>
    </cfRule>
  </conditionalFormatting>
  <conditionalFormatting sqref="E1744">
    <cfRule type="containsText" dxfId="1471" priority="3146" operator="containsText" text="Pesquisa de Preços">
      <formula>NOT(ISERROR(SEARCH("Pesquisa de Preços",E1744)))</formula>
    </cfRule>
  </conditionalFormatting>
  <conditionalFormatting sqref="E999:E1000">
    <cfRule type="containsText" dxfId="1470" priority="3344" operator="containsText" text="Pesquisa de Preços">
      <formula>NOT(ISERROR(SEARCH("Pesquisa de Preços",E999)))</formula>
    </cfRule>
  </conditionalFormatting>
  <conditionalFormatting sqref="E998">
    <cfRule type="containsText" dxfId="1469" priority="3343" operator="containsText" text="Pesquisa de Preços">
      <formula>NOT(ISERROR(SEARCH("Pesquisa de Preços",E998)))</formula>
    </cfRule>
  </conditionalFormatting>
  <conditionalFormatting sqref="E1003">
    <cfRule type="containsText" dxfId="1468" priority="3341" operator="containsText" text="Pesquisa de Preços">
      <formula>NOT(ISERROR(SEARCH("Pesquisa de Preços",E1003)))</formula>
    </cfRule>
  </conditionalFormatting>
  <conditionalFormatting sqref="E1004:E1005">
    <cfRule type="containsText" dxfId="1467" priority="3342" operator="containsText" text="Pesquisa de Preços">
      <formula>NOT(ISERROR(SEARCH("Pesquisa de Preços",E1004)))</formula>
    </cfRule>
  </conditionalFormatting>
  <conditionalFormatting sqref="E1722">
    <cfRule type="containsText" dxfId="1466" priority="3142" operator="containsText" text="Pesquisa de Preços">
      <formula>NOT(ISERROR(SEARCH("Pesquisa de Preços",E1722)))</formula>
    </cfRule>
  </conditionalFormatting>
  <conditionalFormatting sqref="E1022">
    <cfRule type="containsText" dxfId="1465" priority="3339" operator="containsText" text="Pesquisa de Preços">
      <formula>NOT(ISERROR(SEARCH("Pesquisa de Preços",E1022)))</formula>
    </cfRule>
  </conditionalFormatting>
  <conditionalFormatting sqref="E1023:E1024 E1031">
    <cfRule type="containsText" dxfId="1464" priority="3340" operator="containsText" text="Pesquisa de Preços">
      <formula>NOT(ISERROR(SEARCH("Pesquisa de Preços",E1023)))</formula>
    </cfRule>
  </conditionalFormatting>
  <conditionalFormatting sqref="E1697">
    <cfRule type="containsText" dxfId="1463" priority="3140" operator="containsText" text="Pesquisa de Preços">
      <formula>NOT(ISERROR(SEARCH("Pesquisa de Preços",E1697)))</formula>
    </cfRule>
  </conditionalFormatting>
  <conditionalFormatting sqref="E1026:E1029">
    <cfRule type="containsText" dxfId="1462" priority="3338" operator="containsText" text="Pesquisa de Preços">
      <formula>NOT(ISERROR(SEARCH("Pesquisa de Preços",E1026)))</formula>
    </cfRule>
  </conditionalFormatting>
  <conditionalFormatting sqref="E1033:E1034 E1040">
    <cfRule type="containsText" dxfId="1461" priority="3337" operator="containsText" text="Pesquisa de Preços">
      <formula>NOT(ISERROR(SEARCH("Pesquisa de Preços",E1033)))</formula>
    </cfRule>
  </conditionalFormatting>
  <conditionalFormatting sqref="E1032">
    <cfRule type="containsText" dxfId="1460" priority="3336" operator="containsText" text="Pesquisa de Preços">
      <formula>NOT(ISERROR(SEARCH("Pesquisa de Preços",E1032)))</formula>
    </cfRule>
  </conditionalFormatting>
  <conditionalFormatting sqref="E1703">
    <cfRule type="containsText" dxfId="1459" priority="3138" operator="containsText" text="Pesquisa de Preços">
      <formula>NOT(ISERROR(SEARCH("Pesquisa de Preços",E1703)))</formula>
    </cfRule>
  </conditionalFormatting>
  <conditionalFormatting sqref="E1018:E1019">
    <cfRule type="containsText" dxfId="1458" priority="3335" operator="containsText" text="Pesquisa de Preços">
      <formula>NOT(ISERROR(SEARCH("Pesquisa de Preços",E1018)))</formula>
    </cfRule>
  </conditionalFormatting>
  <conditionalFormatting sqref="E1017">
    <cfRule type="containsText" dxfId="1457" priority="3334" operator="containsText" text="Pesquisa de Preços">
      <formula>NOT(ISERROR(SEARCH("Pesquisa de Preços",E1017)))</formula>
    </cfRule>
  </conditionalFormatting>
  <conditionalFormatting sqref="E1020">
    <cfRule type="containsText" dxfId="1456" priority="3333" operator="containsText" text="Pesquisa de Preços">
      <formula>NOT(ISERROR(SEARCH("Pesquisa de Preços",E1020)))</formula>
    </cfRule>
  </conditionalFormatting>
  <conditionalFormatting sqref="E1095:E1096">
    <cfRule type="containsText" dxfId="1455" priority="3332" operator="containsText" text="Pesquisa de Preços">
      <formula>NOT(ISERROR(SEARCH("Pesquisa de Preços",E1095)))</formula>
    </cfRule>
  </conditionalFormatting>
  <conditionalFormatting sqref="E1094">
    <cfRule type="containsText" dxfId="1454" priority="3331" operator="containsText" text="Pesquisa de Preços">
      <formula>NOT(ISERROR(SEARCH("Pesquisa de Preços",E1094)))</formula>
    </cfRule>
  </conditionalFormatting>
  <conditionalFormatting sqref="E1042:E1043 E1046:E1047">
    <cfRule type="containsText" dxfId="1453" priority="3330" operator="containsText" text="Pesquisa de Preços">
      <formula>NOT(ISERROR(SEARCH("Pesquisa de Preços",E1042)))</formula>
    </cfRule>
  </conditionalFormatting>
  <conditionalFormatting sqref="E1041">
    <cfRule type="containsText" dxfId="1452" priority="3329" operator="containsText" text="Pesquisa de Preços">
      <formula>NOT(ISERROR(SEARCH("Pesquisa de Preços",E1041)))</formula>
    </cfRule>
  </conditionalFormatting>
  <conditionalFormatting sqref="E1044:E1045">
    <cfRule type="containsText" dxfId="1451" priority="3328" operator="containsText" text="Pesquisa de Preços">
      <formula>NOT(ISERROR(SEARCH("Pesquisa de Preços",E1044)))</formula>
    </cfRule>
  </conditionalFormatting>
  <conditionalFormatting sqref="E1056:E1057 E1061">
    <cfRule type="containsText" dxfId="1450" priority="3327" operator="containsText" text="Pesquisa de Preços">
      <formula>NOT(ISERROR(SEARCH("Pesquisa de Preços",E1056)))</formula>
    </cfRule>
  </conditionalFormatting>
  <conditionalFormatting sqref="E1087:E1088 E1093">
    <cfRule type="containsText" dxfId="1449" priority="3325" operator="containsText" text="Pesquisa de Preços">
      <formula>NOT(ISERROR(SEARCH("Pesquisa de Preços",E1087)))</formula>
    </cfRule>
  </conditionalFormatting>
  <conditionalFormatting sqref="E1086">
    <cfRule type="containsText" dxfId="1448" priority="3324" operator="containsText" text="Pesquisa de Preços">
      <formula>NOT(ISERROR(SEARCH("Pesquisa de Preços",E1086)))</formula>
    </cfRule>
  </conditionalFormatting>
  <conditionalFormatting sqref="E1049:E1050">
    <cfRule type="containsText" dxfId="1447" priority="3322" operator="containsText" text="Pesquisa de Preços">
      <formula>NOT(ISERROR(SEARCH("Pesquisa de Preços",E1049)))</formula>
    </cfRule>
  </conditionalFormatting>
  <conditionalFormatting sqref="E1048">
    <cfRule type="containsText" dxfId="1446" priority="3321" operator="containsText" text="Pesquisa de Preços">
      <formula>NOT(ISERROR(SEARCH("Pesquisa de Preços",E1048)))</formula>
    </cfRule>
  </conditionalFormatting>
  <conditionalFormatting sqref="E1051:E1053">
    <cfRule type="containsText" dxfId="1445" priority="3320" operator="containsText" text="Pesquisa de Preços">
      <formula>NOT(ISERROR(SEARCH("Pesquisa de Preços",E1051)))</formula>
    </cfRule>
  </conditionalFormatting>
  <conditionalFormatting sqref="E1063">
    <cfRule type="containsText" dxfId="1444" priority="3319" operator="containsText" text="Pesquisa de Preços">
      <formula>NOT(ISERROR(SEARCH("Pesquisa de Preços",E1063)))</formula>
    </cfRule>
  </conditionalFormatting>
  <conditionalFormatting sqref="E1062">
    <cfRule type="containsText" dxfId="1443" priority="3318" operator="containsText" text="Pesquisa de Preços">
      <formula>NOT(ISERROR(SEARCH("Pesquisa de Preços",E1062)))</formula>
    </cfRule>
  </conditionalFormatting>
  <conditionalFormatting sqref="E1079 E1085">
    <cfRule type="containsText" dxfId="1442" priority="3317" operator="containsText" text="Pesquisa de Preços">
      <formula>NOT(ISERROR(SEARCH("Pesquisa de Preços",E1079)))</formula>
    </cfRule>
  </conditionalFormatting>
  <conditionalFormatting sqref="E1078">
    <cfRule type="containsText" dxfId="1441" priority="3316" operator="containsText" text="Pesquisa de Preços">
      <formula>NOT(ISERROR(SEARCH("Pesquisa de Preços",E1078)))</formula>
    </cfRule>
  </conditionalFormatting>
  <conditionalFormatting sqref="E1070 E1077">
    <cfRule type="containsText" dxfId="1440" priority="3315" operator="containsText" text="Pesquisa de Preços">
      <formula>NOT(ISERROR(SEARCH("Pesquisa de Preços",E1070)))</formula>
    </cfRule>
  </conditionalFormatting>
  <conditionalFormatting sqref="E1069">
    <cfRule type="containsText" dxfId="1439" priority="3314" operator="containsText" text="Pesquisa de Preços">
      <formula>NOT(ISERROR(SEARCH("Pesquisa de Preços",E1069)))</formula>
    </cfRule>
  </conditionalFormatting>
  <conditionalFormatting sqref="E1118:E1119">
    <cfRule type="containsText" dxfId="1438" priority="3313" operator="containsText" text="Pesquisa de Preços">
      <formula>NOT(ISERROR(SEARCH("Pesquisa de Preços",E1118)))</formula>
    </cfRule>
  </conditionalFormatting>
  <conditionalFormatting sqref="E1117">
    <cfRule type="containsText" dxfId="1437" priority="3312" operator="containsText" text="Pesquisa de Preços">
      <formula>NOT(ISERROR(SEARCH("Pesquisa de Preços",E1117)))</formula>
    </cfRule>
  </conditionalFormatting>
  <conditionalFormatting sqref="E1120">
    <cfRule type="containsText" dxfId="1436" priority="3311" operator="containsText" text="Pesquisa de Preços">
      <formula>NOT(ISERROR(SEARCH("Pesquisa de Preços",E1120)))</formula>
    </cfRule>
  </conditionalFormatting>
  <conditionalFormatting sqref="E1113:E1114">
    <cfRule type="containsText" dxfId="1435" priority="3310" operator="containsText" text="Pesquisa de Preços">
      <formula>NOT(ISERROR(SEARCH("Pesquisa de Preços",E1113)))</formula>
    </cfRule>
  </conditionalFormatting>
  <conditionalFormatting sqref="E1112">
    <cfRule type="containsText" dxfId="1434" priority="3309" operator="containsText" text="Pesquisa de Preços">
      <formula>NOT(ISERROR(SEARCH("Pesquisa de Preços",E1112)))</formula>
    </cfRule>
  </conditionalFormatting>
  <conditionalFormatting sqref="E1840">
    <cfRule type="containsText" dxfId="1433" priority="3127" operator="containsText" text="Pesquisa de Preços">
      <formula>NOT(ISERROR(SEARCH("Pesquisa de Preços",E1840)))</formula>
    </cfRule>
  </conditionalFormatting>
  <conditionalFormatting sqref="E1239:E1240 E1244">
    <cfRule type="containsText" dxfId="1432" priority="3308" operator="containsText" text="Pesquisa de Preços">
      <formula>NOT(ISERROR(SEARCH("Pesquisa de Preços",E1239)))</formula>
    </cfRule>
  </conditionalFormatting>
  <conditionalFormatting sqref="E1238">
    <cfRule type="containsText" dxfId="1431" priority="3307" operator="containsText" text="Pesquisa de Preços">
      <formula>NOT(ISERROR(SEARCH("Pesquisa de Preços",E1238)))</formula>
    </cfRule>
  </conditionalFormatting>
  <conditionalFormatting sqref="E1846">
    <cfRule type="containsText" dxfId="1430" priority="3124" operator="containsText" text="Pesquisa de Preços">
      <formula>NOT(ISERROR(SEARCH("Pesquisa de Preços",E1846)))</formula>
    </cfRule>
  </conditionalFormatting>
  <conditionalFormatting sqref="E1232:E1233 E1237">
    <cfRule type="containsText" dxfId="1429" priority="3306" operator="containsText" text="Pesquisa de Preços">
      <formula>NOT(ISERROR(SEARCH("Pesquisa de Preços",E1232)))</formula>
    </cfRule>
  </conditionalFormatting>
  <conditionalFormatting sqref="E1231">
    <cfRule type="containsText" dxfId="1428" priority="3305" operator="containsText" text="Pesquisa de Preços">
      <formula>NOT(ISERROR(SEARCH("Pesquisa de Preços",E1231)))</formula>
    </cfRule>
  </conditionalFormatting>
  <conditionalFormatting sqref="E1833">
    <cfRule type="containsText" dxfId="1427" priority="3121" operator="containsText" text="Pesquisa de Preços">
      <formula>NOT(ISERROR(SEARCH("Pesquisa de Preços",E1833)))</formula>
    </cfRule>
  </conditionalFormatting>
  <conditionalFormatting sqref="E1225:E1226 E1230">
    <cfRule type="containsText" dxfId="1426" priority="3304" operator="containsText" text="Pesquisa de Preços">
      <formula>NOT(ISERROR(SEARCH("Pesquisa de Preços",E1225)))</formula>
    </cfRule>
  </conditionalFormatting>
  <conditionalFormatting sqref="E1224">
    <cfRule type="containsText" dxfId="1425" priority="3303" operator="containsText" text="Pesquisa de Preços">
      <formula>NOT(ISERROR(SEARCH("Pesquisa de Preços",E1224)))</formula>
    </cfRule>
  </conditionalFormatting>
  <conditionalFormatting sqref="E1852">
    <cfRule type="containsText" dxfId="1424" priority="3119" operator="containsText" text="Pesquisa de Preços">
      <formula>NOT(ISERROR(SEARCH("Pesquisa de Preços",E1852)))</formula>
    </cfRule>
  </conditionalFormatting>
  <conditionalFormatting sqref="E1218:E1219 E1223">
    <cfRule type="containsText" dxfId="1423" priority="3302" operator="containsText" text="Pesquisa de Preços">
      <formula>NOT(ISERROR(SEARCH("Pesquisa de Preços",E1218)))</formula>
    </cfRule>
  </conditionalFormatting>
  <conditionalFormatting sqref="E1217">
    <cfRule type="containsText" dxfId="1422" priority="3301" operator="containsText" text="Pesquisa de Preços">
      <formula>NOT(ISERROR(SEARCH("Pesquisa de Preços",E1217)))</formula>
    </cfRule>
  </conditionalFormatting>
  <conditionalFormatting sqref="E1134:E1135 E1138:E1139">
    <cfRule type="containsText" dxfId="1421" priority="3300" operator="containsText" text="Pesquisa de Preços">
      <formula>NOT(ISERROR(SEARCH("Pesquisa de Preços",E1134)))</formula>
    </cfRule>
  </conditionalFormatting>
  <conditionalFormatting sqref="E1133">
    <cfRule type="containsText" dxfId="1420" priority="3299" operator="containsText" text="Pesquisa de Preços">
      <formula>NOT(ISERROR(SEARCH("Pesquisa de Preços",E1133)))</formula>
    </cfRule>
  </conditionalFormatting>
  <conditionalFormatting sqref="E1136:E1137">
    <cfRule type="containsText" dxfId="1419" priority="3298" operator="containsText" text="Pesquisa de Preços">
      <formula>NOT(ISERROR(SEARCH("Pesquisa de Preços",E1136)))</formula>
    </cfRule>
  </conditionalFormatting>
  <conditionalFormatting sqref="E1123:E1124 E1126:E1127">
    <cfRule type="containsText" dxfId="1418" priority="3297" operator="containsText" text="Pesquisa de Preços">
      <formula>NOT(ISERROR(SEARCH("Pesquisa de Preços",E1123)))</formula>
    </cfRule>
  </conditionalFormatting>
  <conditionalFormatting sqref="E1122">
    <cfRule type="containsText" dxfId="1417" priority="3296" operator="containsText" text="Pesquisa de Preços">
      <formula>NOT(ISERROR(SEARCH("Pesquisa de Preços",E1122)))</formula>
    </cfRule>
  </conditionalFormatting>
  <conditionalFormatting sqref="E1125">
    <cfRule type="containsText" dxfId="1416" priority="3295" operator="containsText" text="Pesquisa de Preços">
      <formula>NOT(ISERROR(SEARCH("Pesquisa de Preços",E1125)))</formula>
    </cfRule>
  </conditionalFormatting>
  <conditionalFormatting sqref="E1260 E1265">
    <cfRule type="containsText" dxfId="1415" priority="3294" operator="containsText" text="Pesquisa de Preços">
      <formula>NOT(ISERROR(SEARCH("Pesquisa de Preços",E1260)))</formula>
    </cfRule>
  </conditionalFormatting>
  <conditionalFormatting sqref="E1259">
    <cfRule type="containsText" dxfId="1414" priority="3293" operator="containsText" text="Pesquisa de Preços">
      <formula>NOT(ISERROR(SEARCH("Pesquisa de Preços",E1259)))</formula>
    </cfRule>
  </conditionalFormatting>
  <conditionalFormatting sqref="E1248:E1249">
    <cfRule type="containsText" dxfId="1413" priority="3290" operator="containsText" text="Pesquisa de Preços">
      <formula>NOT(ISERROR(SEARCH("Pesquisa de Preços",E1248)))</formula>
    </cfRule>
  </conditionalFormatting>
  <conditionalFormatting sqref="E1246:E1247 E1250:E1251">
    <cfRule type="containsText" dxfId="1412" priority="3292" operator="containsText" text="Pesquisa de Preços">
      <formula>NOT(ISERROR(SEARCH("Pesquisa de Preços",E1246)))</formula>
    </cfRule>
  </conditionalFormatting>
  <conditionalFormatting sqref="E1245">
    <cfRule type="containsText" dxfId="1411" priority="3291" operator="containsText" text="Pesquisa de Preços">
      <formula>NOT(ISERROR(SEARCH("Pesquisa de Preços",E1245)))</formula>
    </cfRule>
  </conditionalFormatting>
  <conditionalFormatting sqref="E1148:E1149 E1152:E1153">
    <cfRule type="containsText" dxfId="1410" priority="3289" operator="containsText" text="Pesquisa de Preços">
      <formula>NOT(ISERROR(SEARCH("Pesquisa de Preços",E1148)))</formula>
    </cfRule>
  </conditionalFormatting>
  <conditionalFormatting sqref="E1147">
    <cfRule type="containsText" dxfId="1409" priority="3288" operator="containsText" text="Pesquisa de Preços">
      <formula>NOT(ISERROR(SEARCH("Pesquisa de Preços",E1147)))</formula>
    </cfRule>
  </conditionalFormatting>
  <conditionalFormatting sqref="E1150:E1151">
    <cfRule type="containsText" dxfId="1408" priority="3287" operator="containsText" text="Pesquisa de Preços">
      <formula>NOT(ISERROR(SEARCH("Pesquisa de Preços",E1150)))</formula>
    </cfRule>
  </conditionalFormatting>
  <conditionalFormatting sqref="E1183:E1184 E1188">
    <cfRule type="containsText" dxfId="1407" priority="3286" operator="containsText" text="Pesquisa de Preços">
      <formula>NOT(ISERROR(SEARCH("Pesquisa de Preços",E1183)))</formula>
    </cfRule>
  </conditionalFormatting>
  <conditionalFormatting sqref="E1182">
    <cfRule type="containsText" dxfId="1406" priority="3285" operator="containsText" text="Pesquisa de Preços">
      <formula>NOT(ISERROR(SEARCH("Pesquisa de Preços",E1182)))</formula>
    </cfRule>
  </conditionalFormatting>
  <conditionalFormatting sqref="E1190:E1191 E1195">
    <cfRule type="containsText" dxfId="1405" priority="3283" operator="containsText" text="Pesquisa de Preços">
      <formula>NOT(ISERROR(SEARCH("Pesquisa de Preços",E1190)))</formula>
    </cfRule>
  </conditionalFormatting>
  <conditionalFormatting sqref="E1189">
    <cfRule type="containsText" dxfId="1404" priority="3282" operator="containsText" text="Pesquisa de Preços">
      <formula>NOT(ISERROR(SEARCH("Pesquisa de Preços",E1189)))</formula>
    </cfRule>
  </conditionalFormatting>
  <conditionalFormatting sqref="E1900">
    <cfRule type="containsText" dxfId="1403" priority="3109" operator="containsText" text="Pesquisa de Preços">
      <formula>NOT(ISERROR(SEARCH("Pesquisa de Preços",E1900)))</formula>
    </cfRule>
  </conditionalFormatting>
  <conditionalFormatting sqref="E1197:E1198 E1202">
    <cfRule type="containsText" dxfId="1402" priority="3280" operator="containsText" text="Pesquisa de Preços">
      <formula>NOT(ISERROR(SEARCH("Pesquisa de Preços",E1197)))</formula>
    </cfRule>
  </conditionalFormatting>
  <conditionalFormatting sqref="E1196">
    <cfRule type="containsText" dxfId="1401" priority="3279" operator="containsText" text="Pesquisa de Preços">
      <formula>NOT(ISERROR(SEARCH("Pesquisa de Preços",E1196)))</formula>
    </cfRule>
  </conditionalFormatting>
  <conditionalFormatting sqref="E1906">
    <cfRule type="containsText" dxfId="1400" priority="3106" operator="containsText" text="Pesquisa de Preços">
      <formula>NOT(ISERROR(SEARCH("Pesquisa de Preços",E1906)))</formula>
    </cfRule>
  </conditionalFormatting>
  <conditionalFormatting sqref="E1176:E1177 E1180:E1181">
    <cfRule type="containsText" dxfId="1399" priority="3277" operator="containsText" text="Pesquisa de Preços">
      <formula>NOT(ISERROR(SEARCH("Pesquisa de Preços",E1176)))</formula>
    </cfRule>
  </conditionalFormatting>
  <conditionalFormatting sqref="E1175">
    <cfRule type="containsText" dxfId="1398" priority="3276" operator="containsText" text="Pesquisa de Preços">
      <formula>NOT(ISERROR(SEARCH("Pesquisa de Preços",E1175)))</formula>
    </cfRule>
  </conditionalFormatting>
  <conditionalFormatting sqref="E1178:E1179">
    <cfRule type="containsText" dxfId="1397" priority="3275" operator="containsText" text="Pesquisa de Preços">
      <formula>NOT(ISERROR(SEARCH("Pesquisa de Preços",E1178)))</formula>
    </cfRule>
  </conditionalFormatting>
  <conditionalFormatting sqref="E1141:E1142 E1145:E1146">
    <cfRule type="containsText" dxfId="1396" priority="3274" operator="containsText" text="Pesquisa de Preços">
      <formula>NOT(ISERROR(SEARCH("Pesquisa de Preços",E1141)))</formula>
    </cfRule>
  </conditionalFormatting>
  <conditionalFormatting sqref="E1140">
    <cfRule type="containsText" dxfId="1395" priority="3273" operator="containsText" text="Pesquisa de Preços">
      <formula>NOT(ISERROR(SEARCH("Pesquisa de Preços",E1140)))</formula>
    </cfRule>
  </conditionalFormatting>
  <conditionalFormatting sqref="E1922">
    <cfRule type="containsText" dxfId="1394" priority="3103" operator="containsText" text="Pesquisa de Preços">
      <formula>NOT(ISERROR(SEARCH("Pesquisa de Preços",E1922)))</formula>
    </cfRule>
  </conditionalFormatting>
  <conditionalFormatting sqref="E1143:E1144">
    <cfRule type="containsText" dxfId="1393" priority="3272" operator="containsText" text="Pesquisa de Preços">
      <formula>NOT(ISERROR(SEARCH("Pesquisa de Preços",E1143)))</formula>
    </cfRule>
  </conditionalFormatting>
  <conditionalFormatting sqref="E1162:E1163 E1166:E1167">
    <cfRule type="containsText" dxfId="1392" priority="3271" operator="containsText" text="Pesquisa de Preços">
      <formula>NOT(ISERROR(SEARCH("Pesquisa de Preços",E1162)))</formula>
    </cfRule>
  </conditionalFormatting>
  <conditionalFormatting sqref="E1161">
    <cfRule type="containsText" dxfId="1391" priority="3270" operator="containsText" text="Pesquisa de Preços">
      <formula>NOT(ISERROR(SEARCH("Pesquisa de Preços",E1161)))</formula>
    </cfRule>
  </conditionalFormatting>
  <conditionalFormatting sqref="E1917">
    <cfRule type="containsText" dxfId="1390" priority="3101" operator="containsText" text="Pesquisa de Preços">
      <formula>NOT(ISERROR(SEARCH("Pesquisa de Preços",E1917)))</formula>
    </cfRule>
  </conditionalFormatting>
  <conditionalFormatting sqref="E1164:E1165">
    <cfRule type="containsText" dxfId="1389" priority="3269" operator="containsText" text="Pesquisa de Preços">
      <formula>NOT(ISERROR(SEARCH("Pesquisa de Preços",E1164)))</formula>
    </cfRule>
  </conditionalFormatting>
  <conditionalFormatting sqref="E1169 E1174">
    <cfRule type="containsText" dxfId="1388" priority="3268" operator="containsText" text="Pesquisa de Preços">
      <formula>NOT(ISERROR(SEARCH("Pesquisa de Preços",E1169)))</formula>
    </cfRule>
  </conditionalFormatting>
  <conditionalFormatting sqref="E1168">
    <cfRule type="containsText" dxfId="1387" priority="3267" operator="containsText" text="Pesquisa de Preços">
      <formula>NOT(ISERROR(SEARCH("Pesquisa de Preços",E1168)))</formula>
    </cfRule>
  </conditionalFormatting>
  <conditionalFormatting sqref="E1927">
    <cfRule type="containsText" dxfId="1386" priority="3099" operator="containsText" text="Pesquisa de Preços">
      <formula>NOT(ISERROR(SEARCH("Pesquisa de Preços",E1927)))</formula>
    </cfRule>
  </conditionalFormatting>
  <conditionalFormatting sqref="E1203">
    <cfRule type="containsText" dxfId="1385" priority="3265" operator="containsText" text="Pesquisa de Preços">
      <formula>NOT(ISERROR(SEARCH("Pesquisa de Preços",E1203)))</formula>
    </cfRule>
  </conditionalFormatting>
  <conditionalFormatting sqref="E1204:E1205 E1209">
    <cfRule type="containsText" dxfId="1384" priority="3266" operator="containsText" text="Pesquisa de Preços">
      <formula>NOT(ISERROR(SEARCH("Pesquisa de Preços",E1204)))</formula>
    </cfRule>
  </conditionalFormatting>
  <conditionalFormatting sqref="E1948">
    <cfRule type="containsText" dxfId="1383" priority="3097" operator="containsText" text="Pesquisa de Preços">
      <formula>NOT(ISERROR(SEARCH("Pesquisa de Preços",E1948)))</formula>
    </cfRule>
  </conditionalFormatting>
  <conditionalFormatting sqref="E1206:E1207">
    <cfRule type="containsText" dxfId="1382" priority="3264" operator="containsText" text="Pesquisa de Preços">
      <formula>NOT(ISERROR(SEARCH("Pesquisa de Preços",E1206)))</formula>
    </cfRule>
  </conditionalFormatting>
  <conditionalFormatting sqref="E1129">
    <cfRule type="containsText" dxfId="1381" priority="3263" operator="containsText" text="Pesquisa de Preços">
      <formula>NOT(ISERROR(SEARCH("Pesquisa de Preços",E1129)))</formula>
    </cfRule>
  </conditionalFormatting>
  <conditionalFormatting sqref="E1128">
    <cfRule type="containsText" dxfId="1380" priority="3262" operator="containsText" text="Pesquisa de Preços">
      <formula>NOT(ISERROR(SEARCH("Pesquisa de Preços",E1128)))</formula>
    </cfRule>
  </conditionalFormatting>
  <conditionalFormatting sqref="E1267:E1268 E1270:E1271">
    <cfRule type="containsText" dxfId="1379" priority="3261" operator="containsText" text="Pesquisa de Preços">
      <formula>NOT(ISERROR(SEARCH("Pesquisa de Preços",E1267)))</formula>
    </cfRule>
  </conditionalFormatting>
  <conditionalFormatting sqref="E1269">
    <cfRule type="containsText" dxfId="1378" priority="3259" operator="containsText" text="Pesquisa de Preços">
      <formula>NOT(ISERROR(SEARCH("Pesquisa de Preços",E1269)))</formula>
    </cfRule>
  </conditionalFormatting>
  <conditionalFormatting sqref="E1301:E1302 E1306:E1307">
    <cfRule type="containsText" dxfId="1377" priority="3258" operator="containsText" text="Pesquisa de Preços">
      <formula>NOT(ISERROR(SEARCH("Pesquisa de Preços",E1301)))</formula>
    </cfRule>
  </conditionalFormatting>
  <conditionalFormatting sqref="E1303:E1305">
    <cfRule type="containsText" dxfId="1376" priority="3256" operator="containsText" text="Pesquisa de Preços">
      <formula>NOT(ISERROR(SEARCH("Pesquisa de Preços",E1303)))</formula>
    </cfRule>
  </conditionalFormatting>
  <conditionalFormatting sqref="E1309 E1315:E1316">
    <cfRule type="containsText" dxfId="1375" priority="3255" operator="containsText" text="Pesquisa de Preços">
      <formula>NOT(ISERROR(SEARCH("Pesquisa de Preços",E1309)))</formula>
    </cfRule>
  </conditionalFormatting>
  <conditionalFormatting sqref="E1397:E1398 E1401:E1402">
    <cfRule type="containsText" dxfId="1374" priority="3226" operator="containsText" text="Pesquisa de Preços">
      <formula>NOT(ISERROR(SEARCH("Pesquisa de Preços",E1397)))</formula>
    </cfRule>
  </conditionalFormatting>
  <conditionalFormatting sqref="E1273:E1274">
    <cfRule type="containsText" dxfId="1373" priority="3253" operator="containsText" text="Pesquisa de Preços">
      <formula>NOT(ISERROR(SEARCH("Pesquisa de Preços",E1273)))</formula>
    </cfRule>
  </conditionalFormatting>
  <conditionalFormatting sqref="E1275:E1277">
    <cfRule type="containsText" dxfId="1372" priority="3251" operator="containsText" text="Pesquisa de Preços">
      <formula>NOT(ISERROR(SEARCH("Pesquisa de Preços",E1275)))</formula>
    </cfRule>
  </conditionalFormatting>
  <conditionalFormatting sqref="E1280:E1281 E1285">
    <cfRule type="containsText" dxfId="1371" priority="3250" operator="containsText" text="Pesquisa de Preços">
      <formula>NOT(ISERROR(SEARCH("Pesquisa de Preços",E1280)))</formula>
    </cfRule>
  </conditionalFormatting>
  <conditionalFormatting sqref="E1974">
    <cfRule type="containsText" dxfId="1370" priority="3090" operator="containsText" text="Pesquisa de Preços">
      <formula>NOT(ISERROR(SEARCH("Pesquisa de Preços",E1974)))</formula>
    </cfRule>
  </conditionalFormatting>
  <conditionalFormatting sqref="E1287:E1288 E1292">
    <cfRule type="containsText" dxfId="1369" priority="3248" operator="containsText" text="Pesquisa de Preços">
      <formula>NOT(ISERROR(SEARCH("Pesquisa de Preços",E1287)))</formula>
    </cfRule>
  </conditionalFormatting>
  <conditionalFormatting sqref="E1967">
    <cfRule type="containsText" dxfId="1368" priority="3088" operator="containsText" text="Pesquisa de Preços">
      <formula>NOT(ISERROR(SEARCH("Pesquisa de Preços",E1967)))</formula>
    </cfRule>
  </conditionalFormatting>
  <conditionalFormatting sqref="E1294 E1297 E1299">
    <cfRule type="containsText" dxfId="1367" priority="3246" operator="containsText" text="Pesquisa de Preços">
      <formula>NOT(ISERROR(SEARCH("Pesquisa de Preços",E1294)))</formula>
    </cfRule>
  </conditionalFormatting>
  <conditionalFormatting sqref="E1329:E1330">
    <cfRule type="containsText" dxfId="1366" priority="3242" operator="containsText" text="Pesquisa de Preços">
      <formula>NOT(ISERROR(SEARCH("Pesquisa de Preços",E1329)))</formula>
    </cfRule>
  </conditionalFormatting>
  <conditionalFormatting sqref="E1335:E1336">
    <cfRule type="containsText" dxfId="1365" priority="3244" operator="containsText" text="Pesquisa de Preços">
      <formula>NOT(ISERROR(SEARCH("Pesquisa de Preços",E1335)))</formula>
    </cfRule>
  </conditionalFormatting>
  <conditionalFormatting sqref="E2011">
    <cfRule type="containsText" dxfId="1364" priority="3082" operator="containsText" text="Pesquisa de Preços">
      <formula>NOT(ISERROR(SEARCH("Pesquisa de Preços",E2011)))</formula>
    </cfRule>
  </conditionalFormatting>
  <conditionalFormatting sqref="E1318:E1319">
    <cfRule type="containsText" dxfId="1363" priority="3238" operator="containsText" text="Pesquisa de Preços">
      <formula>NOT(ISERROR(SEARCH("Pesquisa de Preços",E1318)))</formula>
    </cfRule>
  </conditionalFormatting>
  <conditionalFormatting sqref="E2004">
    <cfRule type="containsText" dxfId="1362" priority="3080" operator="containsText" text="Pesquisa de Preços">
      <formula>NOT(ISERROR(SEARCH("Pesquisa de Preços",E2004)))</formula>
    </cfRule>
  </conditionalFormatting>
  <conditionalFormatting sqref="E1323:E1324">
    <cfRule type="containsText" dxfId="1361" priority="3240" operator="containsText" text="Pesquisa de Preços">
      <formula>NOT(ISERROR(SEARCH("Pesquisa de Preços",E1323)))</formula>
    </cfRule>
  </conditionalFormatting>
  <conditionalFormatting sqref="E1997">
    <cfRule type="containsText" dxfId="1360" priority="3077" operator="containsText" text="Pesquisa de Preços">
      <formula>NOT(ISERROR(SEARCH("Pesquisa de Preços",E1997)))</formula>
    </cfRule>
  </conditionalFormatting>
  <conditionalFormatting sqref="E1990">
    <cfRule type="containsText" dxfId="1359" priority="3074" operator="containsText" text="Pesquisa de Preços">
      <formula>NOT(ISERROR(SEARCH("Pesquisa de Preços",E1990)))</formula>
    </cfRule>
  </conditionalFormatting>
  <conditionalFormatting sqref="E1341:E1342 E1345:E1346">
    <cfRule type="containsText" dxfId="1358" priority="3236" operator="containsText" text="Pesquisa de Preços">
      <formula>NOT(ISERROR(SEARCH("Pesquisa de Preços",E1341)))</formula>
    </cfRule>
  </conditionalFormatting>
  <conditionalFormatting sqref="E1515">
    <cfRule type="containsText" dxfId="1357" priority="3209" operator="containsText" text="Pesquisa de Preços">
      <formula>NOT(ISERROR(SEARCH("Pesquisa de Preços",E1515)))</formula>
    </cfRule>
  </conditionalFormatting>
  <conditionalFormatting sqref="E1343:E1344">
    <cfRule type="containsText" dxfId="1356" priority="3234" operator="containsText" text="Pesquisa de Preços">
      <formula>NOT(ISERROR(SEARCH("Pesquisa de Preços",E1343)))</formula>
    </cfRule>
  </conditionalFormatting>
  <conditionalFormatting sqref="E1354:E1355 E1358:E1359">
    <cfRule type="containsText" dxfId="1355" priority="3233" operator="containsText" text="Pesquisa de Preços">
      <formula>NOT(ISERROR(SEARCH("Pesquisa de Preços",E1354)))</formula>
    </cfRule>
  </conditionalFormatting>
  <conditionalFormatting sqref="E1523">
    <cfRule type="containsText" dxfId="1354" priority="3210" operator="containsText" text="Pesquisa de Preços">
      <formula>NOT(ISERROR(SEARCH("Pesquisa de Preços",E1523)))</formula>
    </cfRule>
  </conditionalFormatting>
  <conditionalFormatting sqref="E1356:E1357">
    <cfRule type="containsText" dxfId="1353" priority="3231" operator="containsText" text="Pesquisa de Preços">
      <formula>NOT(ISERROR(SEARCH("Pesquisa de Preços",E1356)))</formula>
    </cfRule>
  </conditionalFormatting>
  <conditionalFormatting sqref="E1348 E1351:E1352">
    <cfRule type="containsText" dxfId="1352" priority="3230" operator="containsText" text="Pesquisa de Preços">
      <formula>NOT(ISERROR(SEARCH("Pesquisa de Preços",E1348)))</formula>
    </cfRule>
  </conditionalFormatting>
  <conditionalFormatting sqref="E1396">
    <cfRule type="containsText" dxfId="1351" priority="3225" operator="containsText" text="Pesquisa de Preços">
      <formula>NOT(ISERROR(SEARCH("Pesquisa de Preços",E1396)))</formula>
    </cfRule>
  </conditionalFormatting>
  <conditionalFormatting sqref="E1361 E1364:E1365">
    <cfRule type="containsText" dxfId="1350" priority="3228" operator="containsText" text="Pesquisa de Preços">
      <formula>NOT(ISERROR(SEARCH("Pesquisa de Preços",E1361)))</formula>
    </cfRule>
  </conditionalFormatting>
  <conditionalFormatting sqref="E1360">
    <cfRule type="containsText" dxfId="1349" priority="3227" operator="containsText" text="Pesquisa de Preços">
      <formula>NOT(ISERROR(SEARCH("Pesquisa de Preços",E1360)))</formula>
    </cfRule>
  </conditionalFormatting>
  <conditionalFormatting sqref="E1399:E1400">
    <cfRule type="containsText" dxfId="1348" priority="3224" operator="containsText" text="Pesquisa de Preços">
      <formula>NOT(ISERROR(SEARCH("Pesquisa de Preços",E1399)))</formula>
    </cfRule>
  </conditionalFormatting>
  <conditionalFormatting sqref="E2166">
    <cfRule type="containsText" dxfId="1347" priority="3063" operator="containsText" text="Pesquisa de Preços">
      <formula>NOT(ISERROR(SEARCH("Pesquisa de Preços",E2166)))</formula>
    </cfRule>
  </conditionalFormatting>
  <conditionalFormatting sqref="E1367:E1368 E1370:E1371">
    <cfRule type="containsText" dxfId="1346" priority="3223" operator="containsText" text="Pesquisa de Preços">
      <formula>NOT(ISERROR(SEARCH("Pesquisa de Preços",E1367)))</formula>
    </cfRule>
  </conditionalFormatting>
  <conditionalFormatting sqref="E1366">
    <cfRule type="containsText" dxfId="1345" priority="3222" operator="containsText" text="Pesquisa de Preços">
      <formula>NOT(ISERROR(SEARCH("Pesquisa de Preços",E1366)))</formula>
    </cfRule>
  </conditionalFormatting>
  <conditionalFormatting sqref="E1377">
    <cfRule type="containsText" dxfId="1344" priority="3221" operator="containsText" text="Pesquisa de Preços">
      <formula>NOT(ISERROR(SEARCH("Pesquisa de Preços",E1377)))</formula>
    </cfRule>
  </conditionalFormatting>
  <conditionalFormatting sqref="E1383">
    <cfRule type="containsText" dxfId="1343" priority="3220" operator="containsText" text="Pesquisa de Preços">
      <formula>NOT(ISERROR(SEARCH("Pesquisa de Preços",E1383)))</formula>
    </cfRule>
  </conditionalFormatting>
  <conditionalFormatting sqref="E1404 E1417">
    <cfRule type="containsText" dxfId="1342" priority="3199" operator="containsText" text="Pesquisa de Preços">
      <formula>NOT(ISERROR(SEARCH("Pesquisa de Preços",E1404)))</formula>
    </cfRule>
  </conditionalFormatting>
  <conditionalFormatting sqref="E1555">
    <cfRule type="containsText" dxfId="1341" priority="3218" operator="containsText" text="Pesquisa de Preços">
      <formula>NOT(ISERROR(SEARCH("Pesquisa de Preços",E1555)))</formula>
    </cfRule>
  </conditionalFormatting>
  <conditionalFormatting sqref="E1556:E1557">
    <cfRule type="containsText" dxfId="1340" priority="3219" operator="containsText" text="Pesquisa de Preços">
      <formula>NOT(ISERROR(SEARCH("Pesquisa de Preços",E1556)))</formula>
    </cfRule>
  </conditionalFormatting>
  <conditionalFormatting sqref="E1558 E1560">
    <cfRule type="containsText" dxfId="1339" priority="3217" operator="containsText" text="Pesquisa de Preços">
      <formula>NOT(ISERROR(SEARCH("Pesquisa de Preços",E1558)))</formula>
    </cfRule>
  </conditionalFormatting>
  <conditionalFormatting sqref="E1549:E1550">
    <cfRule type="containsText" dxfId="1338" priority="3216" operator="containsText" text="Pesquisa de Preços">
      <formula>NOT(ISERROR(SEARCH("Pesquisa de Preços",E1549)))</formula>
    </cfRule>
  </conditionalFormatting>
  <conditionalFormatting sqref="E1548">
    <cfRule type="containsText" dxfId="1337" priority="3215" operator="containsText" text="Pesquisa de Preços">
      <formula>NOT(ISERROR(SEARCH("Pesquisa de Preços",E1548)))</formula>
    </cfRule>
  </conditionalFormatting>
  <conditionalFormatting sqref="E2040">
    <cfRule type="containsText" dxfId="1336" priority="3057" operator="containsText" text="Pesquisa de Preços">
      <formula>NOT(ISERROR(SEARCH("Pesquisa de Preços",E2040)))</formula>
    </cfRule>
  </conditionalFormatting>
  <conditionalFormatting sqref="E1541 E1547">
    <cfRule type="containsText" dxfId="1335" priority="3214" operator="containsText" text="Pesquisa de Preços">
      <formula>NOT(ISERROR(SEARCH("Pesquisa de Preços",E1541)))</formula>
    </cfRule>
  </conditionalFormatting>
  <conditionalFormatting sqref="E1540">
    <cfRule type="containsText" dxfId="1334" priority="3213" operator="containsText" text="Pesquisa de Preços">
      <formula>NOT(ISERROR(SEARCH("Pesquisa de Preços",E1540)))</formula>
    </cfRule>
  </conditionalFormatting>
  <conditionalFormatting sqref="E1525">
    <cfRule type="containsText" dxfId="1333" priority="3212" operator="containsText" text="Pesquisa de Preços">
      <formula>NOT(ISERROR(SEARCH("Pesquisa de Preços",E1525)))</formula>
    </cfRule>
  </conditionalFormatting>
  <conditionalFormatting sqref="E1524">
    <cfRule type="containsText" dxfId="1332" priority="3211" operator="containsText" text="Pesquisa de Preços">
      <formula>NOT(ISERROR(SEARCH("Pesquisa de Preços",E1524)))</formula>
    </cfRule>
  </conditionalFormatting>
  <conditionalFormatting sqref="E1563:E1564 E1567:E1568">
    <cfRule type="containsText" dxfId="1331" priority="3204" operator="containsText" text="Pesquisa de Preços">
      <formula>NOT(ISERROR(SEARCH("Pesquisa de Preços",E1563)))</formula>
    </cfRule>
  </conditionalFormatting>
  <conditionalFormatting sqref="E1492">
    <cfRule type="containsText" dxfId="1330" priority="3190" operator="containsText" text="Pesquisa de Preços">
      <formula>NOT(ISERROR(SEARCH("Pesquisa de Preços",E1492)))</formula>
    </cfRule>
  </conditionalFormatting>
  <conditionalFormatting sqref="E1494 E1507">
    <cfRule type="containsText" dxfId="1329" priority="3201" operator="containsText" text="Pesquisa de Preços">
      <formula>NOT(ISERROR(SEARCH("Pesquisa de Preços",E1494)))</formula>
    </cfRule>
  </conditionalFormatting>
  <conditionalFormatting sqref="E1493">
    <cfRule type="containsText" dxfId="1328" priority="3200" operator="containsText" text="Pesquisa de Preços">
      <formula>NOT(ISERROR(SEARCH("Pesquisa de Preços",E1493)))</formula>
    </cfRule>
  </conditionalFormatting>
  <conditionalFormatting sqref="E1539">
    <cfRule type="containsText" dxfId="1327" priority="3208" operator="containsText" text="Pesquisa de Preços">
      <formula>NOT(ISERROR(SEARCH("Pesquisa de Preços",E1539)))</formula>
    </cfRule>
  </conditionalFormatting>
  <conditionalFormatting sqref="E1570:E1571 E1574:E1575">
    <cfRule type="containsText" dxfId="1326" priority="3207" operator="containsText" text="Pesquisa de Preços">
      <formula>NOT(ISERROR(SEARCH("Pesquisa de Preços",E1570)))</formula>
    </cfRule>
  </conditionalFormatting>
  <conditionalFormatting sqref="E1569">
    <cfRule type="containsText" dxfId="1325" priority="3206" operator="containsText" text="Pesquisa de Preços">
      <formula>NOT(ISERROR(SEARCH("Pesquisa de Preços",E1569)))</formula>
    </cfRule>
  </conditionalFormatting>
  <conditionalFormatting sqref="E1573">
    <cfRule type="containsText" dxfId="1324" priority="3205" operator="containsText" text="Pesquisa de Preços">
      <formula>NOT(ISERROR(SEARCH("Pesquisa de Preços",E1573)))</formula>
    </cfRule>
  </conditionalFormatting>
  <conditionalFormatting sqref="E1562">
    <cfRule type="containsText" dxfId="1323" priority="3203" operator="containsText" text="Pesquisa de Preços">
      <formula>NOT(ISERROR(SEARCH("Pesquisa de Preços",E1562)))</formula>
    </cfRule>
  </conditionalFormatting>
  <conditionalFormatting sqref="E1565:E1566">
    <cfRule type="containsText" dxfId="1322" priority="3202" operator="containsText" text="Pesquisa de Preços">
      <formula>NOT(ISERROR(SEARCH("Pesquisa de Preços",E1565)))</formula>
    </cfRule>
  </conditionalFormatting>
  <conditionalFormatting sqref="E1616">
    <cfRule type="containsText" dxfId="1321" priority="3168" operator="containsText" text="Pesquisa de Preços">
      <formula>NOT(ISERROR(SEARCH("Pesquisa de Preços",E1616)))</formula>
    </cfRule>
  </conditionalFormatting>
  <conditionalFormatting sqref="E1403">
    <cfRule type="containsText" dxfId="1320" priority="3198" operator="containsText" text="Pesquisa de Preços">
      <formula>NOT(ISERROR(SEARCH("Pesquisa de Preços",E1403)))</formula>
    </cfRule>
  </conditionalFormatting>
  <conditionalFormatting sqref="E1610 E1614:E1615">
    <cfRule type="containsText" dxfId="1319" priority="3161" operator="containsText" text="Pesquisa de Preços">
      <formula>NOT(ISERROR(SEARCH("Pesquisa de Preços",E1610)))</formula>
    </cfRule>
  </conditionalFormatting>
  <conditionalFormatting sqref="E1434 E1447">
    <cfRule type="containsText" dxfId="1318" priority="3197" operator="containsText" text="Pesquisa de Preços">
      <formula>NOT(ISERROR(SEARCH("Pesquisa de Preços",E1434)))</formula>
    </cfRule>
  </conditionalFormatting>
  <conditionalFormatting sqref="E1433">
    <cfRule type="containsText" dxfId="1317" priority="3196" operator="containsText" text="Pesquisa de Preços">
      <formula>NOT(ISERROR(SEARCH("Pesquisa de Preços",E1433)))</formula>
    </cfRule>
  </conditionalFormatting>
  <conditionalFormatting sqref="E1628 E1632">
    <cfRule type="containsText" dxfId="1316" priority="3173" operator="containsText" text="Pesquisa de Preços">
      <formula>NOT(ISERROR(SEARCH("Pesquisa de Preços",E1628)))</formula>
    </cfRule>
  </conditionalFormatting>
  <conditionalFormatting sqref="E1419 E1432">
    <cfRule type="containsText" dxfId="1315" priority="3195" operator="containsText" text="Pesquisa de Preços">
      <formula>NOT(ISERROR(SEARCH("Pesquisa de Preços",E1419)))</formula>
    </cfRule>
  </conditionalFormatting>
  <conditionalFormatting sqref="E1464 E1477">
    <cfRule type="containsText" dxfId="1314" priority="3193" operator="containsText" text="Pesquisa de Preços">
      <formula>NOT(ISERROR(SEARCH("Pesquisa de Preços",E1464)))</formula>
    </cfRule>
  </conditionalFormatting>
  <conditionalFormatting sqref="E1691 E1694 E1696">
    <cfRule type="containsText" dxfId="1313" priority="3175" operator="containsText" text="Pesquisa de Preços">
      <formula>NOT(ISERROR(SEARCH("Pesquisa de Preços",E1691)))</formula>
    </cfRule>
  </conditionalFormatting>
  <conditionalFormatting sqref="E1462">
    <cfRule type="containsText" dxfId="1312" priority="3191" operator="containsText" text="Pesquisa de Preços">
      <formula>NOT(ISERROR(SEARCH("Pesquisa de Preços",E1462)))</formula>
    </cfRule>
  </conditionalFormatting>
  <conditionalFormatting sqref="E2276">
    <cfRule type="containsText" dxfId="1311" priority="3018" operator="containsText" text="Pesquisa de Preços">
      <formula>NOT(ISERROR(SEARCH("Pesquisa de Preços",E2276)))</formula>
    </cfRule>
  </conditionalFormatting>
  <conditionalFormatting sqref="E1592 E1596">
    <cfRule type="containsText" dxfId="1310" priority="3183" operator="containsText" text="Pesquisa de Preços">
      <formula>NOT(ISERROR(SEARCH("Pesquisa de Preços",E1592)))</formula>
    </cfRule>
  </conditionalFormatting>
  <conditionalFormatting sqref="E1577:E1578 E1589:E1590">
    <cfRule type="containsText" dxfId="1309" priority="3189" operator="containsText" text="Pesquisa de Preços">
      <formula>NOT(ISERROR(SEARCH("Pesquisa de Preços",E1577)))</formula>
    </cfRule>
  </conditionalFormatting>
  <conditionalFormatting sqref="E2211">
    <cfRule type="containsText" dxfId="1308" priority="3034" operator="containsText" text="Pesquisa de Preços">
      <formula>NOT(ISERROR(SEARCH("Pesquisa de Preços",E2211)))</formula>
    </cfRule>
  </conditionalFormatting>
  <conditionalFormatting sqref="E1579:E1588">
    <cfRule type="containsText" dxfId="1307" priority="3187" operator="containsText" text="Pesquisa de Preços">
      <formula>NOT(ISERROR(SEARCH("Pesquisa de Preços",E1579)))</formula>
    </cfRule>
  </conditionalFormatting>
  <conditionalFormatting sqref="E1391:E1392 E1394:E1395">
    <cfRule type="containsText" dxfId="1306" priority="3186" operator="containsText" text="Pesquisa de Preços">
      <formula>NOT(ISERROR(SEARCH("Pesquisa de Preços",E1391)))</formula>
    </cfRule>
  </conditionalFormatting>
  <conditionalFormatting sqref="E1390">
    <cfRule type="containsText" dxfId="1305" priority="3185" operator="containsText" text="Pesquisa de Preços">
      <formula>NOT(ISERROR(SEARCH("Pesquisa de Preços",E1390)))</formula>
    </cfRule>
  </conditionalFormatting>
  <conditionalFormatting sqref="E2230">
    <cfRule type="containsText" dxfId="1304" priority="3030" operator="containsText" text="Pesquisa de Preços">
      <formula>NOT(ISERROR(SEARCH("Pesquisa de Preços",E2230)))</formula>
    </cfRule>
  </conditionalFormatting>
  <conditionalFormatting sqref="E1393">
    <cfRule type="containsText" dxfId="1303" priority="3184" operator="containsText" text="Pesquisa de Preços">
      <formula>NOT(ISERROR(SEARCH("Pesquisa de Preços",E1393)))</formula>
    </cfRule>
  </conditionalFormatting>
  <conditionalFormatting sqref="E1591">
    <cfRule type="containsText" dxfId="1302" priority="3182" operator="containsText" text="Pesquisa de Preços">
      <formula>NOT(ISERROR(SEARCH("Pesquisa de Preços",E1591)))</formula>
    </cfRule>
  </conditionalFormatting>
  <conditionalFormatting sqref="E1634 E1636:E1637">
    <cfRule type="containsText" dxfId="1301" priority="3167" operator="containsText" text="Pesquisa de Preços">
      <formula>NOT(ISERROR(SEARCH("Pesquisa de Preços",E1634)))</formula>
    </cfRule>
  </conditionalFormatting>
  <conditionalFormatting sqref="E1598 E1602">
    <cfRule type="containsText" dxfId="1300" priority="3181" operator="containsText" text="Pesquisa de Preços">
      <formula>NOT(ISERROR(SEARCH("Pesquisa de Preços",E1598)))</formula>
    </cfRule>
  </conditionalFormatting>
  <conditionalFormatting sqref="E1597">
    <cfRule type="containsText" dxfId="1299" priority="3180" operator="containsText" text="Pesquisa de Preços">
      <formula>NOT(ISERROR(SEARCH("Pesquisa de Preços",E1597)))</formula>
    </cfRule>
  </conditionalFormatting>
  <conditionalFormatting sqref="E1644">
    <cfRule type="containsText" dxfId="1298" priority="3177" operator="containsText" text="Pesquisa de Preços">
      <formula>NOT(ISERROR(SEARCH("Pesquisa de Preços",E1644)))</formula>
    </cfRule>
  </conditionalFormatting>
  <conditionalFormatting sqref="E1608">
    <cfRule type="containsText" dxfId="1297" priority="3179" operator="containsText" text="Pesquisa de Preços">
      <formula>NOT(ISERROR(SEARCH("Pesquisa de Preços",E1608)))</formula>
    </cfRule>
  </conditionalFormatting>
  <conditionalFormatting sqref="E1645:E1646">
    <cfRule type="containsText" dxfId="1296" priority="3178" operator="containsText" text="Pesquisa de Preços">
      <formula>NOT(ISERROR(SEARCH("Pesquisa de Preços",E1645)))</formula>
    </cfRule>
  </conditionalFormatting>
  <conditionalFormatting sqref="E2250">
    <cfRule type="containsText" dxfId="1295" priority="3026" operator="containsText" text="Pesquisa de Preços">
      <formula>NOT(ISERROR(SEARCH("Pesquisa de Preços",E2250)))</formula>
    </cfRule>
  </conditionalFormatting>
  <conditionalFormatting sqref="E1647:E1648">
    <cfRule type="containsText" dxfId="1294" priority="3176" operator="containsText" text="Pesquisa de Preços">
      <formula>NOT(ISERROR(SEARCH("Pesquisa de Preços",E1647)))</formula>
    </cfRule>
  </conditionalFormatting>
  <conditionalFormatting sqref="E1690">
    <cfRule type="containsText" dxfId="1293" priority="3174" operator="containsText" text="Pesquisa de Preços">
      <formula>NOT(ISERROR(SEARCH("Pesquisa de Preços",E1690)))</formula>
    </cfRule>
  </conditionalFormatting>
  <conditionalFormatting sqref="E1622 E1626">
    <cfRule type="containsText" dxfId="1292" priority="3171" operator="containsText" text="Pesquisa de Preços">
      <formula>NOT(ISERROR(SEARCH("Pesquisa de Preços",E1622)))</formula>
    </cfRule>
  </conditionalFormatting>
  <conditionalFormatting sqref="E1627">
    <cfRule type="containsText" dxfId="1291" priority="3172" operator="containsText" text="Pesquisa de Preços">
      <formula>NOT(ISERROR(SEARCH("Pesquisa de Preços",E1627)))</formula>
    </cfRule>
  </conditionalFormatting>
  <conditionalFormatting sqref="E1621">
    <cfRule type="containsText" dxfId="1290" priority="3170" operator="containsText" text="Pesquisa de Preços">
      <formula>NOT(ISERROR(SEARCH("Pesquisa de Preços",E1621)))</formula>
    </cfRule>
  </conditionalFormatting>
  <conditionalFormatting sqref="E1617 E1619:E1620">
    <cfRule type="containsText" dxfId="1289" priority="3169" operator="containsText" text="Pesquisa de Preços">
      <formula>NOT(ISERROR(SEARCH("Pesquisa de Preços",E1617)))</formula>
    </cfRule>
  </conditionalFormatting>
  <conditionalFormatting sqref="E1639 E1642:E1643">
    <cfRule type="containsText" dxfId="1288" priority="3165" operator="containsText" text="Pesquisa de Preços">
      <formula>NOT(ISERROR(SEARCH("Pesquisa de Preços",E1639)))</formula>
    </cfRule>
  </conditionalFormatting>
  <conditionalFormatting sqref="E1743 E1734:E1736">
    <cfRule type="containsText" dxfId="1287" priority="3149" operator="containsText" text="Pesquisa de Preços">
      <formula>NOT(ISERROR(SEARCH("Pesquisa de Preços",E1734)))</formula>
    </cfRule>
  </conditionalFormatting>
  <conditionalFormatting sqref="E1684 E1688:E1689">
    <cfRule type="containsText" dxfId="1286" priority="3163" operator="containsText" text="Pesquisa de Preços">
      <formula>NOT(ISERROR(SEARCH("Pesquisa de Preços",E1684)))</formula>
    </cfRule>
  </conditionalFormatting>
  <conditionalFormatting sqref="E1683">
    <cfRule type="containsText" dxfId="1285" priority="3162" operator="containsText" text="Pesquisa de Preços">
      <formula>NOT(ISERROR(SEARCH("Pesquisa de Preços",E1683)))</formula>
    </cfRule>
  </conditionalFormatting>
  <conditionalFormatting sqref="E2354">
    <cfRule type="containsText" dxfId="1284" priority="2995" operator="containsText" text="Pesquisa de Preços">
      <formula>NOT(ISERROR(SEARCH("Pesquisa de Preços",E2354)))</formula>
    </cfRule>
  </conditionalFormatting>
  <conditionalFormatting sqref="E2349">
    <cfRule type="containsText" dxfId="1283" priority="2997" operator="containsText" text="Pesquisa de Preços">
      <formula>NOT(ISERROR(SEARCH("Pesquisa de Preços",E2349)))</formula>
    </cfRule>
  </conditionalFormatting>
  <conditionalFormatting sqref="E1678 E1681:E1682">
    <cfRule type="containsText" dxfId="1282" priority="3159" operator="containsText" text="Pesquisa de Preços">
      <formula>NOT(ISERROR(SEARCH("Pesquisa de Preços",E1678)))</formula>
    </cfRule>
  </conditionalFormatting>
  <conditionalFormatting sqref="E1677">
    <cfRule type="containsText" dxfId="1281" priority="3158" operator="containsText" text="Pesquisa de Preços">
      <formula>NOT(ISERROR(SEARCH("Pesquisa de Preços",E1677)))</formula>
    </cfRule>
  </conditionalFormatting>
  <conditionalFormatting sqref="E1673 E1675:E1676">
    <cfRule type="containsText" dxfId="1280" priority="3157" operator="containsText" text="Pesquisa de Preços">
      <formula>NOT(ISERROR(SEARCH("Pesquisa de Preços",E1673)))</formula>
    </cfRule>
  </conditionalFormatting>
  <conditionalFormatting sqref="E1672">
    <cfRule type="containsText" dxfId="1279" priority="3156" operator="containsText" text="Pesquisa de Preços">
      <formula>NOT(ISERROR(SEARCH("Pesquisa de Preços",E1672)))</formula>
    </cfRule>
  </conditionalFormatting>
  <conditionalFormatting sqref="E1723:E1724 E1732">
    <cfRule type="containsText" dxfId="1278" priority="3143" operator="containsText" text="Pesquisa de Preços">
      <formula>NOT(ISERROR(SEARCH("Pesquisa de Preços",E1723)))</formula>
    </cfRule>
  </conditionalFormatting>
  <conditionalFormatting sqref="E1668">
    <cfRule type="containsText" dxfId="1277" priority="3153" operator="containsText" text="Pesquisa de Preços">
      <formula>NOT(ISERROR(SEARCH("Pesquisa de Preços",E1668)))</formula>
    </cfRule>
  </conditionalFormatting>
  <conditionalFormatting sqref="E1663">
    <cfRule type="containsText" dxfId="1276" priority="3155" operator="containsText" text="Pesquisa de Preços">
      <formula>NOT(ISERROR(SEARCH("Pesquisa de Preços",E1663)))</formula>
    </cfRule>
  </conditionalFormatting>
  <conditionalFormatting sqref="E1662">
    <cfRule type="containsText" dxfId="1275" priority="3154" operator="containsText" text="Pesquisa de Preços">
      <formula>NOT(ISERROR(SEARCH("Pesquisa de Preços",E1662)))</formula>
    </cfRule>
  </conditionalFormatting>
  <conditionalFormatting sqref="E2326">
    <cfRule type="containsText" dxfId="1274" priority="3005" operator="containsText" text="Pesquisa de Preços">
      <formula>NOT(ISERROR(SEARCH("Pesquisa de Preços",E2326)))</formula>
    </cfRule>
  </conditionalFormatting>
  <conditionalFormatting sqref="E2338">
    <cfRule type="containsText" dxfId="1273" priority="3003" operator="containsText" text="Pesquisa de Preços">
      <formula>NOT(ISERROR(SEARCH("Pesquisa de Preços",E2338)))</formula>
    </cfRule>
  </conditionalFormatting>
  <conditionalFormatting sqref="E1657 E1660:E1661">
    <cfRule type="containsText" dxfId="1272" priority="3151" operator="containsText" text="Pesquisa de Preços">
      <formula>NOT(ISERROR(SEARCH("Pesquisa de Preços",E1657)))</formula>
    </cfRule>
  </conditionalFormatting>
  <conditionalFormatting sqref="E1745 E1754">
    <cfRule type="containsText" dxfId="1271" priority="3147" operator="containsText" text="Pesquisa de Preços">
      <formula>NOT(ISERROR(SEARCH("Pesquisa de Preços",E1745)))</formula>
    </cfRule>
  </conditionalFormatting>
  <conditionalFormatting sqref="E1712:E1713 E1721">
    <cfRule type="containsText" dxfId="1270" priority="3145" operator="containsText" text="Pesquisa de Preços">
      <formula>NOT(ISERROR(SEARCH("Pesquisa de Preços",E1712)))</formula>
    </cfRule>
  </conditionalFormatting>
  <conditionalFormatting sqref="E892">
    <cfRule type="containsText" dxfId="1269" priority="2993" operator="containsText" text="Pesquisa de Preços">
      <formula>NOT(ISERROR(SEARCH("Pesquisa de Preços",E892)))</formula>
    </cfRule>
  </conditionalFormatting>
  <conditionalFormatting sqref="E875">
    <cfRule type="containsText" dxfId="1268" priority="2991" operator="containsText" text="Pesquisa de Preços">
      <formula>NOT(ISERROR(SEARCH("Pesquisa de Preços",E875)))</formula>
    </cfRule>
  </conditionalFormatting>
  <conditionalFormatting sqref="E1698:E1699 E1701:E1702">
    <cfRule type="containsText" dxfId="1267" priority="3141" operator="containsText" text="Pesquisa de Preços">
      <formula>NOT(ISERROR(SEARCH("Pesquisa de Preços",E1698)))</formula>
    </cfRule>
  </conditionalFormatting>
  <conditionalFormatting sqref="E850">
    <cfRule type="containsText" dxfId="1266" priority="2980" operator="containsText" text="Pesquisa de Preços">
      <formula>NOT(ISERROR(SEARCH("Pesquisa de Preços",E850)))</formula>
    </cfRule>
  </conditionalFormatting>
  <conditionalFormatting sqref="E1704">
    <cfRule type="containsText" dxfId="1265" priority="3139" operator="containsText" text="Pesquisa de Preços">
      <formula>NOT(ISERROR(SEARCH("Pesquisa de Preços",E1704)))</formula>
    </cfRule>
  </conditionalFormatting>
  <conditionalFormatting sqref="E856">
    <cfRule type="containsText" dxfId="1264" priority="2985" operator="containsText" text="Pesquisa de Preços">
      <formula>NOT(ISERROR(SEARCH("Pesquisa de Preços",E856)))</formula>
    </cfRule>
  </conditionalFormatting>
  <conditionalFormatting sqref="E1707:E1708">
    <cfRule type="containsText" dxfId="1263" priority="3137" operator="containsText" text="Pesquisa de Preços">
      <formula>NOT(ISERROR(SEARCH("Pesquisa de Preços",E1707)))</formula>
    </cfRule>
  </conditionalFormatting>
  <conditionalFormatting sqref="E1817">
    <cfRule type="containsText" dxfId="1262" priority="3136" operator="containsText" text="Pesquisa de Preços">
      <formula>NOT(ISERROR(SEARCH("Pesquisa de Preços",E1817)))</formula>
    </cfRule>
  </conditionalFormatting>
  <conditionalFormatting sqref="E1816">
    <cfRule type="containsText" dxfId="1261" priority="3135" operator="containsText" text="Pesquisa de Preços">
      <formula>NOT(ISERROR(SEARCH("Pesquisa de Preços",E1816)))</formula>
    </cfRule>
  </conditionalFormatting>
  <conditionalFormatting sqref="E1843">
    <cfRule type="containsText" dxfId="1260" priority="3126" operator="containsText" text="Pesquisa de Preços">
      <formula>NOT(ISERROR(SEARCH("Pesquisa de Preços",E1843)))</formula>
    </cfRule>
  </conditionalFormatting>
  <conditionalFormatting sqref="E1812">
    <cfRule type="containsText" dxfId="1259" priority="3134" operator="containsText" text="Pesquisa de Preços">
      <formula>NOT(ISERROR(SEARCH("Pesquisa de Preços",E1812)))</formula>
    </cfRule>
  </conditionalFormatting>
  <conditionalFormatting sqref="E1811">
    <cfRule type="containsText" dxfId="1258" priority="3133" operator="containsText" text="Pesquisa de Preços">
      <formula>NOT(ISERROR(SEARCH("Pesquisa de Preços",E1811)))</formula>
    </cfRule>
  </conditionalFormatting>
  <conditionalFormatting sqref="E1822 E1825:E1826">
    <cfRule type="containsText" dxfId="1257" priority="3132" operator="containsText" text="Pesquisa de Preços">
      <formula>NOT(ISERROR(SEARCH("Pesquisa de Preços",E1822)))</formula>
    </cfRule>
  </conditionalFormatting>
  <conditionalFormatting sqref="E1821">
    <cfRule type="containsText" dxfId="1256" priority="3131" operator="containsText" text="Pesquisa de Preços">
      <formula>NOT(ISERROR(SEARCH("Pesquisa de Preços",E1821)))</formula>
    </cfRule>
  </conditionalFormatting>
  <conditionalFormatting sqref="E1824">
    <cfRule type="containsText" dxfId="1255" priority="3130" operator="containsText" text="Pesquisa de Preços">
      <formula>NOT(ISERROR(SEARCH("Pesquisa de Preços",E1824)))</formula>
    </cfRule>
  </conditionalFormatting>
  <conditionalFormatting sqref="E1832">
    <cfRule type="containsText" dxfId="1254" priority="3129" operator="containsText" text="Pesquisa de Preços">
      <formula>NOT(ISERROR(SEARCH("Pesquisa de Preços",E1832)))</formula>
    </cfRule>
  </conditionalFormatting>
  <conditionalFormatting sqref="E1841:E1842 E1844:E1845">
    <cfRule type="containsText" dxfId="1253" priority="3128" operator="containsText" text="Pesquisa de Preços">
      <formula>NOT(ISERROR(SEARCH("Pesquisa de Preços",E1841)))</formula>
    </cfRule>
  </conditionalFormatting>
  <conditionalFormatting sqref="E1847:E1848 E1850:E1851">
    <cfRule type="containsText" dxfId="1252" priority="3125" operator="containsText" text="Pesquisa de Preços">
      <formula>NOT(ISERROR(SEARCH("Pesquisa de Preços",E1847)))</formula>
    </cfRule>
  </conditionalFormatting>
  <conditionalFormatting sqref="E1855">
    <cfRule type="containsText" dxfId="1251" priority="3118" operator="containsText" text="Pesquisa de Preços">
      <formula>NOT(ISERROR(SEARCH("Pesquisa de Preços",E1855)))</formula>
    </cfRule>
  </conditionalFormatting>
  <conditionalFormatting sqref="E1849">
    <cfRule type="containsText" dxfId="1250" priority="3123" operator="containsText" text="Pesquisa de Preços">
      <formula>NOT(ISERROR(SEARCH("Pesquisa de Preços",E1849)))</formula>
    </cfRule>
  </conditionalFormatting>
  <conditionalFormatting sqref="E1834:E1835 E1839">
    <cfRule type="containsText" dxfId="1249" priority="3122" operator="containsText" text="Pesquisa de Preços">
      <formula>NOT(ISERROR(SEARCH("Pesquisa de Preços",E1834)))</formula>
    </cfRule>
  </conditionalFormatting>
  <conditionalFormatting sqref="E1853:E1854 E1856:E1857">
    <cfRule type="containsText" dxfId="1248" priority="3120" operator="containsText" text="Pesquisa de Preços">
      <formula>NOT(ISERROR(SEARCH("Pesquisa de Preços",E1853)))</formula>
    </cfRule>
  </conditionalFormatting>
  <conditionalFormatting sqref="E2359">
    <cfRule type="containsText" dxfId="1247" priority="2966" operator="containsText" text="Pesquisa de Preços">
      <formula>NOT(ISERROR(SEARCH("Pesquisa de Preços",E2359)))</formula>
    </cfRule>
  </conditionalFormatting>
  <conditionalFormatting sqref="E1863">
    <cfRule type="containsText" dxfId="1246" priority="3117" operator="containsText" text="Pesquisa de Preços">
      <formula>NOT(ISERROR(SEARCH("Pesquisa de Preços",E1863)))</formula>
    </cfRule>
  </conditionalFormatting>
  <conditionalFormatting sqref="E2386">
    <cfRule type="containsText" dxfId="1245" priority="2963" operator="containsText" text="Pesquisa de Preços">
      <formula>NOT(ISERROR(SEARCH("Pesquisa de Preços",E2386)))</formula>
    </cfRule>
  </conditionalFormatting>
  <conditionalFormatting sqref="E1899">
    <cfRule type="containsText" dxfId="1244" priority="3116" operator="containsText" text="Pesquisa de Preços">
      <formula>NOT(ISERROR(SEARCH("Pesquisa de Preços",E1899)))</formula>
    </cfRule>
  </conditionalFormatting>
  <conditionalFormatting sqref="E2380">
    <cfRule type="containsText" dxfId="1243" priority="2961" operator="containsText" text="Pesquisa de Preços">
      <formula>NOT(ISERROR(SEARCH("Pesquisa de Preços",E2380)))</formula>
    </cfRule>
  </conditionalFormatting>
  <conditionalFormatting sqref="E1875">
    <cfRule type="containsText" dxfId="1242" priority="3115" operator="containsText" text="Pesquisa de Preços">
      <formula>NOT(ISERROR(SEARCH("Pesquisa de Preços",E1875)))</formula>
    </cfRule>
  </conditionalFormatting>
  <conditionalFormatting sqref="E1893">
    <cfRule type="containsText" dxfId="1241" priority="3114" operator="containsText" text="Pesquisa de Preços">
      <formula>NOT(ISERROR(SEARCH("Pesquisa de Preços",E1893)))</formula>
    </cfRule>
  </conditionalFormatting>
  <conditionalFormatting sqref="E1869">
    <cfRule type="containsText" dxfId="1240" priority="3113" operator="containsText" text="Pesquisa de Preços">
      <formula>NOT(ISERROR(SEARCH("Pesquisa de Preços",E1869)))</formula>
    </cfRule>
  </conditionalFormatting>
  <conditionalFormatting sqref="E1881">
    <cfRule type="containsText" dxfId="1239" priority="3112" operator="containsText" text="Pesquisa de Preços">
      <formula>NOT(ISERROR(SEARCH("Pesquisa de Preços",E1881)))</formula>
    </cfRule>
  </conditionalFormatting>
  <conditionalFormatting sqref="E1903">
    <cfRule type="containsText" dxfId="1238" priority="3108" operator="containsText" text="Pesquisa de Preços">
      <formula>NOT(ISERROR(SEARCH("Pesquisa de Preços",E1903)))</formula>
    </cfRule>
  </conditionalFormatting>
  <conditionalFormatting sqref="E1887">
    <cfRule type="containsText" dxfId="1237" priority="3111" operator="containsText" text="Pesquisa de Preços">
      <formula>NOT(ISERROR(SEARCH("Pesquisa de Preços",E1887)))</formula>
    </cfRule>
  </conditionalFormatting>
  <conditionalFormatting sqref="E1928 E1931:E1932">
    <cfRule type="containsText" dxfId="1236" priority="3100" operator="containsText" text="Pesquisa de Preços">
      <formula>NOT(ISERROR(SEARCH("Pesquisa de Preços",E1928)))</formula>
    </cfRule>
  </conditionalFormatting>
  <conditionalFormatting sqref="E1901:E1902 E1904:E1905">
    <cfRule type="containsText" dxfId="1235" priority="3110" operator="containsText" text="Pesquisa de Preços">
      <formula>NOT(ISERROR(SEARCH("Pesquisa de Preços",E1901)))</formula>
    </cfRule>
  </conditionalFormatting>
  <conditionalFormatting sqref="E1909">
    <cfRule type="containsText" dxfId="1234" priority="3105" operator="containsText" text="Pesquisa de Preços">
      <formula>NOT(ISERROR(SEARCH("Pesquisa de Preços",E1909)))</formula>
    </cfRule>
  </conditionalFormatting>
  <conditionalFormatting sqref="E1907:E1908 E1910:E1911">
    <cfRule type="containsText" dxfId="1233" priority="3107" operator="containsText" text="Pesquisa de Preços">
      <formula>NOT(ISERROR(SEARCH("Pesquisa de Preços",E1907)))</formula>
    </cfRule>
  </conditionalFormatting>
  <conditionalFormatting sqref="E1923:E1924 E1926">
    <cfRule type="containsText" dxfId="1232" priority="3104" operator="containsText" text="Pesquisa de Preços">
      <formula>NOT(ISERROR(SEARCH("Pesquisa de Preços",E1923)))</formula>
    </cfRule>
  </conditionalFormatting>
  <conditionalFormatting sqref="E1918">
    <cfRule type="containsText" dxfId="1231" priority="3102" operator="containsText" text="Pesquisa de Preços">
      <formula>NOT(ISERROR(SEARCH("Pesquisa de Preços",E1918)))</formula>
    </cfRule>
  </conditionalFormatting>
  <conditionalFormatting sqref="E1949:E1950 E1952:E1953">
    <cfRule type="containsText" dxfId="1230" priority="3098" operator="containsText" text="Pesquisa de Preços">
      <formula>NOT(ISERROR(SEARCH("Pesquisa de Preços",E1949)))</formula>
    </cfRule>
  </conditionalFormatting>
  <conditionalFormatting sqref="E1951">
    <cfRule type="containsText" dxfId="1229" priority="3096" operator="containsText" text="Pesquisa de Preços">
      <formula>NOT(ISERROR(SEARCH("Pesquisa de Preços",E1951)))</formula>
    </cfRule>
  </conditionalFormatting>
  <conditionalFormatting sqref="E1958:E1959">
    <cfRule type="containsText" dxfId="1228" priority="3095" operator="containsText" text="Pesquisa de Preços">
      <formula>NOT(ISERROR(SEARCH("Pesquisa de Preços",E1958)))</formula>
    </cfRule>
  </conditionalFormatting>
  <conditionalFormatting sqref="E1968:E1969 E1972:E1973">
    <cfRule type="containsText" dxfId="1227" priority="3089" operator="containsText" text="Pesquisa de Preços">
      <formula>NOT(ISERROR(SEARCH("Pesquisa de Preços",E1968)))</formula>
    </cfRule>
  </conditionalFormatting>
  <conditionalFormatting sqref="E1970:E1971">
    <cfRule type="containsText" dxfId="1226" priority="3087" operator="containsText" text="Pesquisa de Preços">
      <formula>NOT(ISERROR(SEARCH("Pesquisa de Preços",E1970)))</formula>
    </cfRule>
  </conditionalFormatting>
  <conditionalFormatting sqref="E1983:E1984 E1988:E1989">
    <cfRule type="containsText" dxfId="1225" priority="3094" operator="containsText" text="Pesquisa de Preços">
      <formula>NOT(ISERROR(SEARCH("Pesquisa de Preços",E1983)))</formula>
    </cfRule>
  </conditionalFormatting>
  <conditionalFormatting sqref="E1982">
    <cfRule type="containsText" dxfId="1224" priority="3093" operator="containsText" text="Pesquisa de Preços">
      <formula>NOT(ISERROR(SEARCH("Pesquisa de Preços",E1982)))</formula>
    </cfRule>
  </conditionalFormatting>
  <conditionalFormatting sqref="E1985:E1986">
    <cfRule type="containsText" dxfId="1223" priority="3092" operator="containsText" text="Pesquisa de Preços">
      <formula>NOT(ISERROR(SEARCH("Pesquisa de Preços",E1985)))</formula>
    </cfRule>
  </conditionalFormatting>
  <conditionalFormatting sqref="E1975 E1981">
    <cfRule type="containsText" dxfId="1222" priority="3091" operator="containsText" text="Pesquisa de Preços">
      <formula>NOT(ISERROR(SEARCH("Pesquisa de Preços",E1975)))</formula>
    </cfRule>
  </conditionalFormatting>
  <conditionalFormatting sqref="E1960">
    <cfRule type="containsText" dxfId="1221" priority="3085" operator="containsText" text="Pesquisa de Preços">
      <formula>NOT(ISERROR(SEARCH("Pesquisa de Preços",E1960)))</formula>
    </cfRule>
  </conditionalFormatting>
  <conditionalFormatting sqref="E1961:E1962 E1965:E1966">
    <cfRule type="containsText" dxfId="1220" priority="3086" operator="containsText" text="Pesquisa de Preços">
      <formula>NOT(ISERROR(SEARCH("Pesquisa de Preços",E1961)))</formula>
    </cfRule>
  </conditionalFormatting>
  <conditionalFormatting sqref="E1963:E1964">
    <cfRule type="containsText" dxfId="1219" priority="3084" operator="containsText" text="Pesquisa de Preços">
      <formula>NOT(ISERROR(SEARCH("Pesquisa de Preços",E1963)))</formula>
    </cfRule>
  </conditionalFormatting>
  <conditionalFormatting sqref="E2012 E2017">
    <cfRule type="containsText" dxfId="1218" priority="3083" operator="containsText" text="Pesquisa de Preços">
      <formula>NOT(ISERROR(SEARCH("Pesquisa de Preços",E2012)))</formula>
    </cfRule>
  </conditionalFormatting>
  <conditionalFormatting sqref="E2007:E2008">
    <cfRule type="containsText" dxfId="1217" priority="3079" operator="containsText" text="Pesquisa de Preços">
      <formula>NOT(ISERROR(SEARCH("Pesquisa de Preços",E2007)))</formula>
    </cfRule>
  </conditionalFormatting>
  <conditionalFormatting sqref="E2009:E2010 E2005:E2006">
    <cfRule type="containsText" dxfId="1216" priority="3081" operator="containsText" text="Pesquisa de Preços">
      <formula>NOT(ISERROR(SEARCH("Pesquisa de Preços",E2005)))</formula>
    </cfRule>
  </conditionalFormatting>
  <conditionalFormatting sqref="E2000:E2001">
    <cfRule type="containsText" dxfId="1215" priority="3076" operator="containsText" text="Pesquisa de Preços">
      <formula>NOT(ISERROR(SEARCH("Pesquisa de Preços",E2000)))</formula>
    </cfRule>
  </conditionalFormatting>
  <conditionalFormatting sqref="E2002:E2003 E1998:E1999">
    <cfRule type="containsText" dxfId="1214" priority="3078" operator="containsText" text="Pesquisa de Preços">
      <formula>NOT(ISERROR(SEARCH("Pesquisa de Preços",E1998)))</formula>
    </cfRule>
  </conditionalFormatting>
  <conditionalFormatting sqref="E1991 E1996">
    <cfRule type="containsText" dxfId="1213" priority="3075" operator="containsText" text="Pesquisa de Preços">
      <formula>NOT(ISERROR(SEARCH("Pesquisa de Preços",E1991)))</formula>
    </cfRule>
  </conditionalFormatting>
  <conditionalFormatting sqref="E2136">
    <cfRule type="containsText" dxfId="1212" priority="3072" operator="containsText" text="Pesquisa de Preços">
      <formula>NOT(ISERROR(SEARCH("Pesquisa de Preços",E2136)))</formula>
    </cfRule>
  </conditionalFormatting>
  <conditionalFormatting sqref="E2137:E2138">
    <cfRule type="containsText" dxfId="1211" priority="3073" operator="containsText" text="Pesquisa de Preços">
      <formula>NOT(ISERROR(SEARCH("Pesquisa de Preços",E2137)))</formula>
    </cfRule>
  </conditionalFormatting>
  <conditionalFormatting sqref="E2139:E2140">
    <cfRule type="containsText" dxfId="1210" priority="3071" operator="containsText" text="Pesquisa de Preços">
      <formula>NOT(ISERROR(SEARCH("Pesquisa de Preços",E2139)))</formula>
    </cfRule>
  </conditionalFormatting>
  <conditionalFormatting sqref="E2125:E2126">
    <cfRule type="containsText" dxfId="1209" priority="3070" operator="containsText" text="Pesquisa de Preços">
      <formula>NOT(ISERROR(SEARCH("Pesquisa de Preços",E2125)))</formula>
    </cfRule>
  </conditionalFormatting>
  <conditionalFormatting sqref="E2124">
    <cfRule type="containsText" dxfId="1208" priority="3069" operator="containsText" text="Pesquisa de Preços">
      <formula>NOT(ISERROR(SEARCH("Pesquisa de Preços",E2124)))</formula>
    </cfRule>
  </conditionalFormatting>
  <conditionalFormatting sqref="E2151 E2155:E2157">
    <cfRule type="containsText" dxfId="1207" priority="3067" operator="containsText" text="Pesquisa de Preços">
      <formula>NOT(ISERROR(SEARCH("Pesquisa de Preços",E2151)))</formula>
    </cfRule>
  </conditionalFormatting>
  <conditionalFormatting sqref="E2150">
    <cfRule type="containsText" dxfId="1206" priority="3066" operator="containsText" text="Pesquisa de Preços">
      <formula>NOT(ISERROR(SEARCH("Pesquisa de Preços",E2150)))</formula>
    </cfRule>
  </conditionalFormatting>
  <conditionalFormatting sqref="E2154">
    <cfRule type="containsText" dxfId="1205" priority="3065" operator="containsText" text="Pesquisa de Preços">
      <formula>NOT(ISERROR(SEARCH("Pesquisa de Preços",E2154)))</formula>
    </cfRule>
  </conditionalFormatting>
  <conditionalFormatting sqref="E2167 E2171:E2173">
    <cfRule type="containsText" dxfId="1204" priority="3064" operator="containsText" text="Pesquisa de Preços">
      <formula>NOT(ISERROR(SEARCH("Pesquisa de Preços",E2167)))</formula>
    </cfRule>
  </conditionalFormatting>
  <conditionalFormatting sqref="E2147:E2149">
    <cfRule type="containsText" dxfId="1203" priority="3062" operator="containsText" text="Pesquisa de Preços">
      <formula>NOT(ISERROR(SEARCH("Pesquisa de Preços",E2147)))</formula>
    </cfRule>
  </conditionalFormatting>
  <conditionalFormatting sqref="E2179:E2181">
    <cfRule type="containsText" dxfId="1202" priority="3061" operator="containsText" text="Pesquisa de Preços">
      <formula>NOT(ISERROR(SEARCH("Pesquisa de Preços",E2179)))</formula>
    </cfRule>
  </conditionalFormatting>
  <conditionalFormatting sqref="E2057 E2061:E2063">
    <cfRule type="containsText" dxfId="1201" priority="3056" operator="containsText" text="Pesquisa de Preços">
      <formula>NOT(ISERROR(SEARCH("Pesquisa de Preços",E2057)))</formula>
    </cfRule>
  </conditionalFormatting>
  <conditionalFormatting sqref="E2163:E2165">
    <cfRule type="containsText" dxfId="1200" priority="3060" operator="containsText" text="Pesquisa de Preços">
      <formula>NOT(ISERROR(SEARCH("Pesquisa de Preços",E2163)))</formula>
    </cfRule>
  </conditionalFormatting>
  <conditionalFormatting sqref="E2056">
    <cfRule type="containsText" dxfId="1199" priority="3055" operator="containsText" text="Pesquisa de Preços">
      <formula>NOT(ISERROR(SEARCH("Pesquisa de Preços",E2056)))</formula>
    </cfRule>
  </conditionalFormatting>
  <conditionalFormatting sqref="E2187:E2189">
    <cfRule type="containsText" dxfId="1198" priority="3059" operator="containsText" text="Pesquisa de Preços">
      <formula>NOT(ISERROR(SEARCH("Pesquisa de Preços",E2187)))</formula>
    </cfRule>
  </conditionalFormatting>
  <conditionalFormatting sqref="E2239:E2242 E2244">
    <cfRule type="containsText" dxfId="1197" priority="3015" operator="containsText" text="Pesquisa de Preços">
      <formula>NOT(ISERROR(SEARCH("Pesquisa de Preços",E2239)))</formula>
    </cfRule>
  </conditionalFormatting>
  <conditionalFormatting sqref="E2041 E2045:E2047">
    <cfRule type="containsText" dxfId="1196" priority="3058" operator="containsText" text="Pesquisa de Preços">
      <formula>NOT(ISERROR(SEARCH("Pesquisa de Preços",E2041)))</formula>
    </cfRule>
  </conditionalFormatting>
  <conditionalFormatting sqref="E2049 E2053:E2055">
    <cfRule type="containsText" dxfId="1195" priority="3050" operator="containsText" text="Pesquisa de Preços">
      <formula>NOT(ISERROR(SEARCH("Pesquisa de Preços",E2049)))</formula>
    </cfRule>
  </conditionalFormatting>
  <conditionalFormatting sqref="E2333:E2334 E2337">
    <cfRule type="containsText" dxfId="1194" priority="3008" operator="containsText" text="Pesquisa de Preços">
      <formula>NOT(ISERROR(SEARCH("Pesquisa de Preços",E2333)))</formula>
    </cfRule>
  </conditionalFormatting>
  <conditionalFormatting sqref="E2033 E2037:E2039">
    <cfRule type="containsText" dxfId="1193" priority="3054" operator="containsText" text="Pesquisa de Preços">
      <formula>NOT(ISERROR(SEARCH("Pesquisa de Preços",E2033)))</formula>
    </cfRule>
  </conditionalFormatting>
  <conditionalFormatting sqref="E2032">
    <cfRule type="containsText" dxfId="1192" priority="3053" operator="containsText" text="Pesquisa de Preços">
      <formula>NOT(ISERROR(SEARCH("Pesquisa de Preços",E2032)))</formula>
    </cfRule>
  </conditionalFormatting>
  <conditionalFormatting sqref="E2065 E2069:E2071">
    <cfRule type="containsText" dxfId="1191" priority="3052" operator="containsText" text="Pesquisa de Preços">
      <formula>NOT(ISERROR(SEARCH("Pesquisa de Preços",E2065)))</formula>
    </cfRule>
  </conditionalFormatting>
  <conditionalFormatting sqref="E2064">
    <cfRule type="containsText" dxfId="1190" priority="3051" operator="containsText" text="Pesquisa de Preços">
      <formula>NOT(ISERROR(SEARCH("Pesquisa de Preços",E2064)))</formula>
    </cfRule>
  </conditionalFormatting>
  <conditionalFormatting sqref="E2314:E2315">
    <cfRule type="containsText" dxfId="1189" priority="3014" operator="containsText" text="Pesquisa de Preços">
      <formula>NOT(ISERROR(SEARCH("Pesquisa de Preços",E2314)))</formula>
    </cfRule>
  </conditionalFormatting>
  <conditionalFormatting sqref="E2048">
    <cfRule type="containsText" dxfId="1188" priority="3049" operator="containsText" text="Pesquisa de Preços">
      <formula>NOT(ISERROR(SEARCH("Pesquisa de Preços",E2048)))</formula>
    </cfRule>
  </conditionalFormatting>
  <conditionalFormatting sqref="E2296">
    <cfRule type="containsText" dxfId="1187" priority="3023" operator="containsText" text="Pesquisa de Preços">
      <formula>NOT(ISERROR(SEARCH("Pesquisa de Preços",E2296)))</formula>
    </cfRule>
  </conditionalFormatting>
  <conditionalFormatting sqref="E2073 E2077:E2079">
    <cfRule type="containsText" dxfId="1186" priority="3048" operator="containsText" text="Pesquisa de Preços">
      <formula>NOT(ISERROR(SEARCH("Pesquisa de Preços",E2073)))</formula>
    </cfRule>
  </conditionalFormatting>
  <conditionalFormatting sqref="E2072">
    <cfRule type="containsText" dxfId="1185" priority="3047" operator="containsText" text="Pesquisa de Preços">
      <formula>NOT(ISERROR(SEARCH("Pesquisa de Preços",E2072)))</formula>
    </cfRule>
  </conditionalFormatting>
  <conditionalFormatting sqref="E2251">
    <cfRule type="containsText" dxfId="1184" priority="3027" operator="containsText" text="Pesquisa de Preços">
      <formula>NOT(ISERROR(SEARCH("Pesquisa de Preços",E2251)))</formula>
    </cfRule>
  </conditionalFormatting>
  <conditionalFormatting sqref="E2031">
    <cfRule type="containsText" dxfId="1183" priority="3046" operator="containsText" text="Pesquisa de Preços">
      <formula>NOT(ISERROR(SEARCH("Pesquisa de Preços",E2031)))</formula>
    </cfRule>
  </conditionalFormatting>
  <conditionalFormatting sqref="E2109:E2111">
    <cfRule type="containsText" dxfId="1182" priority="3045" operator="containsText" text="Pesquisa de Preços">
      <formula>NOT(ISERROR(SEARCH("Pesquisa de Preços",E2109)))</formula>
    </cfRule>
  </conditionalFormatting>
  <conditionalFormatting sqref="E2224">
    <cfRule type="containsText" dxfId="1181" priority="3028" operator="containsText" text="Pesquisa de Preços">
      <formula>NOT(ISERROR(SEARCH("Pesquisa de Preços",E2224)))</formula>
    </cfRule>
  </conditionalFormatting>
  <conditionalFormatting sqref="E2101:E2103">
    <cfRule type="containsText" dxfId="1180" priority="3044" operator="containsText" text="Pesquisa de Preços">
      <formula>NOT(ISERROR(SEARCH("Pesquisa de Preços",E2101)))</formula>
    </cfRule>
  </conditionalFormatting>
  <conditionalFormatting sqref="E2216">
    <cfRule type="containsText" dxfId="1179" priority="3033" operator="containsText" text="Pesquisa de Preços">
      <formula>NOT(ISERROR(SEARCH("Pesquisa de Preços",E2216)))</formula>
    </cfRule>
  </conditionalFormatting>
  <conditionalFormatting sqref="E2218">
    <cfRule type="containsText" dxfId="1178" priority="3032" operator="containsText" text="Pesquisa de Preços">
      <formula>NOT(ISERROR(SEARCH("Pesquisa de Preços",E2218)))</formula>
    </cfRule>
  </conditionalFormatting>
  <conditionalFormatting sqref="E2095">
    <cfRule type="containsText" dxfId="1177" priority="3043" operator="containsText" text="Pesquisa de Preços">
      <formula>NOT(ISERROR(SEARCH("Pesquisa de Preços",E2095)))</formula>
    </cfRule>
  </conditionalFormatting>
  <conditionalFormatting sqref="E2021">
    <cfRule type="containsText" dxfId="1176" priority="3040" operator="containsText" text="Pesquisa de Preços">
      <formula>NOT(ISERROR(SEARCH("Pesquisa de Preços",E2021)))</formula>
    </cfRule>
  </conditionalFormatting>
  <conditionalFormatting sqref="E2019:E2020 E2022:E2023">
    <cfRule type="containsText" dxfId="1175" priority="3042" operator="containsText" text="Pesquisa de Preços">
      <formula>NOT(ISERROR(SEARCH("Pesquisa de Preços",E2019)))</formula>
    </cfRule>
  </conditionalFormatting>
  <conditionalFormatting sqref="E2018">
    <cfRule type="containsText" dxfId="1174" priority="3041" operator="containsText" text="Pesquisa de Preços">
      <formula>NOT(ISERROR(SEARCH("Pesquisa de Preços",E2018)))</formula>
    </cfRule>
  </conditionalFormatting>
  <conditionalFormatting sqref="E2113">
    <cfRule type="containsText" dxfId="1173" priority="3039" operator="containsText" text="Pesquisa de Preços">
      <formula>NOT(ISERROR(SEARCH("Pesquisa de Preços",E2113)))</formula>
    </cfRule>
  </conditionalFormatting>
  <conditionalFormatting sqref="E2112">
    <cfRule type="containsText" dxfId="1172" priority="3038" operator="containsText" text="Pesquisa de Preços">
      <formula>NOT(ISERROR(SEARCH("Pesquisa de Preços",E2112)))</formula>
    </cfRule>
  </conditionalFormatting>
  <conditionalFormatting sqref="E2207:E2208">
    <cfRule type="containsText" dxfId="1171" priority="3037" operator="containsText" text="Pesquisa de Preços">
      <formula>NOT(ISERROR(SEARCH("Pesquisa de Preços",E2207)))</formula>
    </cfRule>
  </conditionalFormatting>
  <conditionalFormatting sqref="E2206">
    <cfRule type="containsText" dxfId="1170" priority="3036" operator="containsText" text="Pesquisa de Preços">
      <formula>NOT(ISERROR(SEARCH("Pesquisa de Preços",E2206)))</formula>
    </cfRule>
  </conditionalFormatting>
  <conditionalFormatting sqref="E2212:E2213 E2215">
    <cfRule type="containsText" dxfId="1169" priority="3035" operator="containsText" text="Pesquisa de Preços">
      <formula>NOT(ISERROR(SEARCH("Pesquisa de Preços",E2212)))</formula>
    </cfRule>
  </conditionalFormatting>
  <conditionalFormatting sqref="E2231 E2234:E2235">
    <cfRule type="containsText" dxfId="1168" priority="3031" operator="containsText" text="Pesquisa de Preços">
      <formula>NOT(ISERROR(SEARCH("Pesquisa de Preços",E2231)))</formula>
    </cfRule>
  </conditionalFormatting>
  <conditionalFormatting sqref="E2225 E2228:E2229">
    <cfRule type="containsText" dxfId="1167" priority="3029" operator="containsText" text="Pesquisa de Preços">
      <formula>NOT(ISERROR(SEARCH("Pesquisa de Preços",E2225)))</formula>
    </cfRule>
  </conditionalFormatting>
  <conditionalFormatting sqref="E2297">
    <cfRule type="containsText" dxfId="1166" priority="3024" operator="containsText" text="Pesquisa de Preços">
      <formula>NOT(ISERROR(SEARCH("Pesquisa de Preços",E2297)))</formula>
    </cfRule>
  </conditionalFormatting>
  <conditionalFormatting sqref="E2254">
    <cfRule type="containsText" dxfId="1165" priority="3025" operator="containsText" text="Pesquisa de Preços">
      <formula>NOT(ISERROR(SEARCH("Pesquisa de Preços",E2254)))</formula>
    </cfRule>
  </conditionalFormatting>
  <conditionalFormatting sqref="E2286">
    <cfRule type="containsText" dxfId="1164" priority="3021" operator="containsText" text="Pesquisa de Preços">
      <formula>NOT(ISERROR(SEARCH("Pesquisa de Preços",E2286)))</formula>
    </cfRule>
  </conditionalFormatting>
  <conditionalFormatting sqref="E2287">
    <cfRule type="containsText" dxfId="1163" priority="3022" operator="containsText" text="Pesquisa de Preços">
      <formula>NOT(ISERROR(SEARCH("Pesquisa de Preços",E2287)))</formula>
    </cfRule>
  </conditionalFormatting>
  <conditionalFormatting sqref="E2277 E2285">
    <cfRule type="containsText" dxfId="1162" priority="3019" operator="containsText" text="Pesquisa de Preços">
      <formula>NOT(ISERROR(SEARCH("Pesquisa de Preços",E2277)))</formula>
    </cfRule>
  </conditionalFormatting>
  <conditionalFormatting sqref="E2236">
    <cfRule type="containsText" dxfId="1161" priority="3016" operator="containsText" text="Pesquisa de Preços">
      <formula>NOT(ISERROR(SEARCH("Pesquisa de Preços",E2236)))</formula>
    </cfRule>
  </conditionalFormatting>
  <conditionalFormatting sqref="E2237:E2238">
    <cfRule type="containsText" dxfId="1160" priority="3017" operator="containsText" text="Pesquisa de Preços">
      <formula>NOT(ISERROR(SEARCH("Pesquisa de Preços",E2237)))</formula>
    </cfRule>
  </conditionalFormatting>
  <conditionalFormatting sqref="E2313">
    <cfRule type="containsText" dxfId="1159" priority="3013" operator="containsText" text="Pesquisa de Preços">
      <formula>NOT(ISERROR(SEARCH("Pesquisa de Preços",E2313)))</formula>
    </cfRule>
  </conditionalFormatting>
  <conditionalFormatting sqref="E2318">
    <cfRule type="containsText" dxfId="1158" priority="3012" operator="containsText" text="Pesquisa de Preços">
      <formula>NOT(ISERROR(SEARCH("Pesquisa de Preços",E2318)))</formula>
    </cfRule>
  </conditionalFormatting>
  <conditionalFormatting sqref="E2312">
    <cfRule type="containsText" dxfId="1157" priority="3011" operator="containsText" text="Pesquisa de Preços">
      <formula>NOT(ISERROR(SEARCH("Pesquisa de Preços",E2312)))</formula>
    </cfRule>
  </conditionalFormatting>
  <conditionalFormatting sqref="E2345">
    <cfRule type="containsText" dxfId="1156" priority="3010" operator="containsText" text="Pesquisa de Preços">
      <formula>NOT(ISERROR(SEARCH("Pesquisa de Preços",E2345)))</formula>
    </cfRule>
  </conditionalFormatting>
  <conditionalFormatting sqref="E2344">
    <cfRule type="containsText" dxfId="1155" priority="3009" operator="containsText" text="Pesquisa de Preços">
      <formula>NOT(ISERROR(SEARCH("Pesquisa de Preços",E2344)))</formula>
    </cfRule>
  </conditionalFormatting>
  <conditionalFormatting sqref="E2332">
    <cfRule type="containsText" dxfId="1154" priority="3007" operator="containsText" text="Pesquisa de Preços">
      <formula>NOT(ISERROR(SEARCH("Pesquisa de Preços",E2332)))</formula>
    </cfRule>
  </conditionalFormatting>
  <conditionalFormatting sqref="E2327:E2328 E2331">
    <cfRule type="containsText" dxfId="1153" priority="3006" operator="containsText" text="Pesquisa de Preços">
      <formula>NOT(ISERROR(SEARCH("Pesquisa de Preços",E2327)))</formula>
    </cfRule>
  </conditionalFormatting>
  <conditionalFormatting sqref="E2339:E2340 E2342:E2343">
    <cfRule type="containsText" dxfId="1152" priority="3004" operator="containsText" text="Pesquisa de Preços">
      <formula>NOT(ISERROR(SEARCH("Pesquisa de Preços",E2339)))</formula>
    </cfRule>
  </conditionalFormatting>
  <conditionalFormatting sqref="E2341">
    <cfRule type="containsText" dxfId="1151" priority="3002" operator="containsText" text="Pesquisa de Preços">
      <formula>NOT(ISERROR(SEARCH("Pesquisa de Preços",E2341)))</formula>
    </cfRule>
  </conditionalFormatting>
  <conditionalFormatting sqref="E2321 E2324:E2325">
    <cfRule type="containsText" dxfId="1150" priority="3001" operator="containsText" text="Pesquisa de Preços">
      <formula>NOT(ISERROR(SEARCH("Pesquisa de Preços",E2321)))</formula>
    </cfRule>
  </conditionalFormatting>
  <conditionalFormatting sqref="E2320">
    <cfRule type="containsText" dxfId="1149" priority="3000" operator="containsText" text="Pesquisa de Preços">
      <formula>NOT(ISERROR(SEARCH("Pesquisa de Preços",E2320)))</formula>
    </cfRule>
  </conditionalFormatting>
  <conditionalFormatting sqref="E2323">
    <cfRule type="containsText" dxfId="1148" priority="2999" operator="containsText" text="Pesquisa de Preços">
      <formula>NOT(ISERROR(SEARCH("Pesquisa de Preços",E2323)))</formula>
    </cfRule>
  </conditionalFormatting>
  <conditionalFormatting sqref="E2350:E2353">
    <cfRule type="containsText" dxfId="1147" priority="2998" operator="containsText" text="Pesquisa de Preços">
      <formula>NOT(ISERROR(SEARCH("Pesquisa de Preços",E2350)))</formula>
    </cfRule>
  </conditionalFormatting>
  <conditionalFormatting sqref="E2355 E2357:E2358">
    <cfRule type="containsText" dxfId="1146" priority="2996" operator="containsText" text="Pesquisa de Preços">
      <formula>NOT(ISERROR(SEARCH("Pesquisa de Preços",E2355)))</formula>
    </cfRule>
  </conditionalFormatting>
  <conditionalFormatting sqref="E893:E894 E896:E898">
    <cfRule type="containsText" dxfId="1145" priority="2994" operator="containsText" text="Pesquisa de Preços">
      <formula>NOT(ISERROR(SEARCH("Pesquisa de Preços",E893)))</formula>
    </cfRule>
  </conditionalFormatting>
  <conditionalFormatting sqref="E857:E858">
    <cfRule type="containsText" dxfId="1144" priority="2986" operator="containsText" text="Pesquisa de Preços">
      <formula>NOT(ISERROR(SEARCH("Pesquisa de Preços",E857)))</formula>
    </cfRule>
  </conditionalFormatting>
  <conditionalFormatting sqref="E876 E879:E880">
    <cfRule type="containsText" dxfId="1143" priority="2992" operator="containsText" text="Pesquisa de Preços">
      <formula>NOT(ISERROR(SEARCH("Pesquisa de Preços",E876)))</formula>
    </cfRule>
  </conditionalFormatting>
  <conditionalFormatting sqref="E885:E886">
    <cfRule type="containsText" dxfId="1142" priority="2989" operator="containsText" text="Pesquisa de Preços">
      <formula>NOT(ISERROR(SEARCH("Pesquisa de Preços",E885)))</formula>
    </cfRule>
  </conditionalFormatting>
  <conditionalFormatting sqref="E868">
    <cfRule type="containsText" dxfId="1141" priority="2979" operator="containsText" text="Pesquisa de Preços">
      <formula>NOT(ISERROR(SEARCH("Pesquisa de Preços",E868)))</formula>
    </cfRule>
  </conditionalFormatting>
  <conditionalFormatting sqref="E858:E860">
    <cfRule type="containsText" dxfId="1140" priority="2984" operator="containsText" text="Pesquisa de Preços">
      <formula>NOT(ISERROR(SEARCH("Pesquisa de Preços",E858)))</formula>
    </cfRule>
  </conditionalFormatting>
  <conditionalFormatting sqref="E846:E849">
    <cfRule type="containsText" dxfId="1139" priority="2983" operator="containsText" text="Pesquisa de Preços">
      <formula>NOT(ISERROR(SEARCH("Pesquisa de Preços",E846)))</formula>
    </cfRule>
  </conditionalFormatting>
  <conditionalFormatting sqref="E845">
    <cfRule type="containsText" dxfId="1138" priority="2982" operator="containsText" text="Pesquisa de Preços">
      <formula>NOT(ISERROR(SEARCH("Pesquisa de Preços",E845)))</formula>
    </cfRule>
  </conditionalFormatting>
  <conditionalFormatting sqref="E851 E854:E855">
    <cfRule type="containsText" dxfId="1137" priority="2981" operator="containsText" text="Pesquisa de Preços">
      <formula>NOT(ISERROR(SEARCH("Pesquisa de Preços",E851)))</formula>
    </cfRule>
  </conditionalFormatting>
  <conditionalFormatting sqref="E867">
    <cfRule type="containsText" dxfId="1136" priority="2978" operator="containsText" text="Pesquisa de Preços">
      <formula>NOT(ISERROR(SEARCH("Pesquisa de Preços",E867)))</formula>
    </cfRule>
  </conditionalFormatting>
  <conditionalFormatting sqref="E863">
    <cfRule type="containsText" dxfId="1135" priority="2977" operator="containsText" text="Pesquisa de Preços">
      <formula>NOT(ISERROR(SEARCH("Pesquisa de Preços",E863)))</formula>
    </cfRule>
  </conditionalFormatting>
  <conditionalFormatting sqref="E862">
    <cfRule type="containsText" dxfId="1134" priority="2976" operator="containsText" text="Pesquisa de Preços">
      <formula>NOT(ISERROR(SEARCH("Pesquisa de Preços",E862)))</formula>
    </cfRule>
  </conditionalFormatting>
  <conditionalFormatting sqref="E888:E889">
    <cfRule type="containsText" dxfId="1133" priority="2975" operator="containsText" text="Pesquisa de Preços">
      <formula>NOT(ISERROR(SEARCH("Pesquisa de Preços",E888)))</formula>
    </cfRule>
  </conditionalFormatting>
  <conditionalFormatting sqref="E887">
    <cfRule type="containsText" dxfId="1132" priority="2974" operator="containsText" text="Pesquisa de Preços">
      <formula>NOT(ISERROR(SEARCH("Pesquisa de Preços",E887)))</formula>
    </cfRule>
  </conditionalFormatting>
  <conditionalFormatting sqref="E900:E901">
    <cfRule type="containsText" dxfId="1131" priority="2973" operator="containsText" text="Pesquisa de Preços">
      <formula>NOT(ISERROR(SEARCH("Pesquisa de Preços",E900)))</formula>
    </cfRule>
  </conditionalFormatting>
  <conditionalFormatting sqref="E899">
    <cfRule type="containsText" dxfId="1130" priority="2972" operator="containsText" text="Pesquisa de Preços">
      <formula>NOT(ISERROR(SEARCH("Pesquisa de Preços",E899)))</formula>
    </cfRule>
  </conditionalFormatting>
  <conditionalFormatting sqref="E2366:E2367">
    <cfRule type="containsText" dxfId="1129" priority="2971" operator="containsText" text="Pesquisa de Preços">
      <formula>NOT(ISERROR(SEARCH("Pesquisa de Preços",E2366)))</formula>
    </cfRule>
  </conditionalFormatting>
  <conditionalFormatting sqref="E2365">
    <cfRule type="containsText" dxfId="1128" priority="2970" operator="containsText" text="Pesquisa de Preços">
      <formula>NOT(ISERROR(SEARCH("Pesquisa de Preços",E2365)))</formula>
    </cfRule>
  </conditionalFormatting>
  <conditionalFormatting sqref="E2374 E2377 E2379">
    <cfRule type="containsText" dxfId="1127" priority="2969" operator="containsText" text="Pesquisa de Preços">
      <formula>NOT(ISERROR(SEARCH("Pesquisa de Preços",E2374)))</formula>
    </cfRule>
  </conditionalFormatting>
  <conditionalFormatting sqref="E2373">
    <cfRule type="containsText" dxfId="1126" priority="2968" operator="containsText" text="Pesquisa de Preços">
      <formula>NOT(ISERROR(SEARCH("Pesquisa de Preços",E2373)))</formula>
    </cfRule>
  </conditionalFormatting>
  <conditionalFormatting sqref="E2360:E2361 E2363:E2364">
    <cfRule type="containsText" dxfId="1125" priority="2967" operator="containsText" text="Pesquisa de Preços">
      <formula>NOT(ISERROR(SEARCH("Pesquisa de Preços",E2360)))</formula>
    </cfRule>
  </conditionalFormatting>
  <conditionalFormatting sqref="E2387 E2392">
    <cfRule type="containsText" dxfId="1124" priority="2964" operator="containsText" text="Pesquisa de Preços">
      <formula>NOT(ISERROR(SEARCH("Pesquisa de Preços",E2387)))</formula>
    </cfRule>
  </conditionalFormatting>
  <conditionalFormatting sqref="E2362">
    <cfRule type="containsText" dxfId="1123" priority="2965" operator="containsText" text="Pesquisa de Preços">
      <formula>NOT(ISERROR(SEARCH("Pesquisa de Preços",E2362)))</formula>
    </cfRule>
  </conditionalFormatting>
  <conditionalFormatting sqref="E2381">
    <cfRule type="containsText" dxfId="1122" priority="2962" operator="containsText" text="Pesquisa de Preços">
      <formula>NOT(ISERROR(SEARCH("Pesquisa de Preços",E2381)))</formula>
    </cfRule>
  </conditionalFormatting>
  <conditionalFormatting sqref="E1770:E1771 E1774:E1775">
    <cfRule type="containsText" dxfId="1121" priority="2960" operator="containsText" text="Pesquisa de Preços">
      <formula>NOT(ISERROR(SEARCH("Pesquisa de Preços",E1770)))</formula>
    </cfRule>
  </conditionalFormatting>
  <conditionalFormatting sqref="E1769">
    <cfRule type="containsText" dxfId="1120" priority="2959" operator="containsText" text="Pesquisa de Preços">
      <formula>NOT(ISERROR(SEARCH("Pesquisa de Preços",E1769)))</formula>
    </cfRule>
  </conditionalFormatting>
  <conditionalFormatting sqref="E1742">
    <cfRule type="containsText" dxfId="1119" priority="2886" operator="containsText" text="Pesquisa de Preços">
      <formula>NOT(ISERROR(SEARCH("Pesquisa de Preços",E1742)))</formula>
    </cfRule>
  </conditionalFormatting>
  <conditionalFormatting sqref="E1772:E1773">
    <cfRule type="containsText" dxfId="1118" priority="2958" operator="containsText" text="Pesquisa de Preços">
      <formula>NOT(ISERROR(SEARCH("Pesquisa de Preços",E1772)))</formula>
    </cfRule>
  </conditionalFormatting>
  <conditionalFormatting sqref="E1784:E1785 E1788:E1789">
    <cfRule type="containsText" dxfId="1117" priority="2957" operator="containsText" text="Pesquisa de Preços">
      <formula>NOT(ISERROR(SEARCH("Pesquisa de Preços",E1784)))</formula>
    </cfRule>
  </conditionalFormatting>
  <conditionalFormatting sqref="E1783">
    <cfRule type="containsText" dxfId="1116" priority="2956" operator="containsText" text="Pesquisa de Preços">
      <formula>NOT(ISERROR(SEARCH("Pesquisa de Preços",E1783)))</formula>
    </cfRule>
  </conditionalFormatting>
  <conditionalFormatting sqref="E1786:E1787">
    <cfRule type="containsText" dxfId="1115" priority="2955" operator="containsText" text="Pesquisa de Preços">
      <formula>NOT(ISERROR(SEARCH("Pesquisa de Preços",E1786)))</formula>
    </cfRule>
  </conditionalFormatting>
  <conditionalFormatting sqref="E1798:E1799 E1802:E1803">
    <cfRule type="containsText" dxfId="1114" priority="2954" operator="containsText" text="Pesquisa de Preços">
      <formula>NOT(ISERROR(SEARCH("Pesquisa de Preços",E1798)))</formula>
    </cfRule>
  </conditionalFormatting>
  <conditionalFormatting sqref="E1797">
    <cfRule type="containsText" dxfId="1113" priority="2953" operator="containsText" text="Pesquisa de Preços">
      <formula>NOT(ISERROR(SEARCH("Pesquisa de Preços",E1797)))</formula>
    </cfRule>
  </conditionalFormatting>
  <conditionalFormatting sqref="E1800:E1801">
    <cfRule type="containsText" dxfId="1112" priority="2952" operator="containsText" text="Pesquisa de Preços">
      <formula>NOT(ISERROR(SEARCH("Pesquisa de Preços",E1800)))</formula>
    </cfRule>
  </conditionalFormatting>
  <conditionalFormatting sqref="E1756:E1757 E1760:E1761">
    <cfRule type="containsText" dxfId="1111" priority="2951" operator="containsText" text="Pesquisa de Preços">
      <formula>NOT(ISERROR(SEARCH("Pesquisa de Preços",E1756)))</formula>
    </cfRule>
  </conditionalFormatting>
  <conditionalFormatting sqref="E1755">
    <cfRule type="containsText" dxfId="1110" priority="2950" operator="containsText" text="Pesquisa de Preços">
      <formula>NOT(ISERROR(SEARCH("Pesquisa de Preços",E1755)))</formula>
    </cfRule>
  </conditionalFormatting>
  <conditionalFormatting sqref="E1758:E1759">
    <cfRule type="containsText" dxfId="1109" priority="2949" operator="containsText" text="Pesquisa de Preços">
      <formula>NOT(ISERROR(SEARCH("Pesquisa de Preços",E1758)))</formula>
    </cfRule>
  </conditionalFormatting>
  <conditionalFormatting sqref="E1763:E1764 E1767:E1768">
    <cfRule type="containsText" dxfId="1108" priority="2948" operator="containsText" text="Pesquisa de Preços">
      <formula>NOT(ISERROR(SEARCH("Pesquisa de Preços",E1763)))</formula>
    </cfRule>
  </conditionalFormatting>
  <conditionalFormatting sqref="E1762">
    <cfRule type="containsText" dxfId="1107" priority="2947" operator="containsText" text="Pesquisa de Preços">
      <formula>NOT(ISERROR(SEARCH("Pesquisa de Preços",E1762)))</formula>
    </cfRule>
  </conditionalFormatting>
  <conditionalFormatting sqref="E590 E594">
    <cfRule type="containsText" dxfId="1106" priority="2885" operator="containsText" text="Pesquisa de Preços">
      <formula>NOT(ISERROR(SEARCH("Pesquisa de Preços",E590)))</formula>
    </cfRule>
  </conditionalFormatting>
  <conditionalFormatting sqref="E1765:E1766">
    <cfRule type="containsText" dxfId="1105" priority="2946" operator="containsText" text="Pesquisa de Preços">
      <formula>NOT(ISERROR(SEARCH("Pesquisa de Preços",E1765)))</formula>
    </cfRule>
  </conditionalFormatting>
  <conditionalFormatting sqref="E1777 E1782">
    <cfRule type="containsText" dxfId="1104" priority="2945" operator="containsText" text="Pesquisa de Preços">
      <formula>NOT(ISERROR(SEARCH("Pesquisa de Preços",E1777)))</formula>
    </cfRule>
  </conditionalFormatting>
  <conditionalFormatting sqref="E1776">
    <cfRule type="containsText" dxfId="1103" priority="2944" operator="containsText" text="Pesquisa de Preços">
      <formula>NOT(ISERROR(SEARCH("Pesquisa de Preços",E1776)))</formula>
    </cfRule>
  </conditionalFormatting>
  <conditionalFormatting sqref="E380">
    <cfRule type="containsText" dxfId="1102" priority="2882" operator="containsText" text="Pesquisa de Preços">
      <formula>NOT(ISERROR(SEARCH("Pesquisa de Preços",E380)))</formula>
    </cfRule>
  </conditionalFormatting>
  <conditionalFormatting sqref="E1796">
    <cfRule type="containsText" dxfId="1101" priority="2943" operator="containsText" text="Pesquisa de Preços">
      <formula>NOT(ISERROR(SEARCH("Pesquisa de Preços",E1796)))</formula>
    </cfRule>
  </conditionalFormatting>
  <conditionalFormatting sqref="E1170">
    <cfRule type="containsText" dxfId="1100" priority="2942" operator="containsText" text="Pesquisa de Preços">
      <formula>NOT(ISERROR(SEARCH("Pesquisa de Preços",E1170)))</formula>
    </cfRule>
  </conditionalFormatting>
  <conditionalFormatting sqref="E1980">
    <cfRule type="containsText" dxfId="1099" priority="2940" operator="containsText" text="Pesquisa de Preços">
      <formula>NOT(ISERROR(SEARCH("Pesquisa de Preços",E1980)))</formula>
    </cfRule>
  </conditionalFormatting>
  <conditionalFormatting sqref="E1977:E1978">
    <cfRule type="containsText" dxfId="1098" priority="2939" operator="containsText" text="Pesquisa de Preços">
      <formula>NOT(ISERROR(SEARCH("Pesquisa de Preços",E1977)))</formula>
    </cfRule>
  </conditionalFormatting>
  <conditionalFormatting sqref="E2013 E2016">
    <cfRule type="containsText" dxfId="1097" priority="2938" operator="containsText" text="Pesquisa de Preços">
      <formula>NOT(ISERROR(SEARCH("Pesquisa de Preços",E2013)))</formula>
    </cfRule>
  </conditionalFormatting>
  <conditionalFormatting sqref="E2014:E2015">
    <cfRule type="containsText" dxfId="1096" priority="2937" operator="containsText" text="Pesquisa de Preços">
      <formula>NOT(ISERROR(SEARCH("Pesquisa de Preços",E2014)))</formula>
    </cfRule>
  </conditionalFormatting>
  <conditionalFormatting sqref="E1992 E1995">
    <cfRule type="containsText" dxfId="1095" priority="2936" operator="containsText" text="Pesquisa de Preços">
      <formula>NOT(ISERROR(SEARCH("Pesquisa de Preços",E1992)))</formula>
    </cfRule>
  </conditionalFormatting>
  <conditionalFormatting sqref="E1993:E1994">
    <cfRule type="containsText" dxfId="1094" priority="2935" operator="containsText" text="Pesquisa de Preços">
      <formula>NOT(ISERROR(SEARCH("Pesquisa de Preços",E1993)))</formula>
    </cfRule>
  </conditionalFormatting>
  <conditionalFormatting sqref="E2093:E2094">
    <cfRule type="containsText" dxfId="1093" priority="2934" operator="containsText" text="Pesquisa de Preços">
      <formula>NOT(ISERROR(SEARCH("Pesquisa de Preços",E2093)))</formula>
    </cfRule>
  </conditionalFormatting>
  <conditionalFormatting sqref="E2029:E2030">
    <cfRule type="containsText" dxfId="1092" priority="2933" operator="containsText" text="Pesquisa de Preços">
      <formula>NOT(ISERROR(SEARCH("Pesquisa de Preços",E2029)))</formula>
    </cfRule>
  </conditionalFormatting>
  <conditionalFormatting sqref="E829">
    <cfRule type="containsText" dxfId="1091" priority="2865" operator="containsText" text="Pesquisa de Preços">
      <formula>NOT(ISERROR(SEARCH("Pesquisa de Preços",E829)))</formula>
    </cfRule>
  </conditionalFormatting>
  <conditionalFormatting sqref="E830">
    <cfRule type="containsText" dxfId="1090" priority="2864" operator="containsText" text="Pesquisa de Preços">
      <formula>NOT(ISERROR(SEARCH("Pesquisa de Preços",E830)))</formula>
    </cfRule>
  </conditionalFormatting>
  <conditionalFormatting sqref="E94:E95">
    <cfRule type="containsText" dxfId="1089" priority="2859" operator="containsText" text="Pesquisa de Preços">
      <formula>NOT(ISERROR(SEARCH("Pesquisa de Preços",E94)))</formula>
    </cfRule>
  </conditionalFormatting>
  <conditionalFormatting sqref="E207">
    <cfRule type="containsText" dxfId="1088" priority="2857" operator="containsText" text="Pesquisa de Preços">
      <formula>NOT(ISERROR(SEARCH("Pesquisa de Preços",E207)))</formula>
    </cfRule>
  </conditionalFormatting>
  <conditionalFormatting sqref="E1635">
    <cfRule type="containsText" dxfId="1087" priority="2855" operator="containsText" text="Pesquisa de Preços">
      <formula>NOT(ISERROR(SEARCH("Pesquisa de Preços",E1635)))</formula>
    </cfRule>
  </conditionalFormatting>
  <conditionalFormatting sqref="E1611">
    <cfRule type="containsText" dxfId="1086" priority="2853" operator="containsText" text="Pesquisa de Preços">
      <formula>NOT(ISERROR(SEARCH("Pesquisa de Preços",E1611)))</formula>
    </cfRule>
  </conditionalFormatting>
  <conditionalFormatting sqref="E1687">
    <cfRule type="containsText" dxfId="1085" priority="2852" operator="containsText" text="Pesquisa de Preços">
      <formula>NOT(ISERROR(SEARCH("Pesquisa de Preços",E1687)))</formula>
    </cfRule>
  </conditionalFormatting>
  <conditionalFormatting sqref="E54">
    <cfRule type="containsText" dxfId="1084" priority="2915" operator="containsText" text="Pesquisa de Preços">
      <formula>NOT(ISERROR(SEARCH("Pesquisa de Preços",E54)))</formula>
    </cfRule>
  </conditionalFormatting>
  <conditionalFormatting sqref="E206">
    <cfRule type="containsText" dxfId="1083" priority="2932" operator="containsText" text="Pesquisa de Preços">
      <formula>NOT(ISERROR(SEARCH("Pesquisa de Preços",E206)))</formula>
    </cfRule>
  </conditionalFormatting>
  <conditionalFormatting sqref="E205">
    <cfRule type="containsText" dxfId="1082" priority="2931" operator="containsText" text="Pesquisa de Preços">
      <formula>NOT(ISERROR(SEARCH("Pesquisa de Preços",E205)))</formula>
    </cfRule>
  </conditionalFormatting>
  <conditionalFormatting sqref="E103:E104">
    <cfRule type="containsText" dxfId="1081" priority="2930" operator="containsText" text="Pesquisa de Preços">
      <formula>NOT(ISERROR(SEARCH("Pesquisa de Preços",E103)))</formula>
    </cfRule>
  </conditionalFormatting>
  <conditionalFormatting sqref="E102">
    <cfRule type="containsText" dxfId="1080" priority="2929" operator="containsText" text="Pesquisa de Preços">
      <formula>NOT(ISERROR(SEARCH("Pesquisa de Preços",E102)))</formula>
    </cfRule>
  </conditionalFormatting>
  <conditionalFormatting sqref="E423:E424">
    <cfRule type="containsText" dxfId="1079" priority="2928" operator="containsText" text="Pesquisa de Preços">
      <formula>NOT(ISERROR(SEARCH("Pesquisa de Preços",E423)))</formula>
    </cfRule>
  </conditionalFormatting>
  <conditionalFormatting sqref="E422">
    <cfRule type="containsText" dxfId="1078" priority="2927" operator="containsText" text="Pesquisa de Preços">
      <formula>NOT(ISERROR(SEARCH("Pesquisa de Preços",E422)))</formula>
    </cfRule>
  </conditionalFormatting>
  <conditionalFormatting sqref="E425:E427">
    <cfRule type="containsText" dxfId="1077" priority="2926" operator="containsText" text="Pesquisa de Preços">
      <formula>NOT(ISERROR(SEARCH("Pesquisa de Preços",E425)))</formula>
    </cfRule>
  </conditionalFormatting>
  <conditionalFormatting sqref="E616 E620">
    <cfRule type="containsText" dxfId="1076" priority="2925" operator="containsText" text="Pesquisa de Preços">
      <formula>NOT(ISERROR(SEARCH("Pesquisa de Preços",E616)))</formula>
    </cfRule>
  </conditionalFormatting>
  <conditionalFormatting sqref="E615">
    <cfRule type="containsText" dxfId="1075" priority="2924" operator="containsText" text="Pesquisa de Preços">
      <formula>NOT(ISERROR(SEARCH("Pesquisa de Preços",E615)))</formula>
    </cfRule>
  </conditionalFormatting>
  <conditionalFormatting sqref="E589 E595">
    <cfRule type="containsText" dxfId="1074" priority="2923" operator="containsText" text="Pesquisa de Preços">
      <formula>NOT(ISERROR(SEARCH("Pesquisa de Preços",E589)))</formula>
    </cfRule>
  </conditionalFormatting>
  <conditionalFormatting sqref="E588">
    <cfRule type="containsText" dxfId="1073" priority="2922" operator="containsText" text="Pesquisa de Preços">
      <formula>NOT(ISERROR(SEARCH("Pesquisa de Preços",E588)))</formula>
    </cfRule>
  </conditionalFormatting>
  <conditionalFormatting sqref="E638:E639 E642:E643">
    <cfRule type="containsText" dxfId="1072" priority="2921" operator="containsText" text="Pesquisa de Preços">
      <formula>NOT(ISERROR(SEARCH("Pesquisa de Preços",E638)))</formula>
    </cfRule>
  </conditionalFormatting>
  <conditionalFormatting sqref="E637">
    <cfRule type="containsText" dxfId="1071" priority="2920" operator="containsText" text="Pesquisa de Preços">
      <formula>NOT(ISERROR(SEARCH("Pesquisa de Preços",E637)))</formula>
    </cfRule>
  </conditionalFormatting>
  <conditionalFormatting sqref="E640:E641">
    <cfRule type="containsText" dxfId="1070" priority="2919" operator="containsText" text="Pesquisa de Preços">
      <formula>NOT(ISERROR(SEARCH("Pesquisa de Preços",E640)))</formula>
    </cfRule>
  </conditionalFormatting>
  <conditionalFormatting sqref="E226">
    <cfRule type="containsText" dxfId="1069" priority="2918" operator="containsText" text="Pesquisa de Preços">
      <formula>NOT(ISERROR(SEARCH("Pesquisa de Preços",E226)))</formula>
    </cfRule>
  </conditionalFormatting>
  <conditionalFormatting sqref="E151:E152">
    <cfRule type="containsText" dxfId="1068" priority="2917" operator="containsText" text="Pesquisa de Preços">
      <formula>NOT(ISERROR(SEARCH("Pesquisa de Preços",E151)))</formula>
    </cfRule>
  </conditionalFormatting>
  <conditionalFormatting sqref="E163:E164">
    <cfRule type="containsText" dxfId="1067" priority="2916" operator="containsText" text="Pesquisa de Preços">
      <formula>NOT(ISERROR(SEARCH("Pesquisa de Preços",E163)))</formula>
    </cfRule>
  </conditionalFormatting>
  <conditionalFormatting sqref="E55:E57">
    <cfRule type="containsText" dxfId="1066" priority="2914" operator="containsText" text="Pesquisa de Preços">
      <formula>NOT(ISERROR(SEARCH("Pesquisa de Preços",E55)))</formula>
    </cfRule>
  </conditionalFormatting>
  <conditionalFormatting sqref="E30:E31">
    <cfRule type="containsText" dxfId="1065" priority="2913" operator="containsText" text="Pesquisa de Preços">
      <formula>NOT(ISERROR(SEARCH("Pesquisa de Preços",E30)))</formula>
    </cfRule>
  </conditionalFormatting>
  <conditionalFormatting sqref="E25:E26">
    <cfRule type="containsText" dxfId="1064" priority="2912" operator="containsText" text="Pesquisa de Preços">
      <formula>NOT(ISERROR(SEARCH("Pesquisa de Preços",E25)))</formula>
    </cfRule>
  </conditionalFormatting>
  <conditionalFormatting sqref="E181">
    <cfRule type="containsText" dxfId="1063" priority="2911" operator="containsText" text="Pesquisa de Preços">
      <formula>NOT(ISERROR(SEARCH("Pesquisa de Preços",E181)))</formula>
    </cfRule>
  </conditionalFormatting>
  <conditionalFormatting sqref="E128:E129">
    <cfRule type="containsText" dxfId="1062" priority="2910" operator="containsText" text="Pesquisa de Preços">
      <formula>NOT(ISERROR(SEARCH("Pesquisa de Preços",E128)))</formula>
    </cfRule>
  </conditionalFormatting>
  <conditionalFormatting sqref="E1920">
    <cfRule type="containsText" dxfId="1061" priority="2835" operator="containsText" text="Pesquisa de Preços">
      <formula>NOT(ISERROR(SEARCH("Pesquisa de Preços",E1920)))</formula>
    </cfRule>
  </conditionalFormatting>
  <conditionalFormatting sqref="E84">
    <cfRule type="containsText" dxfId="1060" priority="2909" operator="containsText" text="Pesquisa de Preços">
      <formula>NOT(ISERROR(SEARCH("Pesquisa de Preços",E84)))</formula>
    </cfRule>
  </conditionalFormatting>
  <conditionalFormatting sqref="E85">
    <cfRule type="containsText" dxfId="1059" priority="2908" operator="containsText" text="Pesquisa de Preços">
      <formula>NOT(ISERROR(SEARCH("Pesquisa de Preços",E85)))</formula>
    </cfRule>
  </conditionalFormatting>
  <conditionalFormatting sqref="E61">
    <cfRule type="containsText" dxfId="1058" priority="2907" operator="containsText" text="Pesquisa de Preços">
      <formula>NOT(ISERROR(SEARCH("Pesquisa de Preços",E61)))</formula>
    </cfRule>
  </conditionalFormatting>
  <conditionalFormatting sqref="E62">
    <cfRule type="containsText" dxfId="1057" priority="2906" operator="containsText" text="Pesquisa de Preços">
      <formula>NOT(ISERROR(SEARCH("Pesquisa de Preços",E62)))</formula>
    </cfRule>
  </conditionalFormatting>
  <conditionalFormatting sqref="E2346">
    <cfRule type="containsText" dxfId="1056" priority="2832" operator="containsText" text="Pesquisa de Preços">
      <formula>NOT(ISERROR(SEARCH("Pesquisa de Preços",E2346)))</formula>
    </cfRule>
  </conditionalFormatting>
  <conditionalFormatting sqref="E44:E45">
    <cfRule type="containsText" dxfId="1055" priority="2905" operator="containsText" text="Pesquisa de Preços">
      <formula>NOT(ISERROR(SEARCH("Pesquisa de Preços",E44)))</formula>
    </cfRule>
  </conditionalFormatting>
  <conditionalFormatting sqref="E311">
    <cfRule type="containsText" dxfId="1054" priority="2904" operator="containsText" text="Pesquisa de Preços">
      <formula>NOT(ISERROR(SEARCH("Pesquisa de Preços",E311)))</formula>
    </cfRule>
  </conditionalFormatting>
  <conditionalFormatting sqref="E297">
    <cfRule type="containsText" dxfId="1053" priority="2903" operator="containsText" text="Pesquisa de Preços">
      <formula>NOT(ISERROR(SEARCH("Pesquisa de Preços",E297)))</formula>
    </cfRule>
  </conditionalFormatting>
  <conditionalFormatting sqref="E457">
    <cfRule type="containsText" dxfId="1052" priority="2902" operator="containsText" text="Pesquisa de Preços">
      <formula>NOT(ISERROR(SEARCH("Pesquisa de Preços",E457)))</formula>
    </cfRule>
  </conditionalFormatting>
  <conditionalFormatting sqref="E500:E501">
    <cfRule type="containsText" dxfId="1051" priority="2899" operator="containsText" text="Pesquisa de Preços">
      <formula>NOT(ISERROR(SEARCH("Pesquisa de Preços",E500)))</formula>
    </cfRule>
  </conditionalFormatting>
  <conditionalFormatting sqref="E467">
    <cfRule type="containsText" dxfId="1050" priority="2901" operator="containsText" text="Pesquisa de Preços">
      <formula>NOT(ISERROR(SEARCH("Pesquisa de Preços",E467)))</formula>
    </cfRule>
  </conditionalFormatting>
  <conditionalFormatting sqref="E499 E502">
    <cfRule type="containsText" dxfId="1049" priority="2900" operator="containsText" text="Pesquisa de Preços">
      <formula>NOT(ISERROR(SEARCH("Pesquisa de Preços",E499)))</formula>
    </cfRule>
  </conditionalFormatting>
  <conditionalFormatting sqref="E623">
    <cfRule type="containsText" dxfId="1048" priority="2898" operator="containsText" text="Pesquisa de Preços">
      <formula>NOT(ISERROR(SEARCH("Pesquisa de Preços",E623)))</formula>
    </cfRule>
  </conditionalFormatting>
  <conditionalFormatting sqref="E624:E626">
    <cfRule type="containsText" dxfId="1047" priority="2897" operator="containsText" text="Pesquisa de Preços">
      <formula>NOT(ISERROR(SEARCH("Pesquisa de Preços",E624)))</formula>
    </cfRule>
  </conditionalFormatting>
  <conditionalFormatting sqref="E993">
    <cfRule type="containsText" dxfId="1046" priority="2896" operator="containsText" text="Pesquisa de Preços">
      <formula>NOT(ISERROR(SEARCH("Pesquisa de Preços",E993)))</formula>
    </cfRule>
  </conditionalFormatting>
  <conditionalFormatting sqref="E614">
    <cfRule type="containsText" dxfId="1045" priority="2880" operator="containsText" text="Pesquisa de Preços">
      <formula>NOT(ISERROR(SEARCH("Pesquisa de Preços",E614)))</formula>
    </cfRule>
  </conditionalFormatting>
  <conditionalFormatting sqref="E737">
    <cfRule type="containsText" dxfId="1044" priority="2879" operator="containsText" text="Pesquisa de Preços">
      <formula>NOT(ISERROR(SEARCH("Pesquisa de Preços",E737)))</formula>
    </cfRule>
  </conditionalFormatting>
  <conditionalFormatting sqref="E1497">
    <cfRule type="containsText" dxfId="1043" priority="2893" operator="containsText" text="Pesquisa de Preços">
      <formula>NOT(ISERROR(SEARCH("Pesquisa de Preços",E1497)))</formula>
    </cfRule>
  </conditionalFormatting>
  <conditionalFormatting sqref="E591:E593">
    <cfRule type="containsText" dxfId="1042" priority="2884" operator="containsText" text="Pesquisa de Preços">
      <formula>NOT(ISERROR(SEARCH("Pesquisa de Preços",E591)))</formula>
    </cfRule>
  </conditionalFormatting>
  <conditionalFormatting sqref="E1624:E1625">
    <cfRule type="containsText" dxfId="1041" priority="2889" operator="containsText" text="Pesquisa de Preços">
      <formula>NOT(ISERROR(SEARCH("Pesquisa de Preços",E1624)))</formula>
    </cfRule>
  </conditionalFormatting>
  <conditionalFormatting sqref="E1629">
    <cfRule type="containsText" dxfId="1040" priority="2892" operator="containsText" text="Pesquisa de Preços">
      <formula>NOT(ISERROR(SEARCH("Pesquisa de Preços",E1629)))</formula>
    </cfRule>
  </conditionalFormatting>
  <conditionalFormatting sqref="E1630:E1631">
    <cfRule type="containsText" dxfId="1039" priority="2891" operator="containsText" text="Pesquisa de Preços">
      <formula>NOT(ISERROR(SEARCH("Pesquisa de Preços",E1630)))</formula>
    </cfRule>
  </conditionalFormatting>
  <conditionalFormatting sqref="E1623">
    <cfRule type="containsText" dxfId="1038" priority="2890" operator="containsText" text="Pesquisa de Preços">
      <formula>NOT(ISERROR(SEARCH("Pesquisa de Preços",E1623)))</formula>
    </cfRule>
  </conditionalFormatting>
  <conditionalFormatting sqref="E1746">
    <cfRule type="containsText" dxfId="1037" priority="2888" operator="containsText" text="Pesquisa de Preços">
      <formula>NOT(ISERROR(SEARCH("Pesquisa de Preços",E1746)))</formula>
    </cfRule>
  </conditionalFormatting>
  <conditionalFormatting sqref="E381">
    <cfRule type="containsText" dxfId="1036" priority="2883" operator="containsText" text="Pesquisa de Preços">
      <formula>NOT(ISERROR(SEARCH("Pesquisa de Preços",E381)))</formula>
    </cfRule>
  </conditionalFormatting>
  <conditionalFormatting sqref="E1067:E1068">
    <cfRule type="containsText" dxfId="1035" priority="2805" operator="containsText" text="Pesquisa de Preços">
      <formula>NOT(ISERROR(SEARCH("Pesquisa de Preços",E1067)))</formula>
    </cfRule>
  </conditionalFormatting>
  <conditionalFormatting sqref="E605">
    <cfRule type="containsText" dxfId="1034" priority="2881" operator="containsText" text="Pesquisa de Preços">
      <formula>NOT(ISERROR(SEARCH("Pesquisa de Preços",E605)))</formula>
    </cfRule>
  </conditionalFormatting>
  <conditionalFormatting sqref="E1080:E1084">
    <cfRule type="containsText" dxfId="1033" priority="2804" operator="containsText" text="Pesquisa de Preços">
      <formula>NOT(ISERROR(SEARCH("Pesquisa de Preços",E1080)))</formula>
    </cfRule>
  </conditionalFormatting>
  <conditionalFormatting sqref="E736">
    <cfRule type="containsText" dxfId="1032" priority="2878" operator="containsText" text="Pesquisa de Preços">
      <formula>NOT(ISERROR(SEARCH("Pesquisa de Preços",E736)))</formula>
    </cfRule>
  </conditionalFormatting>
  <conditionalFormatting sqref="E631">
    <cfRule type="containsText" dxfId="1031" priority="2875" operator="containsText" text="Pesquisa de Preços">
      <formula>NOT(ISERROR(SEARCH("Pesquisa de Preços",E631)))</formula>
    </cfRule>
  </conditionalFormatting>
  <conditionalFormatting sqref="E630 E635:E636">
    <cfRule type="containsText" dxfId="1030" priority="2877" operator="containsText" text="Pesquisa de Preços">
      <formula>NOT(ISERROR(SEARCH("Pesquisa de Preços",E630)))</formula>
    </cfRule>
  </conditionalFormatting>
  <conditionalFormatting sqref="E629">
    <cfRule type="containsText" dxfId="1029" priority="2876" operator="containsText" text="Pesquisa de Preços">
      <formula>NOT(ISERROR(SEARCH("Pesquisa de Preços",E629)))</formula>
    </cfRule>
  </conditionalFormatting>
  <conditionalFormatting sqref="E1257:E1258 E1253:E1254">
    <cfRule type="containsText" dxfId="1028" priority="2873" operator="containsText" text="Pesquisa de Preços">
      <formula>NOT(ISERROR(SEARCH("Pesquisa de Preços",E1253)))</formula>
    </cfRule>
  </conditionalFormatting>
  <conditionalFormatting sqref="E632:E634">
    <cfRule type="containsText" dxfId="1027" priority="2874" operator="containsText" text="Pesquisa de Preços">
      <formula>NOT(ISERROR(SEARCH("Pesquisa de Preços",E632)))</formula>
    </cfRule>
  </conditionalFormatting>
  <conditionalFormatting sqref="E1252">
    <cfRule type="containsText" dxfId="1026" priority="2872" operator="containsText" text="Pesquisa de Preços">
      <formula>NOT(ISERROR(SEARCH("Pesquisa de Preços",E1252)))</formula>
    </cfRule>
  </conditionalFormatting>
  <conditionalFormatting sqref="E1255:E1256">
    <cfRule type="containsText" dxfId="1025" priority="2871" operator="containsText" text="Pesquisa de Preços">
      <formula>NOT(ISERROR(SEARCH("Pesquisa de Preços",E1255)))</formula>
    </cfRule>
  </conditionalFormatting>
  <conditionalFormatting sqref="E1155 E1159:E1160">
    <cfRule type="containsText" dxfId="1024" priority="2870" operator="containsText" text="Pesquisa de Preços">
      <formula>NOT(ISERROR(SEARCH("Pesquisa de Preços",E1155)))</formula>
    </cfRule>
  </conditionalFormatting>
  <conditionalFormatting sqref="E1154">
    <cfRule type="containsText" dxfId="1023" priority="2869" operator="containsText" text="Pesquisa de Preços">
      <formula>NOT(ISERROR(SEARCH("Pesquisa de Preços",E1154)))</formula>
    </cfRule>
  </conditionalFormatting>
  <conditionalFormatting sqref="E1215:E1216 E1211:E1212">
    <cfRule type="containsText" dxfId="1022" priority="2868" operator="containsText" text="Pesquisa de Preços">
      <formula>NOT(ISERROR(SEARCH("Pesquisa de Preços",E1211)))</formula>
    </cfRule>
  </conditionalFormatting>
  <conditionalFormatting sqref="E1210">
    <cfRule type="containsText" dxfId="1021" priority="2867" operator="containsText" text="Pesquisa de Preços">
      <formula>NOT(ISERROR(SEARCH("Pesquisa de Preços",E1210)))</formula>
    </cfRule>
  </conditionalFormatting>
  <conditionalFormatting sqref="E1213:E1214">
    <cfRule type="containsText" dxfId="1020" priority="2866" operator="containsText" text="Pesquisa de Preços">
      <formula>NOT(ISERROR(SEARCH("Pesquisa de Preços",E1213)))</formula>
    </cfRule>
  </conditionalFormatting>
  <conditionalFormatting sqref="E1349">
    <cfRule type="containsText" dxfId="1019" priority="2803" operator="containsText" text="Pesquisa de Preços">
      <formula>NOT(ISERROR(SEARCH("Pesquisa de Preços",E1349)))</formula>
    </cfRule>
  </conditionalFormatting>
  <conditionalFormatting sqref="E865:E866">
    <cfRule type="containsText" dxfId="1018" priority="2863" operator="containsText" text="Pesquisa de Preços">
      <formula>NOT(ISERROR(SEARCH("Pesquisa de Preços",E865)))</formula>
    </cfRule>
  </conditionalFormatting>
  <conditionalFormatting sqref="E1509">
    <cfRule type="containsText" dxfId="1017" priority="2802" operator="containsText" text="Pesquisa de Preços">
      <formula>NOT(ISERROR(SEARCH("Pesquisa de Preços",E1509)))</formula>
    </cfRule>
  </conditionalFormatting>
  <conditionalFormatting sqref="E208">
    <cfRule type="containsText" dxfId="1016" priority="2858" operator="containsText" text="Pesquisa de Preços">
      <formula>NOT(ISERROR(SEARCH("Pesquisa de Preços",E208)))</formula>
    </cfRule>
  </conditionalFormatting>
  <conditionalFormatting sqref="E1618">
    <cfRule type="containsText" dxfId="1015" priority="2856" operator="containsText" text="Pesquisa de Preços">
      <formula>NOT(ISERROR(SEARCH("Pesquisa de Preços",E1618)))</formula>
    </cfRule>
  </conditionalFormatting>
  <conditionalFormatting sqref="E1685">
    <cfRule type="containsText" dxfId="1014" priority="2854" operator="containsText" text="Pesquisa de Preços">
      <formula>NOT(ISERROR(SEARCH("Pesquisa de Preços",E1685)))</formula>
    </cfRule>
  </conditionalFormatting>
  <conditionalFormatting sqref="E1613">
    <cfRule type="containsText" dxfId="1013" priority="2851" operator="containsText" text="Pesquisa de Preços">
      <formula>NOT(ISERROR(SEARCH("Pesquisa de Preços",E1613)))</formula>
    </cfRule>
  </conditionalFormatting>
  <conditionalFormatting sqref="E142">
    <cfRule type="containsText" dxfId="1012" priority="2850" operator="containsText" text="Pesquisa de Preços">
      <formula>NOT(ISERROR(SEARCH("Pesquisa de Preços",E142)))</formula>
    </cfRule>
  </conditionalFormatting>
  <conditionalFormatting sqref="E802">
    <cfRule type="containsText" dxfId="1011" priority="2849" operator="containsText" text="Pesquisa de Preços">
      <formula>NOT(ISERROR(SEARCH("Pesquisa de Preços",E802)))</formula>
    </cfRule>
  </conditionalFormatting>
  <conditionalFormatting sqref="E1001">
    <cfRule type="containsText" dxfId="1010" priority="2848" operator="containsText" text="Pesquisa de Preços">
      <formula>NOT(ISERROR(SEARCH("Pesquisa de Preços",E1001)))</formula>
    </cfRule>
  </conditionalFormatting>
  <conditionalFormatting sqref="E1006">
    <cfRule type="containsText" dxfId="1009" priority="2847" operator="containsText" text="Pesquisa de Preços">
      <formula>NOT(ISERROR(SEARCH("Pesquisa de Preços",E1006)))</formula>
    </cfRule>
  </conditionalFormatting>
  <conditionalFormatting sqref="E113">
    <cfRule type="containsText" dxfId="1008" priority="2846" operator="containsText" text="Pesquisa de Preços">
      <formula>NOT(ISERROR(SEARCH("Pesquisa de Preços",E113)))</formula>
    </cfRule>
  </conditionalFormatting>
  <conditionalFormatting sqref="E114">
    <cfRule type="containsText" dxfId="1007" priority="2845" operator="containsText" text="Pesquisa de Preços">
      <formula>NOT(ISERROR(SEARCH("Pesquisa de Preços",E114)))</formula>
    </cfRule>
  </conditionalFormatting>
  <conditionalFormatting sqref="E1480">
    <cfRule type="containsText" dxfId="1006" priority="2801" operator="containsText" text="Pesquisa de Preços">
      <formula>NOT(ISERROR(SEARCH("Pesquisa de Preços",E1480)))</formula>
    </cfRule>
  </conditionalFormatting>
  <conditionalFormatting sqref="E1692:E1693">
    <cfRule type="containsText" dxfId="1005" priority="2844" operator="containsText" text="Pesquisa de Preços">
      <formula>NOT(ISERROR(SEARCH("Pesquisa de Preços",E1692)))</formula>
    </cfRule>
  </conditionalFormatting>
  <conditionalFormatting sqref="E1658">
    <cfRule type="containsText" dxfId="1004" priority="2843" operator="containsText" text="Pesquisa de Preços">
      <formula>NOT(ISERROR(SEARCH("Pesquisa de Preços",E1658)))</formula>
    </cfRule>
  </conditionalFormatting>
  <conditionalFormatting sqref="E1741">
    <cfRule type="containsText" dxfId="1003" priority="2842" operator="containsText" text="Pesquisa de Preços">
      <formula>NOT(ISERROR(SEARCH("Pesquisa de Preços",E1741)))</formula>
    </cfRule>
  </conditionalFormatting>
  <conditionalFormatting sqref="E1823">
    <cfRule type="containsText" dxfId="1002" priority="2839" operator="containsText" text="Pesquisa de Preços">
      <formula>NOT(ISERROR(SEARCH("Pesquisa de Preços",E1823)))</formula>
    </cfRule>
  </conditionalFormatting>
  <conditionalFormatting sqref="E1837">
    <cfRule type="containsText" dxfId="1001" priority="2838" operator="containsText" text="Pesquisa de Preços">
      <formula>NOT(ISERROR(SEARCH("Pesquisa de Preços",E1837)))</formula>
    </cfRule>
  </conditionalFormatting>
  <conditionalFormatting sqref="E1836">
    <cfRule type="containsText" dxfId="1000" priority="2837" operator="containsText" text="Pesquisa de Preços">
      <formula>NOT(ISERROR(SEARCH("Pesquisa de Preços",E1836)))</formula>
    </cfRule>
  </conditionalFormatting>
  <conditionalFormatting sqref="E1838">
    <cfRule type="containsText" dxfId="999" priority="2836" operator="containsText" text="Pesquisa de Preços">
      <formula>NOT(ISERROR(SEARCH("Pesquisa de Preços",E1838)))</formula>
    </cfRule>
  </conditionalFormatting>
  <conditionalFormatting sqref="E1919">
    <cfRule type="containsText" dxfId="998" priority="2834" operator="containsText" text="Pesquisa de Preços">
      <formula>NOT(ISERROR(SEARCH("Pesquisa de Preços",E1919)))</formula>
    </cfRule>
  </conditionalFormatting>
  <conditionalFormatting sqref="E841">
    <cfRule type="containsText" dxfId="997" priority="2833" operator="containsText" text="Pesquisa de Preços">
      <formula>NOT(ISERROR(SEARCH("Pesquisa de Preços",E841)))</formula>
    </cfRule>
  </conditionalFormatting>
  <conditionalFormatting sqref="E2382">
    <cfRule type="containsText" dxfId="996" priority="2831" operator="containsText" text="Pesquisa de Preços">
      <formula>NOT(ISERROR(SEARCH("Pesquisa de Preços",E2382)))</formula>
    </cfRule>
  </conditionalFormatting>
  <conditionalFormatting sqref="E2252">
    <cfRule type="containsText" dxfId="995" priority="2830" operator="containsText" text="Pesquisa de Preços">
      <formula>NOT(ISERROR(SEARCH("Pesquisa de Preços",E2252)))</formula>
    </cfRule>
  </conditionalFormatting>
  <conditionalFormatting sqref="E2253">
    <cfRule type="containsText" dxfId="994" priority="2829" operator="containsText" text="Pesquisa de Preços">
      <formula>NOT(ISERROR(SEARCH("Pesquisa de Preços",E2253)))</formula>
    </cfRule>
  </conditionalFormatting>
  <conditionalFormatting sqref="E2375">
    <cfRule type="containsText" dxfId="993" priority="2828" operator="containsText" text="Pesquisa de Preços">
      <formula>NOT(ISERROR(SEARCH("Pesquisa de Preços",E2375)))</formula>
    </cfRule>
  </conditionalFormatting>
  <conditionalFormatting sqref="E133">
    <cfRule type="containsText" dxfId="992" priority="2827" operator="containsText" text="Pesquisa de Preços">
      <formula>NOT(ISERROR(SEARCH("Pesquisa de Preços",E133)))</formula>
    </cfRule>
  </conditionalFormatting>
  <conditionalFormatting sqref="E1115">
    <cfRule type="containsText" dxfId="991" priority="2826" operator="containsText" text="Pesquisa de Preços">
      <formula>NOT(ISERROR(SEARCH("Pesquisa de Preços",E1115)))</formula>
    </cfRule>
  </conditionalFormatting>
  <conditionalFormatting sqref="E1641">
    <cfRule type="containsText" dxfId="990" priority="2825" operator="containsText" text="Pesquisa de Preços">
      <formula>NOT(ISERROR(SEARCH("Pesquisa de Preços",E1641)))</formula>
    </cfRule>
  </conditionalFormatting>
  <conditionalFormatting sqref="E1640">
    <cfRule type="containsText" dxfId="989" priority="2824" operator="containsText" text="Pesquisa de Preços">
      <formula>NOT(ISERROR(SEARCH("Pesquisa de Preços",E1640)))</formula>
    </cfRule>
  </conditionalFormatting>
  <conditionalFormatting sqref="E322">
    <cfRule type="containsText" dxfId="988" priority="2823" operator="containsText" text="Pesquisa de Preços">
      <formula>NOT(ISERROR(SEARCH("Pesquisa de Preços",E322)))</formula>
    </cfRule>
  </conditionalFormatting>
  <conditionalFormatting sqref="E1954">
    <cfRule type="containsText" dxfId="987" priority="2800" operator="containsText" text="Pesquisa de Preços">
      <formula>NOT(ISERROR(SEARCH("Pesquisa de Preços",E1954)))</formula>
    </cfRule>
  </conditionalFormatting>
  <conditionalFormatting sqref="E1957">
    <cfRule type="containsText" dxfId="986" priority="2799" operator="containsText" text="Pesquisa de Preços">
      <formula>NOT(ISERROR(SEARCH("Pesquisa de Preços",E1957)))</formula>
    </cfRule>
  </conditionalFormatting>
  <conditionalFormatting sqref="E80">
    <cfRule type="containsText" dxfId="985" priority="2822" operator="containsText" text="Pesquisa de Preços">
      <formula>NOT(ISERROR(SEARCH("Pesquisa de Preços",E80)))</formula>
    </cfRule>
  </conditionalFormatting>
  <conditionalFormatting sqref="E1132">
    <cfRule type="containsText" dxfId="984" priority="2821" operator="containsText" text="Pesquisa de Preços">
      <formula>NOT(ISERROR(SEARCH("Pesquisa de Preços",E1132)))</formula>
    </cfRule>
  </conditionalFormatting>
  <conditionalFormatting sqref="E1131">
    <cfRule type="containsText" dxfId="983" priority="2820" operator="containsText" text="Pesquisa de Preços">
      <formula>NOT(ISERROR(SEARCH("Pesquisa de Preços",E1131)))</formula>
    </cfRule>
  </conditionalFormatting>
  <conditionalFormatting sqref="E1130">
    <cfRule type="containsText" dxfId="982" priority="2819" operator="containsText" text="Pesquisa de Preços">
      <formula>NOT(ISERROR(SEARCH("Pesquisa de Preços",E1130)))</formula>
    </cfRule>
  </conditionalFormatting>
  <conditionalFormatting sqref="E403:E413">
    <cfRule type="containsText" dxfId="981" priority="2818" operator="containsText" text="Pesquisa de Preços">
      <formula>NOT(ISERROR(SEARCH("Pesquisa de Preços",E403)))</formula>
    </cfRule>
  </conditionalFormatting>
  <conditionalFormatting sqref="E2131:E2132">
    <cfRule type="containsText" dxfId="980" priority="2798" operator="containsText" text="Pesquisa de Preços">
      <formula>NOT(ISERROR(SEARCH("Pesquisa de Preços",E2131)))</formula>
    </cfRule>
  </conditionalFormatting>
  <conditionalFormatting sqref="E195">
    <cfRule type="containsText" dxfId="979" priority="2817" operator="containsText" text="Pesquisa de Preços">
      <formula>NOT(ISERROR(SEARCH("Pesquisa de Preços",E195)))</formula>
    </cfRule>
  </conditionalFormatting>
  <conditionalFormatting sqref="E834:E838">
    <cfRule type="containsText" dxfId="978" priority="2816" operator="containsText" text="Pesquisa de Preços">
      <formula>NOT(ISERROR(SEARCH("Pesquisa de Preços",E834)))</formula>
    </cfRule>
  </conditionalFormatting>
  <conditionalFormatting sqref="E834:E838">
    <cfRule type="containsText" dxfId="977" priority="2815" operator="containsText" text="Pesquisa de Preços">
      <formula>NOT(ISERROR(SEARCH("Pesquisa de Preços",E834)))</formula>
    </cfRule>
  </conditionalFormatting>
  <conditionalFormatting sqref="E1929">
    <cfRule type="containsText" dxfId="976" priority="2814" operator="containsText" text="Pesquisa de Preços">
      <formula>NOT(ISERROR(SEARCH("Pesquisa de Preços",E1929)))</formula>
    </cfRule>
  </conditionalFormatting>
  <conditionalFormatting sqref="E1930">
    <cfRule type="containsText" dxfId="975" priority="2813" operator="containsText" text="Pesquisa de Preços">
      <formula>NOT(ISERROR(SEARCH("Pesquisa de Preços",E1930)))</formula>
    </cfRule>
  </conditionalFormatting>
  <conditionalFormatting sqref="E812">
    <cfRule type="containsText" dxfId="974" priority="2812" operator="containsText" text="Pesquisa de Preços">
      <formula>NOT(ISERROR(SEARCH("Pesquisa de Preços",E812)))</formula>
    </cfRule>
  </conditionalFormatting>
  <conditionalFormatting sqref="E769">
    <cfRule type="containsText" dxfId="973" priority="2811" operator="containsText" text="Pesquisa de Preços">
      <formula>NOT(ISERROR(SEARCH("Pesquisa de Preços",E769)))</formula>
    </cfRule>
  </conditionalFormatting>
  <conditionalFormatting sqref="E768">
    <cfRule type="containsText" dxfId="972" priority="2810" operator="containsText" text="Pesquisa de Preços">
      <formula>NOT(ISERROR(SEARCH("Pesquisa de Preços",E768)))</formula>
    </cfRule>
  </conditionalFormatting>
  <conditionalFormatting sqref="E852">
    <cfRule type="containsText" dxfId="971" priority="2809" operator="containsText" text="Pesquisa de Preços">
      <formula>NOT(ISERROR(SEARCH("Pesquisa de Preços",E852)))</formula>
    </cfRule>
  </conditionalFormatting>
  <conditionalFormatting sqref="E871:E872">
    <cfRule type="containsText" dxfId="970" priority="2808" operator="containsText" text="Pesquisa de Preços">
      <formula>NOT(ISERROR(SEARCH("Pesquisa de Preços",E871)))</formula>
    </cfRule>
  </conditionalFormatting>
  <conditionalFormatting sqref="E2158">
    <cfRule type="containsText" dxfId="969" priority="2797" operator="containsText" text="Pesquisa de Preços">
      <formula>NOT(ISERROR(SEARCH("Pesquisa de Preços",E2158)))</formula>
    </cfRule>
  </conditionalFormatting>
  <conditionalFormatting sqref="E869">
    <cfRule type="containsText" dxfId="968" priority="2807" operator="containsText" text="Pesquisa de Preços">
      <formula>NOT(ISERROR(SEARCH("Pesquisa de Preços",E869)))</formula>
    </cfRule>
  </conditionalFormatting>
  <conditionalFormatting sqref="E890">
    <cfRule type="containsText" dxfId="967" priority="2806" operator="containsText" text="Pesquisa de Preços">
      <formula>NOT(ISERROR(SEARCH("Pesquisa de Preços",E890)))</formula>
    </cfRule>
  </conditionalFormatting>
  <conditionalFormatting sqref="E171">
    <cfRule type="containsText" dxfId="966" priority="2795" operator="containsText" text="Pesquisa de Preços">
      <formula>NOT(ISERROR(SEARCH("Pesquisa de Preços",E171)))</formula>
    </cfRule>
  </conditionalFormatting>
  <conditionalFormatting sqref="E172:E173">
    <cfRule type="containsText" dxfId="965" priority="2796" operator="containsText" text="Pesquisa de Preços">
      <formula>NOT(ISERROR(SEARCH("Pesquisa de Preços",E172)))</formula>
    </cfRule>
  </conditionalFormatting>
  <conditionalFormatting sqref="D2748">
    <cfRule type="containsText" dxfId="964" priority="2774" operator="containsText" text="Pesquisa de Preços">
      <formula>NOT(ISERROR(SEARCH("Pesquisa de Preços",D2748)))</formula>
    </cfRule>
  </conditionalFormatting>
  <conditionalFormatting sqref="D2753">
    <cfRule type="containsText" dxfId="963" priority="2770" operator="containsText" text="Pesquisa de Preços">
      <formula>NOT(ISERROR(SEARCH("Pesquisa de Preços",D2753)))</formula>
    </cfRule>
  </conditionalFormatting>
  <conditionalFormatting sqref="D4624">
    <cfRule type="containsText" dxfId="962" priority="2748" operator="containsText" text="Pesquisa de Preços">
      <formula>NOT(ISERROR(SEARCH("Pesquisa de Preços",D4624)))</formula>
    </cfRule>
  </conditionalFormatting>
  <conditionalFormatting sqref="D4634">
    <cfRule type="containsText" dxfId="961" priority="2740" operator="containsText" text="Pesquisa de Preços">
      <formula>NOT(ISERROR(SEARCH("Pesquisa de Preços",D4634)))</formula>
    </cfRule>
  </conditionalFormatting>
  <conditionalFormatting sqref="D4644">
    <cfRule type="containsText" dxfId="960" priority="2724" operator="containsText" text="Pesquisa de Preços">
      <formula>NOT(ISERROR(SEARCH("Pesquisa de Preços",D4644)))</formula>
    </cfRule>
  </conditionalFormatting>
  <conditionalFormatting sqref="D4649">
    <cfRule type="containsText" dxfId="959" priority="2694" operator="containsText" text="Pesquisa de Preços">
      <formula>NOT(ISERROR(SEARCH("Pesquisa de Preços",D4649)))</formula>
    </cfRule>
  </conditionalFormatting>
  <conditionalFormatting sqref="D4654">
    <cfRule type="containsText" dxfId="958" priority="2690" operator="containsText" text="Pesquisa de Preços">
      <formula>NOT(ISERROR(SEARCH("Pesquisa de Preços",D4654)))</formula>
    </cfRule>
  </conditionalFormatting>
  <conditionalFormatting sqref="D4724:D4725 D4732">
    <cfRule type="containsText" dxfId="957" priority="2637" operator="containsText" text="Pesquisa de Preços">
      <formula>NOT(ISERROR(SEARCH("Pesquisa de Preços",D4724)))</formula>
    </cfRule>
  </conditionalFormatting>
  <conditionalFormatting sqref="D4659">
    <cfRule type="containsText" dxfId="956" priority="2686" operator="containsText" text="Pesquisa de Preços">
      <formula>NOT(ISERROR(SEARCH("Pesquisa de Preços",D4659)))</formula>
    </cfRule>
  </conditionalFormatting>
  <conditionalFormatting sqref="E4727:E4730">
    <cfRule type="containsText" dxfId="955" priority="2633" operator="containsText" text="Pesquisa de Preços">
      <formula>NOT(ISERROR(SEARCH("Pesquisa de Preços",E4727)))</formula>
    </cfRule>
  </conditionalFormatting>
  <conditionalFormatting sqref="D4667">
    <cfRule type="containsText" dxfId="954" priority="2682" operator="containsText" text="Pesquisa de Preços">
      <formula>NOT(ISERROR(SEARCH("Pesquisa de Preços",D4667)))</formula>
    </cfRule>
  </conditionalFormatting>
  <conditionalFormatting sqref="D4733">
    <cfRule type="containsText" dxfId="953" priority="2629" operator="containsText" text="Pesquisa de Preços">
      <formula>NOT(ISERROR(SEARCH("Pesquisa de Preços",D4733)))</formula>
    </cfRule>
  </conditionalFormatting>
  <conditionalFormatting sqref="D4675">
    <cfRule type="containsText" dxfId="952" priority="2678" operator="containsText" text="Pesquisa de Preços">
      <formula>NOT(ISERROR(SEARCH("Pesquisa de Preços",D4675)))</formula>
    </cfRule>
  </conditionalFormatting>
  <conditionalFormatting sqref="E4733">
    <cfRule type="containsText" dxfId="951" priority="2625" operator="containsText" text="Pesquisa de Preços">
      <formula>NOT(ISERROR(SEARCH("Pesquisa de Preços",E4733)))</formula>
    </cfRule>
  </conditionalFormatting>
  <conditionalFormatting sqref="D4683">
    <cfRule type="containsText" dxfId="950" priority="2674" operator="containsText" text="Pesquisa de Preços">
      <formula>NOT(ISERROR(SEARCH("Pesquisa de Preços",D4683)))</formula>
    </cfRule>
  </conditionalFormatting>
  <conditionalFormatting sqref="E4737:E4738">
    <cfRule type="containsText" dxfId="949" priority="2621" operator="containsText" text="Pesquisa de Preços">
      <formula>NOT(ISERROR(SEARCH("Pesquisa de Preços",E4737)))</formula>
    </cfRule>
  </conditionalFormatting>
  <conditionalFormatting sqref="D4691">
    <cfRule type="containsText" dxfId="948" priority="2670" operator="containsText" text="Pesquisa de Preços">
      <formula>NOT(ISERROR(SEARCH("Pesquisa de Preços",D4691)))</formula>
    </cfRule>
  </conditionalFormatting>
  <conditionalFormatting sqref="D4741">
    <cfRule type="containsText" dxfId="947" priority="2617" operator="containsText" text="Pesquisa de Preços">
      <formula>NOT(ISERROR(SEARCH("Pesquisa de Preços",D4741)))</formula>
    </cfRule>
  </conditionalFormatting>
  <conditionalFormatting sqref="D4699">
    <cfRule type="containsText" dxfId="946" priority="2666" operator="containsText" text="Pesquisa de Preços">
      <formula>NOT(ISERROR(SEARCH("Pesquisa de Preços",D4699)))</formula>
    </cfRule>
  </conditionalFormatting>
  <conditionalFormatting sqref="D4748">
    <cfRule type="containsText" dxfId="945" priority="2613" operator="containsText" text="Pesquisa de Preços">
      <formula>NOT(ISERROR(SEARCH("Pesquisa de Preços",D4748)))</formula>
    </cfRule>
  </conditionalFormatting>
  <conditionalFormatting sqref="D4707">
    <cfRule type="containsText" dxfId="944" priority="2662" operator="containsText" text="Pesquisa de Preços">
      <formula>NOT(ISERROR(SEARCH("Pesquisa de Preços",D4707)))</formula>
    </cfRule>
  </conditionalFormatting>
  <conditionalFormatting sqref="D4715">
    <cfRule type="containsText" dxfId="943" priority="2658" operator="containsText" text="Pesquisa de Preços">
      <formula>NOT(ISERROR(SEARCH("Pesquisa de Preços",D4715)))</formula>
    </cfRule>
  </conditionalFormatting>
  <conditionalFormatting sqref="D4723">
    <cfRule type="containsText" dxfId="942" priority="2638" operator="containsText" text="Pesquisa de Preços">
      <formula>NOT(ISERROR(SEARCH("Pesquisa de Preços",D4723)))</formula>
    </cfRule>
  </conditionalFormatting>
  <conditionalFormatting sqref="D4755">
    <cfRule type="containsText" dxfId="941" priority="2609" operator="containsText" text="Pesquisa de Preços">
      <formula>NOT(ISERROR(SEARCH("Pesquisa de Preços",D4755)))</formula>
    </cfRule>
  </conditionalFormatting>
  <conditionalFormatting sqref="D4727:D4729">
    <cfRule type="containsText" dxfId="940" priority="2636" operator="containsText" text="Pesquisa de Preços">
      <formula>NOT(ISERROR(SEARCH("Pesquisa de Preços",D4727)))</formula>
    </cfRule>
  </conditionalFormatting>
  <conditionalFormatting sqref="E4723">
    <cfRule type="containsText" dxfId="939" priority="2634" operator="containsText" text="Pesquisa de Preços">
      <formula>NOT(ISERROR(SEARCH("Pesquisa de Preços",E4723)))</formula>
    </cfRule>
  </conditionalFormatting>
  <conditionalFormatting sqref="E4724:E4725 E4732">
    <cfRule type="containsText" dxfId="938" priority="2635" operator="containsText" text="Pesquisa de Preços">
      <formula>NOT(ISERROR(SEARCH("Pesquisa de Preços",E4724)))</formula>
    </cfRule>
  </conditionalFormatting>
  <conditionalFormatting sqref="D4734:D4735 D4740">
    <cfRule type="containsText" dxfId="937" priority="2628" operator="containsText" text="Pesquisa de Preços">
      <formula>NOT(ISERROR(SEARCH("Pesquisa de Preços",D4734)))</formula>
    </cfRule>
  </conditionalFormatting>
  <conditionalFormatting sqref="E4734:E4735 E4740">
    <cfRule type="containsText" dxfId="936" priority="2626" operator="containsText" text="Pesquisa de Preços">
      <formula>NOT(ISERROR(SEARCH("Pesquisa de Preços",E4734)))</formula>
    </cfRule>
  </conditionalFormatting>
  <conditionalFormatting sqref="E1037">
    <cfRule type="containsText" dxfId="935" priority="2620" operator="containsText" text="Pesquisa de Preços">
      <formula>NOT(ISERROR(SEARCH("Pesquisa de Preços",E1037)))</formula>
    </cfRule>
  </conditionalFormatting>
  <conditionalFormatting sqref="E1038">
    <cfRule type="containsText" dxfId="934" priority="2619" operator="containsText" text="Pesquisa de Preços">
      <formula>NOT(ISERROR(SEARCH("Pesquisa de Preços",E1038)))</formula>
    </cfRule>
  </conditionalFormatting>
  <conditionalFormatting sqref="E4803:E4804 E4808">
    <cfRule type="containsText" dxfId="933" priority="2568" operator="containsText" text="Pesquisa de Preços">
      <formula>NOT(ISERROR(SEARCH("Pesquisa de Preços",E4803)))</formula>
    </cfRule>
  </conditionalFormatting>
  <conditionalFormatting sqref="E4782:E4783 E4787">
    <cfRule type="containsText" dxfId="932" priority="2589" operator="containsText" text="Pesquisa de Preços">
      <formula>NOT(ISERROR(SEARCH("Pesquisa de Preços",E4782)))</formula>
    </cfRule>
  </conditionalFormatting>
  <conditionalFormatting sqref="E4781">
    <cfRule type="containsText" dxfId="931" priority="2588" operator="containsText" text="Pesquisa de Preços">
      <formula>NOT(ISERROR(SEARCH("Pesquisa de Preços",E4781)))</formula>
    </cfRule>
  </conditionalFormatting>
  <conditionalFormatting sqref="D4782:D4783 D4786:D4787">
    <cfRule type="containsText" dxfId="930" priority="2590" operator="containsText" text="Pesquisa de Preços">
      <formula>NOT(ISERROR(SEARCH("Pesquisa de Preços",D4782)))</formula>
    </cfRule>
  </conditionalFormatting>
  <conditionalFormatting sqref="D4762">
    <cfRule type="containsText" dxfId="929" priority="2605" operator="containsText" text="Pesquisa de Preços">
      <formula>NOT(ISERROR(SEARCH("Pesquisa de Preços",D4762)))</formula>
    </cfRule>
  </conditionalFormatting>
  <conditionalFormatting sqref="D4811">
    <cfRule type="containsText" dxfId="928" priority="2552" operator="containsText" text="Pesquisa de Preços">
      <formula>NOT(ISERROR(SEARCH("Pesquisa de Preços",D4811)))</formula>
    </cfRule>
  </conditionalFormatting>
  <conditionalFormatting sqref="D4769">
    <cfRule type="containsText" dxfId="927" priority="2601" operator="containsText" text="Pesquisa de Preços">
      <formula>NOT(ISERROR(SEARCH("Pesquisa de Preços",D4769)))</formula>
    </cfRule>
  </conditionalFormatting>
  <conditionalFormatting sqref="E4789:E4790 E4794">
    <cfRule type="containsText" dxfId="926" priority="2582" operator="containsText" text="Pesquisa de Preços">
      <formula>NOT(ISERROR(SEARCH("Pesquisa de Preços",E4789)))</formula>
    </cfRule>
  </conditionalFormatting>
  <conditionalFormatting sqref="D4776">
    <cfRule type="containsText" dxfId="925" priority="2597" operator="containsText" text="Pesquisa de Preços">
      <formula>NOT(ISERROR(SEARCH("Pesquisa de Preços",D4776)))</formula>
    </cfRule>
  </conditionalFormatting>
  <conditionalFormatting sqref="D4781">
    <cfRule type="containsText" dxfId="924" priority="2591" operator="containsText" text="Pesquisa de Preços">
      <formula>NOT(ISERROR(SEARCH("Pesquisa de Preços",D4781)))</formula>
    </cfRule>
  </conditionalFormatting>
  <conditionalFormatting sqref="D4788">
    <cfRule type="containsText" dxfId="923" priority="2584" operator="containsText" text="Pesquisa de Preços">
      <formula>NOT(ISERROR(SEARCH("Pesquisa de Preços",D4788)))</formula>
    </cfRule>
  </conditionalFormatting>
  <conditionalFormatting sqref="D4803:D4804 D4807:D4808">
    <cfRule type="containsText" dxfId="922" priority="2569" operator="containsText" text="Pesquisa de Preços">
      <formula>NOT(ISERROR(SEARCH("Pesquisa de Preços",D4803)))</formula>
    </cfRule>
  </conditionalFormatting>
  <conditionalFormatting sqref="D4789:D4790 D4793:D4794">
    <cfRule type="containsText" dxfId="921" priority="2583" operator="containsText" text="Pesquisa de Preços">
      <formula>NOT(ISERROR(SEARCH("Pesquisa de Preços",D4789)))</formula>
    </cfRule>
  </conditionalFormatting>
  <conditionalFormatting sqref="E4788">
    <cfRule type="containsText" dxfId="920" priority="2581" operator="containsText" text="Pesquisa de Preços">
      <formula>NOT(ISERROR(SEARCH("Pesquisa de Preços",E4788)))</formula>
    </cfRule>
  </conditionalFormatting>
  <conditionalFormatting sqref="D4796:D4797 D4800:D4801">
    <cfRule type="containsText" dxfId="919" priority="2576" operator="containsText" text="Pesquisa de Preços">
      <formula>NOT(ISERROR(SEARCH("Pesquisa de Preços",D4796)))</formula>
    </cfRule>
  </conditionalFormatting>
  <conditionalFormatting sqref="D4795">
    <cfRule type="containsText" dxfId="918" priority="2577" operator="containsText" text="Pesquisa de Preços">
      <formula>NOT(ISERROR(SEARCH("Pesquisa de Preços",D4795)))</formula>
    </cfRule>
  </conditionalFormatting>
  <conditionalFormatting sqref="E4795">
    <cfRule type="containsText" dxfId="917" priority="2574" operator="containsText" text="Pesquisa de Preços">
      <formula>NOT(ISERROR(SEARCH("Pesquisa de Preços",E4795)))</formula>
    </cfRule>
  </conditionalFormatting>
  <conditionalFormatting sqref="E4796:E4797 E4801">
    <cfRule type="containsText" dxfId="916" priority="2575" operator="containsText" text="Pesquisa de Preços">
      <formula>NOT(ISERROR(SEARCH("Pesquisa de Preços",E4796)))</formula>
    </cfRule>
  </conditionalFormatting>
  <conditionalFormatting sqref="E4845">
    <cfRule type="containsText" dxfId="915" priority="2521" operator="containsText" text="Pesquisa de Preços">
      <formula>NOT(ISERROR(SEARCH("Pesquisa de Preços",E4845)))</formula>
    </cfRule>
  </conditionalFormatting>
  <conditionalFormatting sqref="D4802">
    <cfRule type="containsText" dxfId="914" priority="2570" operator="containsText" text="Pesquisa de Preços">
      <formula>NOT(ISERROR(SEARCH("Pesquisa de Preços",D4802)))</formula>
    </cfRule>
  </conditionalFormatting>
  <conditionalFormatting sqref="E4802">
    <cfRule type="containsText" dxfId="913" priority="2567" operator="containsText" text="Pesquisa de Preços">
      <formula>NOT(ISERROR(SEARCH("Pesquisa de Preços",E4802)))</formula>
    </cfRule>
  </conditionalFormatting>
  <conditionalFormatting sqref="D4833">
    <cfRule type="containsText" dxfId="912" priority="2546" operator="containsText" text="Pesquisa de Preços">
      <formula>NOT(ISERROR(SEARCH("Pesquisa de Preços",D4833)))</formula>
    </cfRule>
  </conditionalFormatting>
  <conditionalFormatting sqref="D4809">
    <cfRule type="containsText" dxfId="911" priority="2561" operator="containsText" text="Pesquisa de Preços">
      <formula>NOT(ISERROR(SEARCH("Pesquisa de Preços",D4809)))</formula>
    </cfRule>
  </conditionalFormatting>
  <conditionalFormatting sqref="D4812">
    <cfRule type="containsText" dxfId="910" priority="2554" operator="containsText" text="Pesquisa de Preços">
      <formula>NOT(ISERROR(SEARCH("Pesquisa de Preços",D4812)))</formula>
    </cfRule>
  </conditionalFormatting>
  <conditionalFormatting sqref="E4839 E4844">
    <cfRule type="containsText" dxfId="909" priority="2531" operator="containsText" text="Pesquisa de Preços">
      <formula>NOT(ISERROR(SEARCH("Pesquisa de Preços",E4839)))</formula>
    </cfRule>
  </conditionalFormatting>
  <conditionalFormatting sqref="E4811">
    <cfRule type="containsText" dxfId="908" priority="2551" operator="containsText" text="Pesquisa de Preços">
      <formula>NOT(ISERROR(SEARCH("Pesquisa de Preços",E4811)))</formula>
    </cfRule>
  </conditionalFormatting>
  <conditionalFormatting sqref="D4839 D4843:D4844">
    <cfRule type="containsText" dxfId="907" priority="2532" operator="containsText" text="Pesquisa de Preços">
      <formula>NOT(ISERROR(SEARCH("Pesquisa de Preços",D4839)))</formula>
    </cfRule>
  </conditionalFormatting>
  <conditionalFormatting sqref="D4814 D4820 D4826 D4832">
    <cfRule type="containsText" dxfId="906" priority="2547" operator="containsText" text="Pesquisa de Preços">
      <formula>NOT(ISERROR(SEARCH("Pesquisa de Preços",D4814)))</formula>
    </cfRule>
  </conditionalFormatting>
  <conditionalFormatting sqref="D4835:D4836">
    <cfRule type="containsText" dxfId="905" priority="2545" operator="containsText" text="Pesquisa de Preços">
      <formula>NOT(ISERROR(SEARCH("Pesquisa de Preços",D4835)))</formula>
    </cfRule>
  </conditionalFormatting>
  <conditionalFormatting sqref="E4827 E4831">
    <cfRule type="containsText" dxfId="904" priority="2540" operator="containsText" text="Pesquisa de Preços">
      <formula>NOT(ISERROR(SEARCH("Pesquisa de Preços",E4827)))</formula>
    </cfRule>
  </conditionalFormatting>
  <conditionalFormatting sqref="D4827 D4831">
    <cfRule type="containsText" dxfId="903" priority="2544" operator="containsText" text="Pesquisa de Preços">
      <formula>NOT(ISERROR(SEARCH("Pesquisa de Preços",D4827)))</formula>
    </cfRule>
  </conditionalFormatting>
  <conditionalFormatting sqref="E4826">
    <cfRule type="containsText" dxfId="902" priority="2539" operator="containsText" text="Pesquisa de Preços">
      <formula>NOT(ISERROR(SEARCH("Pesquisa de Preços",E4826)))</formula>
    </cfRule>
  </conditionalFormatting>
  <conditionalFormatting sqref="E4835:E4836">
    <cfRule type="containsText" dxfId="901" priority="2541" operator="containsText" text="Pesquisa de Preços">
      <formula>NOT(ISERROR(SEARCH("Pesquisa de Preços",E4835)))</formula>
    </cfRule>
  </conditionalFormatting>
  <conditionalFormatting sqref="E4832">
    <cfRule type="containsText" dxfId="900" priority="2542" operator="containsText" text="Pesquisa de Preços">
      <formula>NOT(ISERROR(SEARCH("Pesquisa de Preços",E4832)))</formula>
    </cfRule>
  </conditionalFormatting>
  <conditionalFormatting sqref="E4833">
    <cfRule type="containsText" dxfId="899" priority="2543" operator="containsText" text="Pesquisa de Preços">
      <formula>NOT(ISERROR(SEARCH("Pesquisa de Preços",E4833)))</formula>
    </cfRule>
  </conditionalFormatting>
  <conditionalFormatting sqref="D4838">
    <cfRule type="containsText" dxfId="898" priority="2533" operator="containsText" text="Pesquisa de Preços">
      <formula>NOT(ISERROR(SEARCH("Pesquisa de Preços",D4838)))</formula>
    </cfRule>
  </conditionalFormatting>
  <conditionalFormatting sqref="E4838">
    <cfRule type="containsText" dxfId="897" priority="2530" operator="containsText" text="Pesquisa de Preços">
      <formula>NOT(ISERROR(SEARCH("Pesquisa de Preços",E4838)))</formula>
    </cfRule>
  </conditionalFormatting>
  <conditionalFormatting sqref="E4858">
    <cfRule type="containsText" dxfId="896" priority="2503" operator="containsText" text="Pesquisa de Preços">
      <formula>NOT(ISERROR(SEARCH("Pesquisa de Preços",E4858)))</formula>
    </cfRule>
  </conditionalFormatting>
  <conditionalFormatting sqref="D4845">
    <cfRule type="containsText" dxfId="895" priority="2524" operator="containsText" text="Pesquisa de Preços">
      <formula>NOT(ISERROR(SEARCH("Pesquisa de Preços",D4845)))</formula>
    </cfRule>
  </conditionalFormatting>
  <conditionalFormatting sqref="D4846">
    <cfRule type="containsText" dxfId="894" priority="2523" operator="containsText" text="Pesquisa de Preços">
      <formula>NOT(ISERROR(SEARCH("Pesquisa de Preços",D4846)))</formula>
    </cfRule>
  </conditionalFormatting>
  <conditionalFormatting sqref="E4846:E4847 E4849">
    <cfRule type="containsText" dxfId="893" priority="2522" operator="containsText" text="Pesquisa de Preços">
      <formula>NOT(ISERROR(SEARCH("Pesquisa de Preços",E4846)))</formula>
    </cfRule>
  </conditionalFormatting>
  <conditionalFormatting sqref="D4841">
    <cfRule type="containsText" dxfId="892" priority="2494" operator="containsText" text="Pesquisa de Preços">
      <formula>NOT(ISERROR(SEARCH("Pesquisa de Preços",D4841)))</formula>
    </cfRule>
  </conditionalFormatting>
  <conditionalFormatting sqref="D4858">
    <cfRule type="containsText" dxfId="891" priority="2506" operator="containsText" text="Pesquisa de Preços">
      <formula>NOT(ISERROR(SEARCH("Pesquisa de Preços",D4858)))</formula>
    </cfRule>
  </conditionalFormatting>
  <conditionalFormatting sqref="D4859:D4860">
    <cfRule type="containsText" dxfId="890" priority="2505" operator="containsText" text="Pesquisa de Preços">
      <formula>NOT(ISERROR(SEARCH("Pesquisa de Preços",D4859)))</formula>
    </cfRule>
  </conditionalFormatting>
  <conditionalFormatting sqref="E4859:E4860 E4863">
    <cfRule type="containsText" dxfId="889" priority="2504" operator="containsText" text="Pesquisa de Preços">
      <formula>NOT(ISERROR(SEARCH("Pesquisa de Preços",E4859)))</formula>
    </cfRule>
  </conditionalFormatting>
  <conditionalFormatting sqref="D4850">
    <cfRule type="containsText" dxfId="888" priority="2499" operator="containsText" text="Pesquisa de Preços">
      <formula>NOT(ISERROR(SEARCH("Pesquisa de Preços",D4850)))</formula>
    </cfRule>
  </conditionalFormatting>
  <conditionalFormatting sqref="D4867">
    <cfRule type="containsText" dxfId="887" priority="2493" operator="containsText" text="Pesquisa de Preços">
      <formula>NOT(ISERROR(SEARCH("Pesquisa de Preços",D4867)))</formula>
    </cfRule>
  </conditionalFormatting>
  <conditionalFormatting sqref="D4864">
    <cfRule type="containsText" dxfId="886" priority="2488" operator="containsText" text="Pesquisa de Preços">
      <formula>NOT(ISERROR(SEARCH("Pesquisa de Preços",D4864)))</formula>
    </cfRule>
  </conditionalFormatting>
  <conditionalFormatting sqref="D4865">
    <cfRule type="containsText" dxfId="885" priority="2487" operator="containsText" text="Pesquisa de Preços">
      <formula>NOT(ISERROR(SEARCH("Pesquisa de Preços",D4865)))</formula>
    </cfRule>
  </conditionalFormatting>
  <conditionalFormatting sqref="E4864">
    <cfRule type="containsText" dxfId="884" priority="2485" operator="containsText" text="Pesquisa de Preços">
      <formula>NOT(ISERROR(SEARCH("Pesquisa de Preços",E4864)))</formula>
    </cfRule>
  </conditionalFormatting>
  <conditionalFormatting sqref="E4865:E4867">
    <cfRule type="containsText" dxfId="883" priority="2486" operator="containsText" text="Pesquisa de Preços">
      <formula>NOT(ISERROR(SEARCH("Pesquisa de Preços",E4865)))</formula>
    </cfRule>
  </conditionalFormatting>
  <conditionalFormatting sqref="D4873">
    <cfRule type="containsText" dxfId="882" priority="2482" operator="containsText" text="Pesquisa de Preços">
      <formula>NOT(ISERROR(SEARCH("Pesquisa de Preços",D4873)))</formula>
    </cfRule>
  </conditionalFormatting>
  <conditionalFormatting sqref="D4868">
    <cfRule type="containsText" dxfId="881" priority="2477" operator="containsText" text="Pesquisa de Preços">
      <formula>NOT(ISERROR(SEARCH("Pesquisa de Preços",D4868)))</formula>
    </cfRule>
  </conditionalFormatting>
  <conditionalFormatting sqref="D4869:D4870">
    <cfRule type="containsText" dxfId="880" priority="2476" operator="containsText" text="Pesquisa de Preços">
      <formula>NOT(ISERROR(SEARCH("Pesquisa de Preços",D4869)))</formula>
    </cfRule>
  </conditionalFormatting>
  <conditionalFormatting sqref="E4868">
    <cfRule type="containsText" dxfId="879" priority="2474" operator="containsText" text="Pesquisa de Preços">
      <formula>NOT(ISERROR(SEARCH("Pesquisa de Preços",E4868)))</formula>
    </cfRule>
  </conditionalFormatting>
  <conditionalFormatting sqref="E4869:E4870 E4873">
    <cfRule type="containsText" dxfId="878" priority="2475" operator="containsText" text="Pesquisa de Preços">
      <formula>NOT(ISERROR(SEARCH("Pesquisa de Preços",E4869)))</formula>
    </cfRule>
  </conditionalFormatting>
  <conditionalFormatting sqref="E4874">
    <cfRule type="containsText" dxfId="877" priority="2452" operator="containsText" text="Pesquisa de Preços">
      <formula>NOT(ISERROR(SEARCH("Pesquisa de Preços",E4874)))</formula>
    </cfRule>
  </conditionalFormatting>
  <conditionalFormatting sqref="D4880">
    <cfRule type="containsText" dxfId="876" priority="2446" operator="containsText" text="Pesquisa de Preços">
      <formula>NOT(ISERROR(SEARCH("Pesquisa de Preços",D4880)))</formula>
    </cfRule>
  </conditionalFormatting>
  <conditionalFormatting sqref="E4881:E4882 E4886">
    <cfRule type="containsText" dxfId="875" priority="2444" operator="containsText" text="Pesquisa de Preços">
      <formula>NOT(ISERROR(SEARCH("Pesquisa de Preços",E4881)))</formula>
    </cfRule>
  </conditionalFormatting>
  <conditionalFormatting sqref="D4881:D4882 D4886">
    <cfRule type="containsText" dxfId="874" priority="2445" operator="containsText" text="Pesquisa de Preços">
      <formula>NOT(ISERROR(SEARCH("Pesquisa de Preços",D4881)))</formula>
    </cfRule>
  </conditionalFormatting>
  <conditionalFormatting sqref="D4879">
    <cfRule type="containsText" dxfId="873" priority="2460" operator="containsText" text="Pesquisa de Preços">
      <formula>NOT(ISERROR(SEARCH("Pesquisa de Preços",D4879)))</formula>
    </cfRule>
  </conditionalFormatting>
  <conditionalFormatting sqref="D4874">
    <cfRule type="containsText" dxfId="872" priority="2455" operator="containsText" text="Pesquisa de Preços">
      <formula>NOT(ISERROR(SEARCH("Pesquisa de Preços",D4874)))</formula>
    </cfRule>
  </conditionalFormatting>
  <conditionalFormatting sqref="D4875:D4876">
    <cfRule type="containsText" dxfId="871" priority="2454" operator="containsText" text="Pesquisa de Preços">
      <formula>NOT(ISERROR(SEARCH("Pesquisa de Preços",D4875)))</formula>
    </cfRule>
  </conditionalFormatting>
  <conditionalFormatting sqref="E4875:E4876 E4879">
    <cfRule type="containsText" dxfId="870" priority="2453" operator="containsText" text="Pesquisa de Preços">
      <formula>NOT(ISERROR(SEARCH("Pesquisa de Preços",E4875)))</formula>
    </cfRule>
  </conditionalFormatting>
  <conditionalFormatting sqref="D4883:D4884 D4882:E4883">
    <cfRule type="containsText" dxfId="869" priority="2449" operator="containsText" text="Pesquisa de Preços">
      <formula>NOT(ISERROR(SEARCH("Pesquisa de Preços",D4882)))</formula>
    </cfRule>
  </conditionalFormatting>
  <conditionalFormatting sqref="E4880">
    <cfRule type="containsText" dxfId="868" priority="2443" operator="containsText" text="Pesquisa de Preços">
      <formula>NOT(ISERROR(SEARCH("Pesquisa de Preços",E4880)))</formula>
    </cfRule>
  </conditionalFormatting>
  <conditionalFormatting sqref="E4883:E4885">
    <cfRule type="containsText" dxfId="867" priority="2442" operator="containsText" text="Pesquisa de Preços">
      <formula>NOT(ISERROR(SEARCH("Pesquisa de Preços",E4883)))</formula>
    </cfRule>
  </conditionalFormatting>
  <conditionalFormatting sqref="E4891">
    <cfRule type="containsText" dxfId="866" priority="2425" operator="containsText" text="Pesquisa de Preços">
      <formula>NOT(ISERROR(SEARCH("Pesquisa de Preços",E4891)))</formula>
    </cfRule>
  </conditionalFormatting>
  <conditionalFormatting sqref="D4887">
    <cfRule type="containsText" dxfId="865" priority="2437" operator="containsText" text="Pesquisa de Preços">
      <formula>NOT(ISERROR(SEARCH("Pesquisa de Preços",D4887)))</formula>
    </cfRule>
  </conditionalFormatting>
  <conditionalFormatting sqref="E4888 E4893">
    <cfRule type="containsText" dxfId="864" priority="2435" operator="containsText" text="Pesquisa de Preços">
      <formula>NOT(ISERROR(SEARCH("Pesquisa de Preços",E4888)))</formula>
    </cfRule>
  </conditionalFormatting>
  <conditionalFormatting sqref="D4888 D4893">
    <cfRule type="containsText" dxfId="863" priority="2436" operator="containsText" text="Pesquisa de Preços">
      <formula>NOT(ISERROR(SEARCH("Pesquisa de Preços",D4888)))</formula>
    </cfRule>
  </conditionalFormatting>
  <conditionalFormatting sqref="E4910:E4911">
    <cfRule type="containsText" dxfId="862" priority="2384" operator="containsText" text="Pesquisa de Preços">
      <formula>NOT(ISERROR(SEARCH("Pesquisa de Preços",E4910)))</formula>
    </cfRule>
  </conditionalFormatting>
  <conditionalFormatting sqref="E4887">
    <cfRule type="containsText" dxfId="861" priority="2434" operator="containsText" text="Pesquisa de Preços">
      <formula>NOT(ISERROR(SEARCH("Pesquisa de Preços",E4887)))</formula>
    </cfRule>
  </conditionalFormatting>
  <conditionalFormatting sqref="E4892">
    <cfRule type="containsText" dxfId="860" priority="2433" operator="containsText" text="Pesquisa de Preços">
      <formula>NOT(ISERROR(SEARCH("Pesquisa de Preços",E4892)))</formula>
    </cfRule>
  </conditionalFormatting>
  <conditionalFormatting sqref="D4891">
    <cfRule type="containsText" dxfId="859" priority="2426" operator="containsText" text="Pesquisa de Preços">
      <formula>NOT(ISERROR(SEARCH("Pesquisa de Preços",D4891)))</formula>
    </cfRule>
  </conditionalFormatting>
  <conditionalFormatting sqref="D4901">
    <cfRule type="containsText" dxfId="858" priority="2419" operator="containsText" text="Pesquisa de Preços">
      <formula>NOT(ISERROR(SEARCH("Pesquisa de Preços",D4901)))</formula>
    </cfRule>
  </conditionalFormatting>
  <conditionalFormatting sqref="D4894">
    <cfRule type="containsText" dxfId="857" priority="2423" operator="containsText" text="Pesquisa de Preços">
      <formula>NOT(ISERROR(SEARCH("Pesquisa de Preços",D4894)))</formula>
    </cfRule>
  </conditionalFormatting>
  <conditionalFormatting sqref="D4906">
    <cfRule type="containsText" dxfId="856" priority="2414" operator="containsText" text="Pesquisa de Preços">
      <formula>NOT(ISERROR(SEARCH("Pesquisa de Preços",D4906)))</formula>
    </cfRule>
  </conditionalFormatting>
  <conditionalFormatting sqref="D4904">
    <cfRule type="containsText" dxfId="855" priority="2411" operator="containsText" text="Pesquisa de Preços">
      <formula>NOT(ISERROR(SEARCH("Pesquisa de Preços",D4904)))</formula>
    </cfRule>
  </conditionalFormatting>
  <conditionalFormatting sqref="D1326">
    <cfRule type="containsText" dxfId="854" priority="2407" operator="containsText" text="Pesquisa de Preços">
      <formula>NOT(ISERROR(SEARCH("Pesquisa de Preços",D1326)))</formula>
    </cfRule>
  </conditionalFormatting>
  <conditionalFormatting sqref="E1326">
    <cfRule type="containsText" dxfId="853" priority="2406" operator="containsText" text="Pesquisa de Preços">
      <formula>NOT(ISERROR(SEARCH("Pesquisa de Preços",E1326)))</formula>
    </cfRule>
  </conditionalFormatting>
  <conditionalFormatting sqref="E1325">
    <cfRule type="containsText" dxfId="852" priority="2405" operator="containsText" text="Pesquisa de Preços">
      <formula>NOT(ISERROR(SEARCH("Pesquisa de Preços",E1325)))</formula>
    </cfRule>
  </conditionalFormatting>
  <conditionalFormatting sqref="D1332">
    <cfRule type="containsText" dxfId="851" priority="2401" operator="containsText" text="Pesquisa de Preços">
      <formula>NOT(ISERROR(SEARCH("Pesquisa de Preços",D1332)))</formula>
    </cfRule>
  </conditionalFormatting>
  <conditionalFormatting sqref="E1332">
    <cfRule type="containsText" dxfId="850" priority="2400" operator="containsText" text="Pesquisa de Preços">
      <formula>NOT(ISERROR(SEARCH("Pesquisa de Preços",E1332)))</formula>
    </cfRule>
  </conditionalFormatting>
  <conditionalFormatting sqref="E1331">
    <cfRule type="containsText" dxfId="849" priority="2399" operator="containsText" text="Pesquisa de Preços">
      <formula>NOT(ISERROR(SEARCH("Pesquisa de Preços",E1331)))</formula>
    </cfRule>
  </conditionalFormatting>
  <conditionalFormatting sqref="D1338">
    <cfRule type="containsText" dxfId="848" priority="2395" operator="containsText" text="Pesquisa de Preços">
      <formula>NOT(ISERROR(SEARCH("Pesquisa de Preços",D1338)))</formula>
    </cfRule>
  </conditionalFormatting>
  <conditionalFormatting sqref="E1338">
    <cfRule type="containsText" dxfId="847" priority="2394" operator="containsText" text="Pesquisa de Preços">
      <formula>NOT(ISERROR(SEARCH("Pesquisa de Preços",E1338)))</formula>
    </cfRule>
  </conditionalFormatting>
  <conditionalFormatting sqref="E1337">
    <cfRule type="containsText" dxfId="846" priority="2393" operator="containsText" text="Pesquisa de Preços">
      <formula>NOT(ISERROR(SEARCH("Pesquisa de Preços",E1337)))</formula>
    </cfRule>
  </conditionalFormatting>
  <conditionalFormatting sqref="D4909 D4915">
    <cfRule type="containsText" dxfId="845" priority="2389" operator="containsText" text="Pesquisa de Preços">
      <formula>NOT(ISERROR(SEARCH("Pesquisa de Preços",D4909)))</formula>
    </cfRule>
  </conditionalFormatting>
  <conditionalFormatting sqref="D4910:D4911">
    <cfRule type="containsText" dxfId="844" priority="2387" operator="containsText" text="Pesquisa de Preços">
      <formula>NOT(ISERROR(SEARCH("Pesquisa de Preços",D4910)))</formula>
    </cfRule>
  </conditionalFormatting>
  <conditionalFormatting sqref="D4916:D4917">
    <cfRule type="containsText" dxfId="843" priority="2388" operator="containsText" text="Pesquisa de Preços">
      <formula>NOT(ISERROR(SEARCH("Pesquisa de Preços",D4916)))</formula>
    </cfRule>
  </conditionalFormatting>
  <conditionalFormatting sqref="E4915">
    <cfRule type="containsText" dxfId="842" priority="2385" operator="containsText" text="Pesquisa de Preços">
      <formula>NOT(ISERROR(SEARCH("Pesquisa de Preços",E4915)))</formula>
    </cfRule>
  </conditionalFormatting>
  <conditionalFormatting sqref="E4909">
    <cfRule type="containsText" dxfId="841" priority="2383" operator="containsText" text="Pesquisa de Preços">
      <formula>NOT(ISERROR(SEARCH("Pesquisa de Preços",E4909)))</formula>
    </cfRule>
  </conditionalFormatting>
  <conditionalFormatting sqref="E4916:E4917">
    <cfRule type="containsText" dxfId="840" priority="2386" operator="containsText" text="Pesquisa de Preços">
      <formula>NOT(ISERROR(SEARCH("Pesquisa de Preços",E4916)))</formula>
    </cfRule>
  </conditionalFormatting>
  <conditionalFormatting sqref="D4919">
    <cfRule type="containsText" dxfId="839" priority="2379" operator="containsText" text="Pesquisa de Preços">
      <formula>NOT(ISERROR(SEARCH("Pesquisa de Preços",D4919)))</formula>
    </cfRule>
  </conditionalFormatting>
  <conditionalFormatting sqref="E4919">
    <cfRule type="containsText" dxfId="838" priority="2378" operator="containsText" text="Pesquisa de Preços">
      <formula>NOT(ISERROR(SEARCH("Pesquisa de Preços",E4919)))</formula>
    </cfRule>
  </conditionalFormatting>
  <conditionalFormatting sqref="E4918">
    <cfRule type="containsText" dxfId="837" priority="2377" operator="containsText" text="Pesquisa de Preços">
      <formula>NOT(ISERROR(SEARCH("Pesquisa de Preços",E4918)))</formula>
    </cfRule>
  </conditionalFormatting>
  <conditionalFormatting sqref="D4913">
    <cfRule type="containsText" dxfId="836" priority="2373" operator="containsText" text="Pesquisa de Preços">
      <formula>NOT(ISERROR(SEARCH("Pesquisa de Preços",D4913)))</formula>
    </cfRule>
  </conditionalFormatting>
  <conditionalFormatting sqref="E4913">
    <cfRule type="containsText" dxfId="835" priority="2372" operator="containsText" text="Pesquisa de Preços">
      <formula>NOT(ISERROR(SEARCH("Pesquisa de Preços",E4913)))</formula>
    </cfRule>
  </conditionalFormatting>
  <conditionalFormatting sqref="E4912">
    <cfRule type="containsText" dxfId="834" priority="2371" operator="containsText" text="Pesquisa de Preços">
      <formula>NOT(ISERROR(SEARCH("Pesquisa de Preços",E4912)))</formula>
    </cfRule>
  </conditionalFormatting>
  <conditionalFormatting sqref="D4921">
    <cfRule type="containsText" dxfId="833" priority="2367" operator="containsText" text="Pesquisa de Preços">
      <formula>NOT(ISERROR(SEARCH("Pesquisa de Preços",D4921)))</formula>
    </cfRule>
  </conditionalFormatting>
  <conditionalFormatting sqref="D4922 D4926">
    <cfRule type="containsText" dxfId="832" priority="2366" operator="containsText" text="Pesquisa de Preços">
      <formula>NOT(ISERROR(SEARCH("Pesquisa de Preços",D4922)))</formula>
    </cfRule>
  </conditionalFormatting>
  <conditionalFormatting sqref="D4923">
    <cfRule type="containsText" dxfId="831" priority="2365" operator="containsText" text="Pesquisa de Preços">
      <formula>NOT(ISERROR(SEARCH("Pesquisa de Preços",D4923)))</formula>
    </cfRule>
  </conditionalFormatting>
  <conditionalFormatting sqref="D4924:D4925">
    <cfRule type="containsText" dxfId="830" priority="2364" operator="containsText" text="Pesquisa de Preços">
      <formula>NOT(ISERROR(SEARCH("Pesquisa de Preços",D4924)))</formula>
    </cfRule>
  </conditionalFormatting>
  <conditionalFormatting sqref="E4922 E4926">
    <cfRule type="containsText" dxfId="829" priority="2363" operator="containsText" text="Pesquisa de Preços">
      <formula>NOT(ISERROR(SEARCH("Pesquisa de Preços",E4922)))</formula>
    </cfRule>
  </conditionalFormatting>
  <conditionalFormatting sqref="E4921">
    <cfRule type="containsText" dxfId="828" priority="2362" operator="containsText" text="Pesquisa de Preços">
      <formula>NOT(ISERROR(SEARCH("Pesquisa de Preços",E4921)))</formula>
    </cfRule>
  </conditionalFormatting>
  <conditionalFormatting sqref="E4923">
    <cfRule type="containsText" dxfId="827" priority="2361" operator="containsText" text="Pesquisa de Preços">
      <formula>NOT(ISERROR(SEARCH("Pesquisa de Preços",E4923)))</formula>
    </cfRule>
  </conditionalFormatting>
  <conditionalFormatting sqref="E4924:E4925">
    <cfRule type="containsText" dxfId="826" priority="2360" operator="containsText" text="Pesquisa de Preços">
      <formula>NOT(ISERROR(SEARCH("Pesquisa de Preços",E4924)))</formula>
    </cfRule>
  </conditionalFormatting>
  <conditionalFormatting sqref="D4927">
    <cfRule type="containsText" dxfId="825" priority="2356" operator="containsText" text="Pesquisa de Preços">
      <formula>NOT(ISERROR(SEARCH("Pesquisa de Preços",D4927)))</formula>
    </cfRule>
  </conditionalFormatting>
  <conditionalFormatting sqref="D4928 D4932">
    <cfRule type="containsText" dxfId="824" priority="2355" operator="containsText" text="Pesquisa de Preços">
      <formula>NOT(ISERROR(SEARCH("Pesquisa de Preços",D4928)))</formula>
    </cfRule>
  </conditionalFormatting>
  <conditionalFormatting sqref="D4929">
    <cfRule type="containsText" dxfId="823" priority="2354" operator="containsText" text="Pesquisa de Preços">
      <formula>NOT(ISERROR(SEARCH("Pesquisa de Preços",D4929)))</formula>
    </cfRule>
  </conditionalFormatting>
  <conditionalFormatting sqref="D4930:D4931">
    <cfRule type="containsText" dxfId="822" priority="2353" operator="containsText" text="Pesquisa de Preços">
      <formula>NOT(ISERROR(SEARCH("Pesquisa de Preços",D4930)))</formula>
    </cfRule>
  </conditionalFormatting>
  <conditionalFormatting sqref="E4928 E4932">
    <cfRule type="containsText" dxfId="821" priority="2352" operator="containsText" text="Pesquisa de Preços">
      <formula>NOT(ISERROR(SEARCH("Pesquisa de Preços",E4928)))</formula>
    </cfRule>
  </conditionalFormatting>
  <conditionalFormatting sqref="E4927">
    <cfRule type="containsText" dxfId="820" priority="2351" operator="containsText" text="Pesquisa de Preços">
      <formula>NOT(ISERROR(SEARCH("Pesquisa de Preços",E4927)))</formula>
    </cfRule>
  </conditionalFormatting>
  <conditionalFormatting sqref="E4929">
    <cfRule type="containsText" dxfId="819" priority="2350" operator="containsText" text="Pesquisa de Preços">
      <formula>NOT(ISERROR(SEARCH("Pesquisa de Preços",E4929)))</formula>
    </cfRule>
  </conditionalFormatting>
  <conditionalFormatting sqref="E4930:E4931">
    <cfRule type="containsText" dxfId="818" priority="2349" operator="containsText" text="Pesquisa de Preços">
      <formula>NOT(ISERROR(SEARCH("Pesquisa de Preços",E4930)))</formula>
    </cfRule>
  </conditionalFormatting>
  <conditionalFormatting sqref="E4934:E4935 E4939">
    <cfRule type="containsText" dxfId="817" priority="2341" operator="containsText" text="Pesquisa de Preços">
      <formula>NOT(ISERROR(SEARCH("Pesquisa de Preços",E4934)))</formula>
    </cfRule>
  </conditionalFormatting>
  <conditionalFormatting sqref="E4933">
    <cfRule type="containsText" dxfId="816" priority="2340" operator="containsText" text="Pesquisa de Preços">
      <formula>NOT(ISERROR(SEARCH("Pesquisa de Preços",E4933)))</formula>
    </cfRule>
  </conditionalFormatting>
  <conditionalFormatting sqref="D4934:D4935 D4938:D4939">
    <cfRule type="containsText" dxfId="815" priority="2342" operator="containsText" text="Pesquisa de Preços">
      <formula>NOT(ISERROR(SEARCH("Pesquisa de Preços",D4934)))</formula>
    </cfRule>
  </conditionalFormatting>
  <conditionalFormatting sqref="D4933">
    <cfRule type="containsText" dxfId="814" priority="2343" operator="containsText" text="Pesquisa de Preços">
      <formula>NOT(ISERROR(SEARCH("Pesquisa de Preços",D4933)))</formula>
    </cfRule>
  </conditionalFormatting>
  <conditionalFormatting sqref="D4834">
    <cfRule type="containsText" dxfId="813" priority="2331" operator="containsText" text="Pesquisa de Preços">
      <formula>NOT(ISERROR(SEARCH("Pesquisa de Preços",D4834)))</formula>
    </cfRule>
  </conditionalFormatting>
  <conditionalFormatting sqref="E4834">
    <cfRule type="containsText" dxfId="812" priority="2330" operator="containsText" text="Pesquisa de Preços">
      <formula>NOT(ISERROR(SEARCH("Pesquisa de Preços",E4834)))</formula>
    </cfRule>
  </conditionalFormatting>
  <conditionalFormatting sqref="D2288">
    <cfRule type="containsText" dxfId="811" priority="2321" operator="containsText" text="Pesquisa de Preços">
      <formula>NOT(ISERROR(SEARCH("Pesquisa de Preços",D2288)))</formula>
    </cfRule>
  </conditionalFormatting>
  <conditionalFormatting sqref="E2288">
    <cfRule type="containsText" dxfId="810" priority="2320" operator="containsText" text="Pesquisa de Preços">
      <formula>NOT(ISERROR(SEARCH("Pesquisa de Preços",E2288)))</formula>
    </cfRule>
  </conditionalFormatting>
  <conditionalFormatting sqref="D2289:D2290">
    <cfRule type="containsText" dxfId="809" priority="2309" operator="containsText" text="Pesquisa de Preços">
      <formula>NOT(ISERROR(SEARCH("Pesquisa de Preços",D2289)))</formula>
    </cfRule>
  </conditionalFormatting>
  <conditionalFormatting sqref="E2289:E2290">
    <cfRule type="containsText" dxfId="808" priority="2308" operator="containsText" text="Pesquisa de Preços">
      <formula>NOT(ISERROR(SEARCH("Pesquisa de Preços",E2289)))</formula>
    </cfRule>
  </conditionalFormatting>
  <conditionalFormatting sqref="D2243">
    <cfRule type="containsText" dxfId="807" priority="2284" operator="containsText" text="Pesquisa de Preços">
      <formula>NOT(ISERROR(SEARCH("Pesquisa de Preços",D2243)))</formula>
    </cfRule>
  </conditionalFormatting>
  <conditionalFormatting sqref="E2243">
    <cfRule type="containsText" dxfId="806" priority="2283" operator="containsText" text="Pesquisa de Preços">
      <formula>NOT(ISERROR(SEARCH("Pesquisa de Preços",E2243)))</formula>
    </cfRule>
  </conditionalFormatting>
  <conditionalFormatting sqref="D4892">
    <cfRule type="containsText" dxfId="805" priority="2280" operator="containsText" text="Pesquisa de Preços">
      <formula>NOT(ISERROR(SEARCH("Pesquisa de Preços",D4892)))</formula>
    </cfRule>
  </conditionalFormatting>
  <conditionalFormatting sqref="D4941 D4946">
    <cfRule type="containsText" dxfId="804" priority="2263" operator="containsText" text="Pesquisa de Preços">
      <formula>NOT(ISERROR(SEARCH("Pesquisa de Preços",D4941)))</formula>
    </cfRule>
  </conditionalFormatting>
  <conditionalFormatting sqref="D4940">
    <cfRule type="containsText" dxfId="803" priority="2264" operator="containsText" text="Pesquisa de Preços">
      <formula>NOT(ISERROR(SEARCH("Pesquisa de Preços",D4940)))</formula>
    </cfRule>
  </conditionalFormatting>
  <conditionalFormatting sqref="E4941 E4946">
    <cfRule type="containsText" dxfId="802" priority="2262" operator="containsText" text="Pesquisa de Preços">
      <formula>NOT(ISERROR(SEARCH("Pesquisa de Preços",E4941)))</formula>
    </cfRule>
  </conditionalFormatting>
  <conditionalFormatting sqref="E4940">
    <cfRule type="containsText" dxfId="801" priority="2261" operator="containsText" text="Pesquisa de Preços">
      <formula>NOT(ISERROR(SEARCH("Pesquisa de Preços",E4940)))</formula>
    </cfRule>
  </conditionalFormatting>
  <conditionalFormatting sqref="D4947">
    <cfRule type="containsText" dxfId="800" priority="2254" operator="containsText" text="Pesquisa de Preços">
      <formula>NOT(ISERROR(SEARCH("Pesquisa de Preços",D4947)))</formula>
    </cfRule>
  </conditionalFormatting>
  <conditionalFormatting sqref="D4948 D4957">
    <cfRule type="containsText" dxfId="799" priority="2253" operator="containsText" text="Pesquisa de Preços">
      <formula>NOT(ISERROR(SEARCH("Pesquisa de Preços",D4948)))</formula>
    </cfRule>
  </conditionalFormatting>
  <conditionalFormatting sqref="E4947">
    <cfRule type="containsText" dxfId="798" priority="2251" operator="containsText" text="Pesquisa de Preços">
      <formula>NOT(ISERROR(SEARCH("Pesquisa de Preços",E4947)))</formula>
    </cfRule>
  </conditionalFormatting>
  <conditionalFormatting sqref="E4948 E4957">
    <cfRule type="containsText" dxfId="797" priority="2252" operator="containsText" text="Pesquisa de Preços">
      <formula>NOT(ISERROR(SEARCH("Pesquisa de Preços",E4948)))</formula>
    </cfRule>
  </conditionalFormatting>
  <conditionalFormatting sqref="D4958">
    <cfRule type="containsText" dxfId="796" priority="2237" operator="containsText" text="Pesquisa de Preços">
      <formula>NOT(ISERROR(SEARCH("Pesquisa de Preços",D4958)))</formula>
    </cfRule>
  </conditionalFormatting>
  <conditionalFormatting sqref="D4961">
    <cfRule type="containsText" dxfId="795" priority="2229" operator="containsText" text="Pesquisa de Preços">
      <formula>NOT(ISERROR(SEARCH("Pesquisa de Preços",D4961)))</formula>
    </cfRule>
  </conditionalFormatting>
  <conditionalFormatting sqref="D4964">
    <cfRule type="containsText" dxfId="794" priority="2225" operator="containsText" text="Pesquisa de Preços">
      <formula>NOT(ISERROR(SEARCH("Pesquisa de Preços",D4964)))</formula>
    </cfRule>
  </conditionalFormatting>
  <conditionalFormatting sqref="D4969">
    <cfRule type="containsText" dxfId="793" priority="2220" operator="containsText" text="Pesquisa de Preços">
      <formula>NOT(ISERROR(SEARCH("Pesquisa de Preços",D4969)))</formula>
    </cfRule>
  </conditionalFormatting>
  <conditionalFormatting sqref="D4967">
    <cfRule type="containsText" dxfId="792" priority="2217" operator="containsText" text="Pesquisa de Preços">
      <formula>NOT(ISERROR(SEARCH("Pesquisa de Preços",D4967)))</formula>
    </cfRule>
  </conditionalFormatting>
  <conditionalFormatting sqref="D4972">
    <cfRule type="containsText" dxfId="791" priority="2211" operator="containsText" text="Pesquisa de Preços">
      <formula>NOT(ISERROR(SEARCH("Pesquisa de Preços",D4972)))</formula>
    </cfRule>
  </conditionalFormatting>
  <conditionalFormatting sqref="D4977">
    <cfRule type="containsText" dxfId="790" priority="2208" operator="containsText" text="Pesquisa de Preços">
      <formula>NOT(ISERROR(SEARCH("Pesquisa de Preços",D4977)))</formula>
    </cfRule>
  </conditionalFormatting>
  <conditionalFormatting sqref="D4975">
    <cfRule type="containsText" dxfId="789" priority="2205" operator="containsText" text="Pesquisa de Preços">
      <formula>NOT(ISERROR(SEARCH("Pesquisa de Preços",D4975)))</formula>
    </cfRule>
  </conditionalFormatting>
  <conditionalFormatting sqref="D4980">
    <cfRule type="containsText" dxfId="788" priority="2199" operator="containsText" text="Pesquisa de Preços">
      <formula>NOT(ISERROR(SEARCH("Pesquisa de Preços",D4980)))</formula>
    </cfRule>
  </conditionalFormatting>
  <conditionalFormatting sqref="D4985">
    <cfRule type="containsText" dxfId="787" priority="2196" operator="containsText" text="Pesquisa de Preços">
      <formula>NOT(ISERROR(SEARCH("Pesquisa de Preços",D4985)))</formula>
    </cfRule>
  </conditionalFormatting>
  <conditionalFormatting sqref="D4983">
    <cfRule type="containsText" dxfId="786" priority="2193" operator="containsText" text="Pesquisa de Preços">
      <formula>NOT(ISERROR(SEARCH("Pesquisa de Preços",D4983)))</formula>
    </cfRule>
  </conditionalFormatting>
  <conditionalFormatting sqref="D4988">
    <cfRule type="containsText" dxfId="785" priority="2175" operator="containsText" text="Pesquisa de Preços">
      <formula>NOT(ISERROR(SEARCH("Pesquisa de Preços",D4988)))</formula>
    </cfRule>
  </conditionalFormatting>
  <conditionalFormatting sqref="D4993">
    <cfRule type="containsText" dxfId="784" priority="2172" operator="containsText" text="Pesquisa de Preços">
      <formula>NOT(ISERROR(SEARCH("Pesquisa de Preços",D4993)))</formula>
    </cfRule>
  </conditionalFormatting>
  <conditionalFormatting sqref="D4991">
    <cfRule type="containsText" dxfId="783" priority="2169" operator="containsText" text="Pesquisa de Preços">
      <formula>NOT(ISERROR(SEARCH("Pesquisa de Preços",D4991)))</formula>
    </cfRule>
  </conditionalFormatting>
  <conditionalFormatting sqref="D4996">
    <cfRule type="containsText" dxfId="782" priority="2163" operator="containsText" text="Pesquisa de Preços">
      <formula>NOT(ISERROR(SEARCH("Pesquisa de Preços",D4996)))</formula>
    </cfRule>
  </conditionalFormatting>
  <conditionalFormatting sqref="D5000">
    <cfRule type="containsText" dxfId="781" priority="2160" operator="containsText" text="Pesquisa de Preços">
      <formula>NOT(ISERROR(SEARCH("Pesquisa de Preços",D5000)))</formula>
    </cfRule>
  </conditionalFormatting>
  <conditionalFormatting sqref="D4998">
    <cfRule type="containsText" dxfId="780" priority="2150" operator="containsText" text="Pesquisa de Preços">
      <formula>NOT(ISERROR(SEARCH("Pesquisa de Preços",D4998)))</formula>
    </cfRule>
  </conditionalFormatting>
  <conditionalFormatting sqref="D5002">
    <cfRule type="containsText" dxfId="779" priority="2148" operator="containsText" text="Pesquisa de Preços">
      <formula>NOT(ISERROR(SEARCH("Pesquisa de Preços",D5002)))</formula>
    </cfRule>
  </conditionalFormatting>
  <conditionalFormatting sqref="D5007">
    <cfRule type="containsText" dxfId="778" priority="2145" operator="containsText" text="Pesquisa de Preços">
      <formula>NOT(ISERROR(SEARCH("Pesquisa de Preços",D5007)))</formula>
    </cfRule>
  </conditionalFormatting>
  <conditionalFormatting sqref="D5005">
    <cfRule type="containsText" dxfId="777" priority="2142" operator="containsText" text="Pesquisa de Preços">
      <formula>NOT(ISERROR(SEARCH("Pesquisa de Preços",D5005)))</formula>
    </cfRule>
  </conditionalFormatting>
  <conditionalFormatting sqref="D5010">
    <cfRule type="containsText" dxfId="776" priority="2136" operator="containsText" text="Pesquisa de Preços">
      <formula>NOT(ISERROR(SEARCH("Pesquisa de Preços",D5010)))</formula>
    </cfRule>
  </conditionalFormatting>
  <conditionalFormatting sqref="D5014">
    <cfRule type="containsText" dxfId="775" priority="2133" operator="containsText" text="Pesquisa de Preços">
      <formula>NOT(ISERROR(SEARCH("Pesquisa de Preços",D5014)))</formula>
    </cfRule>
  </conditionalFormatting>
  <conditionalFormatting sqref="D5012">
    <cfRule type="containsText" dxfId="774" priority="2128" operator="containsText" text="Pesquisa de Preços">
      <formula>NOT(ISERROR(SEARCH("Pesquisa de Preços",D5012)))</formula>
    </cfRule>
  </conditionalFormatting>
  <conditionalFormatting sqref="D5016">
    <cfRule type="containsText" dxfId="773" priority="2126" operator="containsText" text="Pesquisa de Preços">
      <formula>NOT(ISERROR(SEARCH("Pesquisa de Preços",D5016)))</formula>
    </cfRule>
  </conditionalFormatting>
  <conditionalFormatting sqref="D5021">
    <cfRule type="containsText" dxfId="772" priority="2123" operator="containsText" text="Pesquisa de Preços">
      <formula>NOT(ISERROR(SEARCH("Pesquisa de Preços",D5021)))</formula>
    </cfRule>
  </conditionalFormatting>
  <conditionalFormatting sqref="D5019">
    <cfRule type="containsText" dxfId="771" priority="2120" operator="containsText" text="Pesquisa de Preços">
      <formula>NOT(ISERROR(SEARCH("Pesquisa de Preços",D5019)))</formula>
    </cfRule>
  </conditionalFormatting>
  <conditionalFormatting sqref="D5024">
    <cfRule type="containsText" dxfId="770" priority="2112" operator="containsText" text="Pesquisa de Preços">
      <formula>NOT(ISERROR(SEARCH("Pesquisa de Preços",D5024)))</formula>
    </cfRule>
  </conditionalFormatting>
  <conditionalFormatting sqref="D5029">
    <cfRule type="containsText" dxfId="769" priority="2109" operator="containsText" text="Pesquisa de Preços">
      <formula>NOT(ISERROR(SEARCH("Pesquisa de Preços",D5029)))</formula>
    </cfRule>
  </conditionalFormatting>
  <conditionalFormatting sqref="D5027">
    <cfRule type="containsText" dxfId="768" priority="2106" operator="containsText" text="Pesquisa de Preços">
      <formula>NOT(ISERROR(SEARCH("Pesquisa de Preços",D5027)))</formula>
    </cfRule>
  </conditionalFormatting>
  <conditionalFormatting sqref="D5032">
    <cfRule type="containsText" dxfId="767" priority="2100" operator="containsText" text="Pesquisa de Preços">
      <formula>NOT(ISERROR(SEARCH("Pesquisa de Preços",D5032)))</formula>
    </cfRule>
  </conditionalFormatting>
  <conditionalFormatting sqref="D5037">
    <cfRule type="containsText" dxfId="766" priority="2097" operator="containsText" text="Pesquisa de Preços">
      <formula>NOT(ISERROR(SEARCH("Pesquisa de Preços",D5037)))</formula>
    </cfRule>
  </conditionalFormatting>
  <conditionalFormatting sqref="D5035">
    <cfRule type="containsText" dxfId="765" priority="2094" operator="containsText" text="Pesquisa de Preços">
      <formula>NOT(ISERROR(SEARCH("Pesquisa de Preços",D5035)))</formula>
    </cfRule>
  </conditionalFormatting>
  <conditionalFormatting sqref="D5040">
    <cfRule type="containsText" dxfId="764" priority="2088" operator="containsText" text="Pesquisa de Preços">
      <formula>NOT(ISERROR(SEARCH("Pesquisa de Preços",D5040)))</formula>
    </cfRule>
  </conditionalFormatting>
  <conditionalFormatting sqref="D5045">
    <cfRule type="containsText" dxfId="763" priority="2085" operator="containsText" text="Pesquisa de Preços">
      <formula>NOT(ISERROR(SEARCH("Pesquisa de Preços",D5045)))</formula>
    </cfRule>
  </conditionalFormatting>
  <conditionalFormatting sqref="D5043">
    <cfRule type="containsText" dxfId="762" priority="2082" operator="containsText" text="Pesquisa de Preços">
      <formula>NOT(ISERROR(SEARCH("Pesquisa de Preços",D5043)))</formula>
    </cfRule>
  </conditionalFormatting>
  <conditionalFormatting sqref="D5050">
    <cfRule type="containsText" dxfId="761" priority="2073" operator="containsText" text="Pesquisa de Preços">
      <formula>NOT(ISERROR(SEARCH("Pesquisa de Preços",D5050)))</formula>
    </cfRule>
  </conditionalFormatting>
  <conditionalFormatting sqref="D5055">
    <cfRule type="containsText" dxfId="760" priority="2070" operator="containsText" text="Pesquisa de Preços">
      <formula>NOT(ISERROR(SEARCH("Pesquisa de Preços",D5055)))</formula>
    </cfRule>
  </conditionalFormatting>
  <conditionalFormatting sqref="D5053">
    <cfRule type="containsText" dxfId="759" priority="2067" operator="containsText" text="Pesquisa de Preços">
      <formula>NOT(ISERROR(SEARCH("Pesquisa de Preços",D5053)))</formula>
    </cfRule>
  </conditionalFormatting>
  <conditionalFormatting sqref="D5060">
    <cfRule type="containsText" dxfId="758" priority="2058" operator="containsText" text="Pesquisa de Preços">
      <formula>NOT(ISERROR(SEARCH("Pesquisa de Preços",D5060)))</formula>
    </cfRule>
  </conditionalFormatting>
  <conditionalFormatting sqref="D5065">
    <cfRule type="containsText" dxfId="757" priority="2055" operator="containsText" text="Pesquisa de Preços">
      <formula>NOT(ISERROR(SEARCH("Pesquisa de Preços",D5065)))</formula>
    </cfRule>
  </conditionalFormatting>
  <conditionalFormatting sqref="D5063">
    <cfRule type="containsText" dxfId="756" priority="2052" operator="containsText" text="Pesquisa de Preços">
      <formula>NOT(ISERROR(SEARCH("Pesquisa de Preços",D5063)))</formula>
    </cfRule>
  </conditionalFormatting>
  <conditionalFormatting sqref="D5062">
    <cfRule type="containsText" dxfId="755" priority="2047" operator="containsText" text="Pesquisa de Preços">
      <formula>NOT(ISERROR(SEARCH("Pesquisa de Preços",D5062)))</formula>
    </cfRule>
  </conditionalFormatting>
  <conditionalFormatting sqref="D5067">
    <cfRule type="containsText" dxfId="754" priority="2045" operator="containsText" text="Pesquisa de Preços">
      <formula>NOT(ISERROR(SEARCH("Pesquisa de Preços",D5067)))</formula>
    </cfRule>
  </conditionalFormatting>
  <conditionalFormatting sqref="D5072">
    <cfRule type="containsText" dxfId="753" priority="2042" operator="containsText" text="Pesquisa de Preços">
      <formula>NOT(ISERROR(SEARCH("Pesquisa de Preços",D5072)))</formula>
    </cfRule>
  </conditionalFormatting>
  <conditionalFormatting sqref="D5070">
    <cfRule type="containsText" dxfId="752" priority="2039" operator="containsText" text="Pesquisa de Preços">
      <formula>NOT(ISERROR(SEARCH("Pesquisa de Preços",D5070)))</formula>
    </cfRule>
  </conditionalFormatting>
  <conditionalFormatting sqref="D5069">
    <cfRule type="containsText" dxfId="751" priority="2036" operator="containsText" text="Pesquisa de Preços">
      <formula>NOT(ISERROR(SEARCH("Pesquisa de Preços",D5069)))</formula>
    </cfRule>
  </conditionalFormatting>
  <conditionalFormatting sqref="D5078">
    <cfRule type="containsText" dxfId="750" priority="2011" operator="containsText" text="Pesquisa de Preços">
      <formula>NOT(ISERROR(SEARCH("Pesquisa de Preços",D5078)))</formula>
    </cfRule>
  </conditionalFormatting>
  <conditionalFormatting sqref="D5074">
    <cfRule type="containsText" dxfId="749" priority="2023" operator="containsText" text="Pesquisa de Preços">
      <formula>NOT(ISERROR(SEARCH("Pesquisa de Preços",D5074)))</formula>
    </cfRule>
  </conditionalFormatting>
  <conditionalFormatting sqref="D5076">
    <cfRule type="containsText" dxfId="748" priority="2014" operator="containsText" text="Pesquisa de Preços">
      <formula>NOT(ISERROR(SEARCH("Pesquisa de Preços",D5076)))</formula>
    </cfRule>
  </conditionalFormatting>
  <conditionalFormatting sqref="D5084">
    <cfRule type="containsText" dxfId="747" priority="2001" operator="containsText" text="Pesquisa de Preços">
      <formula>NOT(ISERROR(SEARCH("Pesquisa de Preços",D5084)))</formula>
    </cfRule>
  </conditionalFormatting>
  <conditionalFormatting sqref="D5080">
    <cfRule type="containsText" dxfId="746" priority="2009" operator="containsText" text="Pesquisa de Preços">
      <formula>NOT(ISERROR(SEARCH("Pesquisa de Preços",D5080)))</formula>
    </cfRule>
  </conditionalFormatting>
  <conditionalFormatting sqref="D5082">
    <cfRule type="containsText" dxfId="745" priority="2002" operator="containsText" text="Pesquisa de Preços">
      <formula>NOT(ISERROR(SEARCH("Pesquisa de Preços",D5082)))</formula>
    </cfRule>
  </conditionalFormatting>
  <conditionalFormatting sqref="D5122">
    <cfRule type="containsText" dxfId="744" priority="1953" operator="containsText" text="Pesquisa de Preços">
      <formula>NOT(ISERROR(SEARCH("Pesquisa de Preços",D5122)))</formula>
    </cfRule>
  </conditionalFormatting>
  <conditionalFormatting sqref="D5086">
    <cfRule type="containsText" dxfId="743" priority="1983" operator="containsText" text="Pesquisa de Preços">
      <formula>NOT(ISERROR(SEARCH("Pesquisa de Preços",D5086)))</formula>
    </cfRule>
  </conditionalFormatting>
  <conditionalFormatting sqref="D5087 D5092">
    <cfRule type="containsText" dxfId="742" priority="1982" operator="containsText" text="Pesquisa de Preços">
      <formula>NOT(ISERROR(SEARCH("Pesquisa de Preços",D5087)))</formula>
    </cfRule>
  </conditionalFormatting>
  <conditionalFormatting sqref="E5092">
    <cfRule type="containsText" dxfId="741" priority="1979" operator="containsText" text="Pesquisa de Preços">
      <formula>NOT(ISERROR(SEARCH("Pesquisa de Preços",E5092)))</formula>
    </cfRule>
  </conditionalFormatting>
  <conditionalFormatting sqref="D5093">
    <cfRule type="containsText" dxfId="740" priority="1975" operator="containsText" text="Pesquisa de Preços">
      <formula>NOT(ISERROR(SEARCH("Pesquisa de Preços",D5093)))</formula>
    </cfRule>
  </conditionalFormatting>
  <conditionalFormatting sqref="D5096">
    <cfRule type="containsText" dxfId="739" priority="1972" operator="containsText" text="Pesquisa de Preços">
      <formula>NOT(ISERROR(SEARCH("Pesquisa de Preços",D5096)))</formula>
    </cfRule>
  </conditionalFormatting>
  <conditionalFormatting sqref="D5094">
    <cfRule type="containsText" dxfId="738" priority="1974" operator="containsText" text="Pesquisa de Preços">
      <formula>NOT(ISERROR(SEARCH("Pesquisa de Preços",D5094)))</formula>
    </cfRule>
  </conditionalFormatting>
  <conditionalFormatting sqref="D5095">
    <cfRule type="containsText" dxfId="737" priority="1973" operator="containsText" text="Pesquisa de Preços">
      <formula>NOT(ISERROR(SEARCH("Pesquisa de Preços",D5095)))</formula>
    </cfRule>
  </conditionalFormatting>
  <conditionalFormatting sqref="E5104">
    <cfRule type="containsText" dxfId="736" priority="1971" operator="containsText" text="Pesquisa de Preços">
      <formula>NOT(ISERROR(SEARCH("Pesquisa de Preços",E5104)))</formula>
    </cfRule>
  </conditionalFormatting>
  <conditionalFormatting sqref="D5113">
    <cfRule type="containsText" dxfId="735" priority="1967" operator="containsText" text="Pesquisa de Preços">
      <formula>NOT(ISERROR(SEARCH("Pesquisa de Preços",D5113)))</formula>
    </cfRule>
  </conditionalFormatting>
  <conditionalFormatting sqref="D5116">
    <cfRule type="containsText" dxfId="734" priority="1964" operator="containsText" text="Pesquisa de Preços">
      <formula>NOT(ISERROR(SEARCH("Pesquisa de Preços",D5116)))</formula>
    </cfRule>
  </conditionalFormatting>
  <conditionalFormatting sqref="D5114 D5117:D5118">
    <cfRule type="containsText" dxfId="733" priority="1966" operator="containsText" text="Pesquisa de Preços">
      <formula>NOT(ISERROR(SEARCH("Pesquisa de Preços",D5114)))</formula>
    </cfRule>
  </conditionalFormatting>
  <conditionalFormatting sqref="D5115">
    <cfRule type="containsText" dxfId="732" priority="1965" operator="containsText" text="Pesquisa de Preços">
      <formula>NOT(ISERROR(SEARCH("Pesquisa de Preços",D5115)))</formula>
    </cfRule>
  </conditionalFormatting>
  <conditionalFormatting sqref="E5118">
    <cfRule type="containsText" dxfId="731" priority="1963" operator="containsText" text="Pesquisa de Preços">
      <formula>NOT(ISERROR(SEARCH("Pesquisa de Preços",E5118)))</formula>
    </cfRule>
  </conditionalFormatting>
  <conditionalFormatting sqref="D5119">
    <cfRule type="containsText" dxfId="730" priority="1959" operator="containsText" text="Pesquisa de Preços">
      <formula>NOT(ISERROR(SEARCH("Pesquisa de Preços",D5119)))</formula>
    </cfRule>
  </conditionalFormatting>
  <conditionalFormatting sqref="D5124">
    <cfRule type="containsText" dxfId="729" priority="1956" operator="containsText" text="Pesquisa de Preços">
      <formula>NOT(ISERROR(SEARCH("Pesquisa de Preços",D5124)))</formula>
    </cfRule>
  </conditionalFormatting>
  <conditionalFormatting sqref="D5121">
    <cfRule type="containsText" dxfId="728" priority="1950" operator="containsText" text="Pesquisa de Preços">
      <formula>NOT(ISERROR(SEARCH("Pesquisa de Preços",D5121)))</formula>
    </cfRule>
  </conditionalFormatting>
  <conditionalFormatting sqref="D5100">
    <cfRule type="containsText" dxfId="727" priority="1949" operator="containsText" text="Pesquisa de Preços">
      <formula>NOT(ISERROR(SEARCH("Pesquisa de Preços",D5100)))</formula>
    </cfRule>
  </conditionalFormatting>
  <conditionalFormatting sqref="D5099">
    <cfRule type="containsText" dxfId="726" priority="1945" operator="containsText" text="Pesquisa de Preços">
      <formula>NOT(ISERROR(SEARCH("Pesquisa de Preços",D5099)))</formula>
    </cfRule>
  </conditionalFormatting>
  <conditionalFormatting sqref="D5098">
    <cfRule type="containsText" dxfId="725" priority="1946" operator="containsText" text="Pesquisa de Preços">
      <formula>NOT(ISERROR(SEARCH("Pesquisa de Preços",D5098)))</formula>
    </cfRule>
  </conditionalFormatting>
  <conditionalFormatting sqref="E1060">
    <cfRule type="containsText" dxfId="724" priority="1944" operator="containsText" text="Pesquisa de Preços">
      <formula>NOT(ISERROR(SEARCH("Pesquisa de Preços",E1060)))</formula>
    </cfRule>
  </conditionalFormatting>
  <conditionalFormatting sqref="E1059">
    <cfRule type="containsText" dxfId="723" priority="1943" operator="containsText" text="Pesquisa de Preços">
      <formula>NOT(ISERROR(SEARCH("Pesquisa de Preços",E1059)))</formula>
    </cfRule>
  </conditionalFormatting>
  <conditionalFormatting sqref="E1158">
    <cfRule type="containsText" dxfId="722" priority="1942" operator="containsText" text="Pesquisa de Preços">
      <formula>NOT(ISERROR(SEARCH("Pesquisa de Preços",E1158)))</formula>
    </cfRule>
  </conditionalFormatting>
  <conditionalFormatting sqref="E1156:E1157">
    <cfRule type="containsText" dxfId="721" priority="1941" operator="containsText" text="Pesquisa de Preços">
      <formula>NOT(ISERROR(SEARCH("Pesquisa de Preços",E1156)))</formula>
    </cfRule>
  </conditionalFormatting>
  <conditionalFormatting sqref="E1173">
    <cfRule type="containsText" dxfId="720" priority="1940" operator="containsText" text="Pesquisa de Preços">
      <formula>NOT(ISERROR(SEARCH("Pesquisa de Preços",E1173)))</formula>
    </cfRule>
  </conditionalFormatting>
  <conditionalFormatting sqref="E1171:E1172">
    <cfRule type="containsText" dxfId="719" priority="1939" operator="containsText" text="Pesquisa de Preços">
      <formula>NOT(ISERROR(SEARCH("Pesquisa de Preços",E1171)))</formula>
    </cfRule>
  </conditionalFormatting>
  <conditionalFormatting sqref="E1187">
    <cfRule type="containsText" dxfId="718" priority="1938" operator="containsText" text="Pesquisa de Preços">
      <formula>NOT(ISERROR(SEARCH("Pesquisa de Preços",E1187)))</formula>
    </cfRule>
  </conditionalFormatting>
  <conditionalFormatting sqref="E1185:E1186">
    <cfRule type="containsText" dxfId="717" priority="1937" operator="containsText" text="Pesquisa de Preços">
      <formula>NOT(ISERROR(SEARCH("Pesquisa de Preços",E1185)))</formula>
    </cfRule>
  </conditionalFormatting>
  <conditionalFormatting sqref="E1194">
    <cfRule type="containsText" dxfId="716" priority="1936" operator="containsText" text="Pesquisa de Preços">
      <formula>NOT(ISERROR(SEARCH("Pesquisa de Preços",E1194)))</formula>
    </cfRule>
  </conditionalFormatting>
  <conditionalFormatting sqref="E1192:E1193">
    <cfRule type="containsText" dxfId="715" priority="1935" operator="containsText" text="Pesquisa de Preços">
      <formula>NOT(ISERROR(SEARCH("Pesquisa de Preços",E1192)))</formula>
    </cfRule>
  </conditionalFormatting>
  <conditionalFormatting sqref="E1201">
    <cfRule type="containsText" dxfId="714" priority="1934" operator="containsText" text="Pesquisa de Preços">
      <formula>NOT(ISERROR(SEARCH("Pesquisa de Preços",E1201)))</formula>
    </cfRule>
  </conditionalFormatting>
  <conditionalFormatting sqref="E1199:E1200">
    <cfRule type="containsText" dxfId="713" priority="1933" operator="containsText" text="Pesquisa de Preços">
      <formula>NOT(ISERROR(SEARCH("Pesquisa de Preços",E1199)))</formula>
    </cfRule>
  </conditionalFormatting>
  <conditionalFormatting sqref="D619">
    <cfRule type="containsText" dxfId="712" priority="1919" operator="containsText" text="Pesquisa de Preços">
      <formula>NOT(ISERROR(SEARCH("Pesquisa de Preços",D619)))</formula>
    </cfRule>
  </conditionalFormatting>
  <conditionalFormatting sqref="D617:D618">
    <cfRule type="containsText" dxfId="711" priority="1918" operator="containsText" text="Pesquisa de Preços">
      <formula>NOT(ISERROR(SEARCH("Pesquisa de Preços",D617)))</formula>
    </cfRule>
  </conditionalFormatting>
  <conditionalFormatting sqref="E619">
    <cfRule type="containsText" dxfId="710" priority="1917" operator="containsText" text="Pesquisa de Preços">
      <formula>NOT(ISERROR(SEARCH("Pesquisa de Preços",E619)))</formula>
    </cfRule>
  </conditionalFormatting>
  <conditionalFormatting sqref="E617:E618">
    <cfRule type="containsText" dxfId="709" priority="1916" operator="containsText" text="Pesquisa de Preços">
      <formula>NOT(ISERROR(SEARCH("Pesquisa de Preços",E617)))</formula>
    </cfRule>
  </conditionalFormatting>
  <conditionalFormatting sqref="D266">
    <cfRule type="containsText" dxfId="708" priority="1904" operator="containsText" text="Pesquisa de Preços">
      <formula>NOT(ISERROR(SEARCH("Pesquisa de Preços",D266)))</formula>
    </cfRule>
  </conditionalFormatting>
  <conditionalFormatting sqref="E266">
    <cfRule type="containsText" dxfId="707" priority="1903" operator="containsText" text="Pesquisa de Preços">
      <formula>NOT(ISERROR(SEARCH("Pesquisa de Preços",E266)))</formula>
    </cfRule>
  </conditionalFormatting>
  <conditionalFormatting sqref="D2128">
    <cfRule type="containsText" dxfId="706" priority="1900" operator="containsText" text="Pesquisa de Preços">
      <formula>NOT(ISERROR(SEARCH("Pesquisa de Preços",D2128)))</formula>
    </cfRule>
  </conditionalFormatting>
  <conditionalFormatting sqref="E2128">
    <cfRule type="containsText" dxfId="705" priority="1899" operator="containsText" text="Pesquisa de Preços">
      <formula>NOT(ISERROR(SEARCH("Pesquisa de Preços",E2128)))</formula>
    </cfRule>
  </conditionalFormatting>
  <conditionalFormatting sqref="D2134">
    <cfRule type="containsText" dxfId="704" priority="1896" operator="containsText" text="Pesquisa de Preços">
      <formula>NOT(ISERROR(SEARCH("Pesquisa de Preços",D2134)))</formula>
    </cfRule>
  </conditionalFormatting>
  <conditionalFormatting sqref="D5112">
    <cfRule type="containsText" dxfId="703" priority="1886" operator="containsText" text="Pesquisa de Preços">
      <formula>NOT(ISERROR(SEARCH("Pesquisa de Preços",D5112)))</formula>
    </cfRule>
  </conditionalFormatting>
  <conditionalFormatting sqref="E5105">
    <cfRule type="containsText" dxfId="702" priority="1879" operator="containsText" text="Pesquisa de Preços">
      <formula>NOT(ISERROR(SEARCH("Pesquisa de Preços",E5105)))</formula>
    </cfRule>
  </conditionalFormatting>
  <conditionalFormatting sqref="E5112">
    <cfRule type="containsText" dxfId="701" priority="1883" operator="containsText" text="Pesquisa de Preços">
      <formula>NOT(ISERROR(SEARCH("Pesquisa de Preços",E5112)))</formula>
    </cfRule>
  </conditionalFormatting>
  <conditionalFormatting sqref="D5105">
    <cfRule type="containsText" dxfId="700" priority="1874" operator="containsText" text="Pesquisa de Preços">
      <formula>NOT(ISERROR(SEARCH("Pesquisa de Preços",D5105)))</formula>
    </cfRule>
  </conditionalFormatting>
  <conditionalFormatting sqref="D5130">
    <cfRule type="containsText" dxfId="699" priority="1857" operator="containsText" text="Pesquisa de Preços">
      <formula>NOT(ISERROR(SEARCH("Pesquisa de Preços",D5130)))</formula>
    </cfRule>
  </conditionalFormatting>
  <conditionalFormatting sqref="D5128">
    <cfRule type="containsText" dxfId="698" priority="1858" operator="containsText" text="Pesquisa de Preços">
      <formula>NOT(ISERROR(SEARCH("Pesquisa de Preços",D5128)))</formula>
    </cfRule>
  </conditionalFormatting>
  <conditionalFormatting sqref="D5136">
    <cfRule type="containsText" dxfId="697" priority="1845" operator="containsText" text="Pesquisa de Preços">
      <formula>NOT(ISERROR(SEARCH("Pesquisa de Preços",D5136)))</formula>
    </cfRule>
  </conditionalFormatting>
  <conditionalFormatting sqref="D5134">
    <cfRule type="containsText" dxfId="696" priority="1846" operator="containsText" text="Pesquisa de Preços">
      <formula>NOT(ISERROR(SEARCH("Pesquisa de Preços",D5134)))</formula>
    </cfRule>
  </conditionalFormatting>
  <conditionalFormatting sqref="D5126">
    <cfRule type="containsText" dxfId="695" priority="1837" operator="containsText" text="Pesquisa de Preços">
      <formula>NOT(ISERROR(SEARCH("Pesquisa de Preços",D5126)))</formula>
    </cfRule>
  </conditionalFormatting>
  <conditionalFormatting sqref="D5132">
    <cfRule type="containsText" dxfId="694" priority="1836" operator="containsText" text="Pesquisa de Preços">
      <formula>NOT(ISERROR(SEARCH("Pesquisa de Preços",D5132)))</formula>
    </cfRule>
  </conditionalFormatting>
  <conditionalFormatting sqref="D2402">
    <cfRule type="containsText" dxfId="693" priority="1830" operator="containsText" text="Pesquisa de Preços">
      <formula>NOT(ISERROR(SEARCH("Pesquisa de Preços",D2402)))</formula>
    </cfRule>
  </conditionalFormatting>
  <conditionalFormatting sqref="D2399">
    <cfRule type="containsText" dxfId="692" priority="1829" operator="containsText" text="Pesquisa de Preços">
      <formula>NOT(ISERROR(SEARCH("Pesquisa de Preços",D2399)))</formula>
    </cfRule>
  </conditionalFormatting>
  <conditionalFormatting sqref="E2402">
    <cfRule type="containsText" dxfId="691" priority="1828" operator="containsText" text="Pesquisa de Preços">
      <formula>NOT(ISERROR(SEARCH("Pesquisa de Preços",E2402)))</formula>
    </cfRule>
  </conditionalFormatting>
  <conditionalFormatting sqref="D2406">
    <cfRule type="containsText" dxfId="690" priority="1825" operator="containsText" text="Pesquisa de Preços">
      <formula>NOT(ISERROR(SEARCH("Pesquisa de Preços",D2406)))</formula>
    </cfRule>
  </conditionalFormatting>
  <conditionalFormatting sqref="D2403">
    <cfRule type="containsText" dxfId="689" priority="1824" operator="containsText" text="Pesquisa de Preços">
      <formula>NOT(ISERROR(SEARCH("Pesquisa de Preços",D2403)))</formula>
    </cfRule>
  </conditionalFormatting>
  <conditionalFormatting sqref="E2406">
    <cfRule type="containsText" dxfId="688" priority="1823" operator="containsText" text="Pesquisa de Preços">
      <formula>NOT(ISERROR(SEARCH("Pesquisa de Preços",E2406)))</formula>
    </cfRule>
  </conditionalFormatting>
  <conditionalFormatting sqref="D2414">
    <cfRule type="containsText" dxfId="687" priority="1820" operator="containsText" text="Pesquisa de Preços">
      <formula>NOT(ISERROR(SEARCH("Pesquisa de Preços",D2414)))</formula>
    </cfRule>
  </conditionalFormatting>
  <conditionalFormatting sqref="D2411">
    <cfRule type="containsText" dxfId="686" priority="1819" operator="containsText" text="Pesquisa de Preços">
      <formula>NOT(ISERROR(SEARCH("Pesquisa de Preços",D2411)))</formula>
    </cfRule>
  </conditionalFormatting>
  <conditionalFormatting sqref="E2414">
    <cfRule type="containsText" dxfId="685" priority="1818" operator="containsText" text="Pesquisa de Preços">
      <formula>NOT(ISERROR(SEARCH("Pesquisa de Preços",E2414)))</formula>
    </cfRule>
  </conditionalFormatting>
  <conditionalFormatting sqref="D2418">
    <cfRule type="containsText" dxfId="684" priority="1815" operator="containsText" text="Pesquisa de Preços">
      <formula>NOT(ISERROR(SEARCH("Pesquisa de Preços",D2418)))</formula>
    </cfRule>
  </conditionalFormatting>
  <conditionalFormatting sqref="D2415">
    <cfRule type="containsText" dxfId="683" priority="1814" operator="containsText" text="Pesquisa de Preços">
      <formula>NOT(ISERROR(SEARCH("Pesquisa de Preços",D2415)))</formula>
    </cfRule>
  </conditionalFormatting>
  <conditionalFormatting sqref="E2418">
    <cfRule type="containsText" dxfId="682" priority="1813" operator="containsText" text="Pesquisa de Preços">
      <formula>NOT(ISERROR(SEARCH("Pesquisa de Preços",E2418)))</formula>
    </cfRule>
  </conditionalFormatting>
  <conditionalFormatting sqref="D2422">
    <cfRule type="containsText" dxfId="681" priority="1810" operator="containsText" text="Pesquisa de Preços">
      <formula>NOT(ISERROR(SEARCH("Pesquisa de Preços",D2422)))</formula>
    </cfRule>
  </conditionalFormatting>
  <conditionalFormatting sqref="D2419">
    <cfRule type="containsText" dxfId="680" priority="1809" operator="containsText" text="Pesquisa de Preços">
      <formula>NOT(ISERROR(SEARCH("Pesquisa de Preços",D2419)))</formula>
    </cfRule>
  </conditionalFormatting>
  <conditionalFormatting sqref="E2422">
    <cfRule type="containsText" dxfId="679" priority="1808" operator="containsText" text="Pesquisa de Preços">
      <formula>NOT(ISERROR(SEARCH("Pesquisa de Preços",E2422)))</formula>
    </cfRule>
  </conditionalFormatting>
  <conditionalFormatting sqref="D2426">
    <cfRule type="containsText" dxfId="678" priority="1805" operator="containsText" text="Pesquisa de Preços">
      <formula>NOT(ISERROR(SEARCH("Pesquisa de Preços",D2426)))</formula>
    </cfRule>
  </conditionalFormatting>
  <conditionalFormatting sqref="D2423">
    <cfRule type="containsText" dxfId="677" priority="1804" operator="containsText" text="Pesquisa de Preços">
      <formula>NOT(ISERROR(SEARCH("Pesquisa de Preços",D2423)))</formula>
    </cfRule>
  </conditionalFormatting>
  <conditionalFormatting sqref="E2426">
    <cfRule type="containsText" dxfId="676" priority="1803" operator="containsText" text="Pesquisa de Preços">
      <formula>NOT(ISERROR(SEARCH("Pesquisa de Preços",E2426)))</formula>
    </cfRule>
  </conditionalFormatting>
  <conditionalFormatting sqref="D2430">
    <cfRule type="containsText" dxfId="675" priority="1800" operator="containsText" text="Pesquisa de Preços">
      <formula>NOT(ISERROR(SEARCH("Pesquisa de Preços",D2430)))</formula>
    </cfRule>
  </conditionalFormatting>
  <conditionalFormatting sqref="D2427">
    <cfRule type="containsText" dxfId="674" priority="1799" operator="containsText" text="Pesquisa de Preços">
      <formula>NOT(ISERROR(SEARCH("Pesquisa de Preços",D2427)))</formula>
    </cfRule>
  </conditionalFormatting>
  <conditionalFormatting sqref="E2430">
    <cfRule type="containsText" dxfId="673" priority="1798" operator="containsText" text="Pesquisa de Preços">
      <formula>NOT(ISERROR(SEARCH("Pesquisa de Preços",E2430)))</formula>
    </cfRule>
  </conditionalFormatting>
  <conditionalFormatting sqref="D2434">
    <cfRule type="containsText" dxfId="672" priority="1795" operator="containsText" text="Pesquisa de Preços">
      <formula>NOT(ISERROR(SEARCH("Pesquisa de Preços",D2434)))</formula>
    </cfRule>
  </conditionalFormatting>
  <conditionalFormatting sqref="D2431">
    <cfRule type="containsText" dxfId="671" priority="1794" operator="containsText" text="Pesquisa de Preços">
      <formula>NOT(ISERROR(SEARCH("Pesquisa de Preços",D2431)))</formula>
    </cfRule>
  </conditionalFormatting>
  <conditionalFormatting sqref="E2434">
    <cfRule type="containsText" dxfId="670" priority="1793" operator="containsText" text="Pesquisa de Preços">
      <formula>NOT(ISERROR(SEARCH("Pesquisa de Preços",E2434)))</formula>
    </cfRule>
  </conditionalFormatting>
  <conditionalFormatting sqref="D2439">
    <cfRule type="containsText" dxfId="669" priority="1789" operator="containsText" text="Pesquisa de Preços">
      <formula>NOT(ISERROR(SEARCH("Pesquisa de Preços",D2439)))</formula>
    </cfRule>
  </conditionalFormatting>
  <conditionalFormatting sqref="D2443">
    <cfRule type="containsText" dxfId="668" priority="1785" operator="containsText" text="Pesquisa de Preços">
      <formula>NOT(ISERROR(SEARCH("Pesquisa de Preços",D2443)))</formula>
    </cfRule>
  </conditionalFormatting>
  <conditionalFormatting sqref="D2455">
    <cfRule type="containsText" dxfId="667" priority="1781" operator="containsText" text="Pesquisa de Preços">
      <formula>NOT(ISERROR(SEARCH("Pesquisa de Preços",D2455)))</formula>
    </cfRule>
  </conditionalFormatting>
  <conditionalFormatting sqref="D2459">
    <cfRule type="containsText" dxfId="666" priority="1777" operator="containsText" text="Pesquisa de Preços">
      <formula>NOT(ISERROR(SEARCH("Pesquisa de Preços",D2459)))</formula>
    </cfRule>
  </conditionalFormatting>
  <conditionalFormatting sqref="D2463">
    <cfRule type="containsText" dxfId="665" priority="1773" operator="containsText" text="Pesquisa de Preços">
      <formula>NOT(ISERROR(SEARCH("Pesquisa de Preços",D2463)))</formula>
    </cfRule>
  </conditionalFormatting>
  <conditionalFormatting sqref="D2467">
    <cfRule type="containsText" dxfId="664" priority="1769" operator="containsText" text="Pesquisa de Preços">
      <formula>NOT(ISERROR(SEARCH("Pesquisa de Preços",D2467)))</formula>
    </cfRule>
  </conditionalFormatting>
  <conditionalFormatting sqref="D2471">
    <cfRule type="containsText" dxfId="663" priority="1765" operator="containsText" text="Pesquisa de Preços">
      <formula>NOT(ISERROR(SEARCH("Pesquisa de Preços",D2471)))</formula>
    </cfRule>
  </conditionalFormatting>
  <conditionalFormatting sqref="D2475">
    <cfRule type="containsText" dxfId="662" priority="1761" operator="containsText" text="Pesquisa de Preços">
      <formula>NOT(ISERROR(SEARCH("Pesquisa de Preços",D2475)))</formula>
    </cfRule>
  </conditionalFormatting>
  <conditionalFormatting sqref="D2479">
    <cfRule type="containsText" dxfId="661" priority="1757" operator="containsText" text="Pesquisa de Preços">
      <formula>NOT(ISERROR(SEARCH("Pesquisa de Preços",D2479)))</formula>
    </cfRule>
  </conditionalFormatting>
  <conditionalFormatting sqref="D2483">
    <cfRule type="containsText" dxfId="660" priority="1753" operator="containsText" text="Pesquisa de Preços">
      <formula>NOT(ISERROR(SEARCH("Pesquisa de Preços",D2483)))</formula>
    </cfRule>
  </conditionalFormatting>
  <conditionalFormatting sqref="D2487">
    <cfRule type="containsText" dxfId="659" priority="1749" operator="containsText" text="Pesquisa de Preços">
      <formula>NOT(ISERROR(SEARCH("Pesquisa de Preços",D2487)))</formula>
    </cfRule>
  </conditionalFormatting>
  <conditionalFormatting sqref="D2491">
    <cfRule type="containsText" dxfId="658" priority="1745" operator="containsText" text="Pesquisa de Preços">
      <formula>NOT(ISERROR(SEARCH("Pesquisa de Preços",D2491)))</formula>
    </cfRule>
  </conditionalFormatting>
  <conditionalFormatting sqref="D2495">
    <cfRule type="containsText" dxfId="657" priority="1741" operator="containsText" text="Pesquisa de Preços">
      <formula>NOT(ISERROR(SEARCH("Pesquisa de Preços",D2495)))</formula>
    </cfRule>
  </conditionalFormatting>
  <conditionalFormatting sqref="D2499">
    <cfRule type="containsText" dxfId="656" priority="1735" operator="containsText" text="Pesquisa de Preços">
      <formula>NOT(ISERROR(SEARCH("Pesquisa de Preços",D2499)))</formula>
    </cfRule>
  </conditionalFormatting>
  <conditionalFormatting sqref="D2503">
    <cfRule type="containsText" dxfId="655" priority="1731" operator="containsText" text="Pesquisa de Preços">
      <formula>NOT(ISERROR(SEARCH("Pesquisa de Preços",D2503)))</formula>
    </cfRule>
  </conditionalFormatting>
  <conditionalFormatting sqref="D2507">
    <cfRule type="containsText" dxfId="654" priority="1727" operator="containsText" text="Pesquisa de Preços">
      <formula>NOT(ISERROR(SEARCH("Pesquisa de Preços",D2507)))</formula>
    </cfRule>
  </conditionalFormatting>
  <conditionalFormatting sqref="D2511">
    <cfRule type="containsText" dxfId="653" priority="1723" operator="containsText" text="Pesquisa de Preços">
      <formula>NOT(ISERROR(SEARCH("Pesquisa de Preços",D2511)))</formula>
    </cfRule>
  </conditionalFormatting>
  <conditionalFormatting sqref="D2515">
    <cfRule type="containsText" dxfId="652" priority="1719" operator="containsText" text="Pesquisa de Preços">
      <formula>NOT(ISERROR(SEARCH("Pesquisa de Preços",D2515)))</formula>
    </cfRule>
  </conditionalFormatting>
  <conditionalFormatting sqref="D2519">
    <cfRule type="containsText" dxfId="651" priority="1715" operator="containsText" text="Pesquisa de Preços">
      <formula>NOT(ISERROR(SEARCH("Pesquisa de Preços",D2519)))</formula>
    </cfRule>
  </conditionalFormatting>
  <conditionalFormatting sqref="D2523">
    <cfRule type="containsText" dxfId="650" priority="1711" operator="containsText" text="Pesquisa de Preços">
      <formula>NOT(ISERROR(SEARCH("Pesquisa de Preços",D2523)))</formula>
    </cfRule>
  </conditionalFormatting>
  <conditionalFormatting sqref="D2527">
    <cfRule type="containsText" dxfId="649" priority="1707" operator="containsText" text="Pesquisa de Preços">
      <formula>NOT(ISERROR(SEARCH("Pesquisa de Preços",D2527)))</formula>
    </cfRule>
  </conditionalFormatting>
  <conditionalFormatting sqref="D2531">
    <cfRule type="containsText" dxfId="648" priority="1703" operator="containsText" text="Pesquisa de Preços">
      <formula>NOT(ISERROR(SEARCH("Pesquisa de Preços",D2531)))</formula>
    </cfRule>
  </conditionalFormatting>
  <conditionalFormatting sqref="D2535">
    <cfRule type="containsText" dxfId="647" priority="1699" operator="containsText" text="Pesquisa de Preços">
      <formula>NOT(ISERROR(SEARCH("Pesquisa de Preços",D2535)))</formula>
    </cfRule>
  </conditionalFormatting>
  <conditionalFormatting sqref="D2539">
    <cfRule type="containsText" dxfId="646" priority="1695" operator="containsText" text="Pesquisa de Preços">
      <formula>NOT(ISERROR(SEARCH("Pesquisa de Preços",D2539)))</formula>
    </cfRule>
  </conditionalFormatting>
  <conditionalFormatting sqref="D2543">
    <cfRule type="containsText" dxfId="645" priority="1691" operator="containsText" text="Pesquisa de Preços">
      <formula>NOT(ISERROR(SEARCH("Pesquisa de Preços",D2543)))</formula>
    </cfRule>
  </conditionalFormatting>
  <conditionalFormatting sqref="D2643">
    <cfRule type="containsText" dxfId="644" priority="1677" operator="containsText" text="Pesquisa de Preços">
      <formula>NOT(ISERROR(SEARCH("Pesquisa de Preços",D2643)))</formula>
    </cfRule>
  </conditionalFormatting>
  <conditionalFormatting sqref="D2551">
    <cfRule type="containsText" dxfId="643" priority="1683" operator="containsText" text="Pesquisa de Preços">
      <formula>NOT(ISERROR(SEARCH("Pesquisa de Preços",D2551)))</formula>
    </cfRule>
  </conditionalFormatting>
  <conditionalFormatting sqref="D2547">
    <cfRule type="containsText" dxfId="642" priority="1679" operator="containsText" text="Pesquisa de Preços">
      <formula>NOT(ISERROR(SEARCH("Pesquisa de Preços",D2547)))</formula>
    </cfRule>
  </conditionalFormatting>
  <conditionalFormatting sqref="D2651">
    <cfRule type="containsText" dxfId="641" priority="1673" operator="containsText" text="Pesquisa de Preços">
      <formula>NOT(ISERROR(SEARCH("Pesquisa de Preços",D2651)))</formula>
    </cfRule>
  </conditionalFormatting>
  <conditionalFormatting sqref="D2447">
    <cfRule type="containsText" dxfId="640" priority="1669" operator="containsText" text="Pesquisa de Preços">
      <formula>NOT(ISERROR(SEARCH("Pesquisa de Preços",D2447)))</formula>
    </cfRule>
  </conditionalFormatting>
  <conditionalFormatting sqref="D2451">
    <cfRule type="containsText" dxfId="639" priority="1665" operator="containsText" text="Pesquisa de Preços">
      <formula>NOT(ISERROR(SEARCH("Pesquisa de Preços",D2451)))</formula>
    </cfRule>
  </conditionalFormatting>
  <conditionalFormatting sqref="D5563">
    <cfRule type="containsText" dxfId="638" priority="1354" operator="containsText" text="Pesquisa de Preços">
      <formula>NOT(ISERROR(SEARCH("Pesquisa de Preços",D5563)))</formula>
    </cfRule>
  </conditionalFormatting>
  <conditionalFormatting sqref="D5555">
    <cfRule type="containsText" dxfId="637" priority="1362" operator="containsText" text="Pesquisa de Preços">
      <formula>NOT(ISERROR(SEARCH("Pesquisa de Preços",D5555)))</formula>
    </cfRule>
  </conditionalFormatting>
  <conditionalFormatting sqref="D5567">
    <cfRule type="containsText" dxfId="636" priority="1350" operator="containsText" text="Pesquisa de Preços">
      <formula>NOT(ISERROR(SEARCH("Pesquisa de Preços",D5567)))</formula>
    </cfRule>
  </conditionalFormatting>
  <conditionalFormatting sqref="D5747">
    <cfRule type="containsText" dxfId="635" priority="1331" operator="containsText" text="Pesquisa de Preços">
      <formula>NOT(ISERROR(SEARCH("Pesquisa de Preços",D5747)))</formula>
    </cfRule>
  </conditionalFormatting>
  <conditionalFormatting sqref="D5899">
    <cfRule type="containsText" dxfId="634" priority="1130" operator="containsText" text="Pesquisa de Preços">
      <formula>NOT(ISERROR(SEARCH("Pesquisa de Preços",D5899)))</formula>
    </cfRule>
  </conditionalFormatting>
  <conditionalFormatting sqref="D5399">
    <cfRule type="containsText" dxfId="633" priority="1003" operator="containsText" text="Pesquisa de Preços">
      <formula>NOT(ISERROR(SEARCH("Pesquisa de Preços",D5399)))</formula>
    </cfRule>
  </conditionalFormatting>
  <conditionalFormatting sqref="D5463">
    <cfRule type="containsText" dxfId="632" priority="1152" operator="containsText" text="Pesquisa de Preços">
      <formula>NOT(ISERROR(SEARCH("Pesquisa de Preços",D5463)))</formula>
    </cfRule>
  </conditionalFormatting>
  <conditionalFormatting sqref="D5467 D5471 D5475 D5479 D5483 D5487 D5491 D5495 D5499 D5503 D5507 D5511 D5515 D5519 D5523 D5527 D5531 D5535 D5539 D5543">
    <cfRule type="containsText" dxfId="631" priority="1150" operator="containsText" text="Pesquisa de Preços">
      <formula>NOT(ISERROR(SEARCH("Pesquisa de Preços",D5467)))</formula>
    </cfRule>
  </conditionalFormatting>
  <conditionalFormatting sqref="D5883">
    <cfRule type="containsText" dxfId="630" priority="1146" operator="containsText" text="Pesquisa de Preços">
      <formula>NOT(ISERROR(SEARCH("Pesquisa de Preços",D5883)))</formula>
    </cfRule>
  </conditionalFormatting>
  <conditionalFormatting sqref="D5887">
    <cfRule type="containsText" dxfId="629" priority="1142" operator="containsText" text="Pesquisa de Preços">
      <formula>NOT(ISERROR(SEARCH("Pesquisa de Preços",D5887)))</formula>
    </cfRule>
  </conditionalFormatting>
  <conditionalFormatting sqref="D5459">
    <cfRule type="containsText" dxfId="628" priority="1111" operator="containsText" text="Pesquisa de Preços">
      <formula>NOT(ISERROR(SEARCH("Pesquisa de Preços",D5459)))</formula>
    </cfRule>
  </conditionalFormatting>
  <conditionalFormatting sqref="D5948">
    <cfRule type="containsText" dxfId="627" priority="1122" operator="containsText" text="Pesquisa de Preços">
      <formula>NOT(ISERROR(SEARCH("Pesquisa de Preços",D5948)))</formula>
    </cfRule>
  </conditionalFormatting>
  <conditionalFormatting sqref="D2725">
    <cfRule type="containsText" dxfId="626" priority="1107" operator="containsText" text="Pesquisa de Preços">
      <formula>NOT(ISERROR(SEARCH("Pesquisa de Preços",D2725)))</formula>
    </cfRule>
  </conditionalFormatting>
  <conditionalFormatting sqref="D5455">
    <cfRule type="containsText" dxfId="625" priority="1113" operator="containsText" text="Pesquisa de Preços">
      <formula>NOT(ISERROR(SEARCH("Pesquisa de Preços",D5455)))</formula>
    </cfRule>
  </conditionalFormatting>
  <conditionalFormatting sqref="D5903">
    <cfRule type="containsText" dxfId="624" priority="1126" operator="containsText" text="Pesquisa de Preços">
      <formula>NOT(ISERROR(SEARCH("Pesquisa de Preços",D5903)))</formula>
    </cfRule>
  </conditionalFormatting>
  <conditionalFormatting sqref="D5944:D5947">
    <cfRule type="containsText" dxfId="623" priority="1120" operator="containsText" text="Pesquisa de Preços">
      <formula>NOT(ISERROR(SEARCH("Pesquisa de Preços",D5944)))</formula>
    </cfRule>
  </conditionalFormatting>
  <conditionalFormatting sqref="D5943">
    <cfRule type="containsText" dxfId="622" priority="1121" operator="containsText" text="Pesquisa de Preços">
      <formula>NOT(ISERROR(SEARCH("Pesquisa de Preços",D5943)))</formula>
    </cfRule>
  </conditionalFormatting>
  <conditionalFormatting sqref="D2721">
    <cfRule type="containsText" dxfId="621" priority="1552" operator="containsText" text="Pesquisa de Preços">
      <formula>NOT(ISERROR(SEARCH("Pesquisa de Preços",D2721)))</formula>
    </cfRule>
  </conditionalFormatting>
  <conditionalFormatting sqref="D2719">
    <cfRule type="containsText" dxfId="620" priority="1551" operator="containsText" text="Pesquisa de Preços">
      <formula>NOT(ISERROR(SEARCH("Pesquisa de Preços",D2719)))</formula>
    </cfRule>
  </conditionalFormatting>
  <conditionalFormatting sqref="D5915">
    <cfRule type="containsText" dxfId="619" priority="1390" operator="containsText" text="Pesquisa de Preços">
      <formula>NOT(ISERROR(SEARCH("Pesquisa de Preços",D5915)))</formula>
    </cfRule>
  </conditionalFormatting>
  <conditionalFormatting sqref="D5923">
    <cfRule type="containsText" dxfId="618" priority="1388" operator="containsText" text="Pesquisa de Preços">
      <formula>NOT(ISERROR(SEARCH("Pesquisa de Preços",D5923)))</formula>
    </cfRule>
  </conditionalFormatting>
  <conditionalFormatting sqref="D5911">
    <cfRule type="containsText" dxfId="617" priority="1391" operator="containsText" text="Pesquisa de Preços">
      <formula>NOT(ISERROR(SEARCH("Pesquisa de Preços",D5911)))</formula>
    </cfRule>
  </conditionalFormatting>
  <conditionalFormatting sqref="D5919">
    <cfRule type="containsText" dxfId="616" priority="1389" operator="containsText" text="Pesquisa de Preços">
      <formula>NOT(ISERROR(SEARCH("Pesquisa de Preços",D5919)))</formula>
    </cfRule>
  </conditionalFormatting>
  <conditionalFormatting sqref="D5711">
    <cfRule type="containsText" dxfId="615" priority="1451" operator="containsText" text="Pesquisa de Preços">
      <formula>NOT(ISERROR(SEARCH("Pesquisa de Preços",D5711)))</formula>
    </cfRule>
  </conditionalFormatting>
  <conditionalFormatting sqref="D5931">
    <cfRule type="containsText" dxfId="614" priority="1386" operator="containsText" text="Pesquisa de Preços">
      <formula>NOT(ISERROR(SEARCH("Pesquisa de Preços",D5931)))</formula>
    </cfRule>
  </conditionalFormatting>
  <conditionalFormatting sqref="D5715">
    <cfRule type="containsText" dxfId="613" priority="1447" operator="containsText" text="Pesquisa de Preços">
      <formula>NOT(ISERROR(SEARCH("Pesquisa de Preços",D5715)))</formula>
    </cfRule>
  </conditionalFormatting>
  <conditionalFormatting sqref="D5955">
    <cfRule type="containsText" dxfId="612" priority="1383" operator="containsText" text="Pesquisa de Preços">
      <formula>NOT(ISERROR(SEARCH("Pesquisa de Preços",D5955)))</formula>
    </cfRule>
  </conditionalFormatting>
  <conditionalFormatting sqref="D5719">
    <cfRule type="containsText" dxfId="611" priority="1443" operator="containsText" text="Pesquisa de Preços">
      <formula>NOT(ISERROR(SEARCH("Pesquisa de Preços",D5719)))</formula>
    </cfRule>
  </conditionalFormatting>
  <conditionalFormatting sqref="D5723">
    <cfRule type="containsText" dxfId="610" priority="1439" operator="containsText" text="Pesquisa de Preços">
      <formula>NOT(ISERROR(SEARCH("Pesquisa de Preços",D5723)))</formula>
    </cfRule>
  </conditionalFormatting>
  <conditionalFormatting sqref="D5727">
    <cfRule type="containsText" dxfId="609" priority="1435" operator="containsText" text="Pesquisa de Preços">
      <formula>NOT(ISERROR(SEARCH("Pesquisa de Preços",D5727)))</formula>
    </cfRule>
  </conditionalFormatting>
  <conditionalFormatting sqref="D5451">
    <cfRule type="containsText" dxfId="608" priority="1374" operator="containsText" text="Pesquisa de Preços">
      <formula>NOT(ISERROR(SEARCH("Pesquisa de Preços",D5451)))</formula>
    </cfRule>
  </conditionalFormatting>
  <conditionalFormatting sqref="D5731">
    <cfRule type="containsText" dxfId="607" priority="1431" operator="containsText" text="Pesquisa de Preços">
      <formula>NOT(ISERROR(SEARCH("Pesquisa de Preços",D5731)))</formula>
    </cfRule>
  </conditionalFormatting>
  <conditionalFormatting sqref="D5735">
    <cfRule type="containsText" dxfId="606" priority="1427" operator="containsText" text="Pesquisa de Preços">
      <formula>NOT(ISERROR(SEARCH("Pesquisa de Preços",D5735)))</formula>
    </cfRule>
  </conditionalFormatting>
  <conditionalFormatting sqref="D5907">
    <cfRule type="containsText" dxfId="605" priority="1423" operator="containsText" text="Pesquisa de Preços">
      <formula>NOT(ISERROR(SEARCH("Pesquisa de Preços",D5907)))</formula>
    </cfRule>
  </conditionalFormatting>
  <conditionalFormatting sqref="D5927">
    <cfRule type="containsText" dxfId="604" priority="1387" operator="containsText" text="Pesquisa de Preços">
      <formula>NOT(ISERROR(SEARCH("Pesquisa de Preços",D5927)))</formula>
    </cfRule>
  </conditionalFormatting>
  <conditionalFormatting sqref="D5935">
    <cfRule type="containsText" dxfId="603" priority="1401" operator="containsText" text="Pesquisa de Preços">
      <formula>NOT(ISERROR(SEARCH("Pesquisa de Preços",D5935)))</formula>
    </cfRule>
  </conditionalFormatting>
  <conditionalFormatting sqref="D5951">
    <cfRule type="containsText" dxfId="602" priority="1384" operator="containsText" text="Pesquisa de Preços">
      <formula>NOT(ISERROR(SEARCH("Pesquisa de Preços",D5951)))</formula>
    </cfRule>
  </conditionalFormatting>
  <conditionalFormatting sqref="D5939">
    <cfRule type="containsText" dxfId="601" priority="1385" operator="containsText" text="Pesquisa de Preços">
      <formula>NOT(ISERROR(SEARCH("Pesquisa de Preços",D5939)))</formula>
    </cfRule>
  </conditionalFormatting>
  <conditionalFormatting sqref="D5447">
    <cfRule type="containsText" dxfId="600" priority="1378" operator="containsText" text="Pesquisa de Preços">
      <formula>NOT(ISERROR(SEARCH("Pesquisa de Preços",D5447)))</formula>
    </cfRule>
  </conditionalFormatting>
  <conditionalFormatting sqref="D5619">
    <cfRule type="containsText" dxfId="599" priority="1247" operator="containsText" text="Pesquisa de Preços">
      <formula>NOT(ISERROR(SEARCH("Pesquisa de Preços",D5619)))</formula>
    </cfRule>
  </conditionalFormatting>
  <conditionalFormatting sqref="D5823">
    <cfRule type="containsText" dxfId="598" priority="1267" operator="containsText" text="Pesquisa de Preços">
      <formula>NOT(ISERROR(SEARCH("Pesquisa de Preços",D5823)))</formula>
    </cfRule>
  </conditionalFormatting>
  <conditionalFormatting sqref="D5547">
    <cfRule type="containsText" dxfId="597" priority="1370" operator="containsText" text="Pesquisa de Preços">
      <formula>NOT(ISERROR(SEARCH("Pesquisa de Preços",D5547)))</formula>
    </cfRule>
  </conditionalFormatting>
  <conditionalFormatting sqref="D5587">
    <cfRule type="containsText" dxfId="596" priority="1255" operator="containsText" text="Pesquisa de Preços">
      <formula>NOT(ISERROR(SEARCH("Pesquisa de Preços",D5587)))</formula>
    </cfRule>
  </conditionalFormatting>
  <conditionalFormatting sqref="D5551">
    <cfRule type="containsText" dxfId="595" priority="1366" operator="containsText" text="Pesquisa de Preços">
      <formula>NOT(ISERROR(SEARCH("Pesquisa de Preços",D5551)))</formula>
    </cfRule>
  </conditionalFormatting>
  <conditionalFormatting sqref="D5599">
    <cfRule type="containsText" dxfId="594" priority="1252" operator="containsText" text="Pesquisa de Preços">
      <formula>NOT(ISERROR(SEARCH("Pesquisa de Preços",D5599)))</formula>
    </cfRule>
  </conditionalFormatting>
  <conditionalFormatting sqref="D5559">
    <cfRule type="containsText" dxfId="593" priority="1358" operator="containsText" text="Pesquisa de Preços">
      <formula>NOT(ISERROR(SEARCH("Pesquisa de Preços",D5559)))</formula>
    </cfRule>
  </conditionalFormatting>
  <conditionalFormatting sqref="D5611">
    <cfRule type="containsText" dxfId="592" priority="1249" operator="containsText" text="Pesquisa de Preços">
      <formula>NOT(ISERROR(SEARCH("Pesquisa de Preços",D5611)))</formula>
    </cfRule>
  </conditionalFormatting>
  <conditionalFormatting sqref="D5655">
    <cfRule type="containsText" dxfId="591" priority="1238" operator="containsText" text="Pesquisa de Preços">
      <formula>NOT(ISERROR(SEARCH("Pesquisa de Preços",D5655)))</formula>
    </cfRule>
  </conditionalFormatting>
  <conditionalFormatting sqref="D5755">
    <cfRule type="containsText" dxfId="590" priority="1324" operator="containsText" text="Pesquisa de Preços">
      <formula>NOT(ISERROR(SEARCH("Pesquisa de Preços",D5755)))</formula>
    </cfRule>
  </conditionalFormatting>
  <conditionalFormatting sqref="D5763">
    <cfRule type="containsText" dxfId="589" priority="1317" operator="containsText" text="Pesquisa de Preços">
      <formula>NOT(ISERROR(SEARCH("Pesquisa de Preços",D5763)))</formula>
    </cfRule>
  </conditionalFormatting>
  <conditionalFormatting sqref="D5579">
    <cfRule type="containsText" dxfId="588" priority="1259" operator="containsText" text="Pesquisa de Preços">
      <formula>NOT(ISERROR(SEARCH("Pesquisa de Preços",D5579)))</formula>
    </cfRule>
  </conditionalFormatting>
  <conditionalFormatting sqref="D5583">
    <cfRule type="containsText" dxfId="587" priority="1256" operator="containsText" text="Pesquisa de Preços">
      <formula>NOT(ISERROR(SEARCH("Pesquisa de Preços",D5583)))</formula>
    </cfRule>
  </conditionalFormatting>
  <conditionalFormatting sqref="D5635">
    <cfRule type="containsText" dxfId="586" priority="1243" operator="containsText" text="Pesquisa de Preços">
      <formula>NOT(ISERROR(SEARCH("Pesquisa de Preços",D5635)))</formula>
    </cfRule>
  </conditionalFormatting>
  <conditionalFormatting sqref="D5699">
    <cfRule type="containsText" dxfId="585" priority="1227" operator="containsText" text="Pesquisa de Preços">
      <formula>NOT(ISERROR(SEARCH("Pesquisa de Preços",D5699)))</formula>
    </cfRule>
  </conditionalFormatting>
  <conditionalFormatting sqref="D5743">
    <cfRule type="containsText" dxfId="584" priority="1224" operator="containsText" text="Pesquisa de Preços">
      <formula>NOT(ISERROR(SEARCH("Pesquisa de Preços",D5743)))</formula>
    </cfRule>
  </conditionalFormatting>
  <conditionalFormatting sqref="D5751">
    <cfRule type="containsText" dxfId="583" priority="1223" operator="containsText" text="Pesquisa de Preços">
      <formula>NOT(ISERROR(SEARCH("Pesquisa de Preços",D5751)))</formula>
    </cfRule>
  </conditionalFormatting>
  <conditionalFormatting sqref="D5759">
    <cfRule type="containsText" dxfId="582" priority="1222" operator="containsText" text="Pesquisa de Preços">
      <formula>NOT(ISERROR(SEARCH("Pesquisa de Preços",D5759)))</formula>
    </cfRule>
  </conditionalFormatting>
  <conditionalFormatting sqref="D5779">
    <cfRule type="containsText" dxfId="581" priority="1219" operator="containsText" text="Pesquisa de Preços">
      <formula>NOT(ISERROR(SEARCH("Pesquisa de Preços",D5779)))</formula>
    </cfRule>
  </conditionalFormatting>
  <conditionalFormatting sqref="D5791">
    <cfRule type="containsText" dxfId="580" priority="1217" operator="containsText" text="Pesquisa de Preços">
      <formula>NOT(ISERROR(SEARCH("Pesquisa de Preços",D5791)))</formula>
    </cfRule>
  </conditionalFormatting>
  <conditionalFormatting sqref="D5807">
    <cfRule type="containsText" dxfId="579" priority="1214" operator="containsText" text="Pesquisa de Preços">
      <formula>NOT(ISERROR(SEARCH("Pesquisa de Preços",D5807)))</formula>
    </cfRule>
  </conditionalFormatting>
  <conditionalFormatting sqref="D5819">
    <cfRule type="containsText" dxfId="578" priority="1212" operator="containsText" text="Pesquisa de Preços">
      <formula>NOT(ISERROR(SEARCH("Pesquisa de Preços",D5819)))</formula>
    </cfRule>
  </conditionalFormatting>
  <conditionalFormatting sqref="D5875">
    <cfRule type="containsText" dxfId="577" priority="1162" operator="containsText" text="Pesquisa de Preços">
      <formula>NOT(ISERROR(SEARCH("Pesquisa de Preços",D5875)))</formula>
    </cfRule>
  </conditionalFormatting>
  <conditionalFormatting sqref="D5879">
    <cfRule type="containsText" dxfId="576" priority="1158" operator="containsText" text="Pesquisa de Preços">
      <formula>NOT(ISERROR(SEARCH("Pesquisa de Preços",D5879)))</formula>
    </cfRule>
  </conditionalFormatting>
  <conditionalFormatting sqref="D5445">
    <cfRule type="containsText" dxfId="575" priority="1379" operator="containsText" text="Pesquisa de Preços">
      <formula>NOT(ISERROR(SEARCH("Pesquisa de Preços",D5445)))</formula>
    </cfRule>
  </conditionalFormatting>
  <conditionalFormatting sqref="D5575">
    <cfRule type="containsText" dxfId="574" priority="1258" operator="containsText" text="Pesquisa de Preços">
      <formula>NOT(ISERROR(SEARCH("Pesquisa de Preços",D5575)))</formula>
    </cfRule>
  </conditionalFormatting>
  <conditionalFormatting sqref="D5591">
    <cfRule type="containsText" dxfId="573" priority="1254" operator="containsText" text="Pesquisa de Preços">
      <formula>NOT(ISERROR(SEARCH("Pesquisa de Preços",D5591)))</formula>
    </cfRule>
  </conditionalFormatting>
  <conditionalFormatting sqref="D5627">
    <cfRule type="containsText" dxfId="572" priority="1245" operator="containsText" text="Pesquisa de Preços">
      <formula>NOT(ISERROR(SEARCH("Pesquisa de Preços",D5627)))</formula>
    </cfRule>
  </conditionalFormatting>
  <conditionalFormatting sqref="D5775">
    <cfRule type="containsText" dxfId="571" priority="1307" operator="containsText" text="Pesquisa de Preços">
      <formula>NOT(ISERROR(SEARCH("Pesquisa de Preços",D5775)))</formula>
    </cfRule>
  </conditionalFormatting>
  <conditionalFormatting sqref="D5739">
    <cfRule type="containsText" dxfId="570" priority="1337" operator="containsText" text="Pesquisa de Preços">
      <formula>NOT(ISERROR(SEARCH("Pesquisa de Preços",D5739)))</formula>
    </cfRule>
  </conditionalFormatting>
  <conditionalFormatting sqref="D5623">
    <cfRule type="containsText" dxfId="569" priority="1246" operator="containsText" text="Pesquisa de Preços">
      <formula>NOT(ISERROR(SEARCH("Pesquisa de Preços",D5623)))</formula>
    </cfRule>
  </conditionalFormatting>
  <conditionalFormatting sqref="D5647">
    <cfRule type="containsText" dxfId="568" priority="1240" operator="containsText" text="Pesquisa de Preços">
      <formula>NOT(ISERROR(SEARCH("Pesquisa de Preços",D5647)))</formula>
    </cfRule>
  </conditionalFormatting>
  <conditionalFormatting sqref="D5571">
    <cfRule type="containsText" dxfId="567" priority="1257" operator="containsText" text="Pesquisa de Preços">
      <formula>NOT(ISERROR(SEARCH("Pesquisa de Preços",D5571)))</formula>
    </cfRule>
  </conditionalFormatting>
  <conditionalFormatting sqref="D5639">
    <cfRule type="containsText" dxfId="566" priority="1241" operator="containsText" text="Pesquisa de Preços">
      <formula>NOT(ISERROR(SEARCH("Pesquisa de Preços",D5639)))</formula>
    </cfRule>
  </conditionalFormatting>
  <conditionalFormatting sqref="D5787">
    <cfRule type="containsText" dxfId="565" priority="1297" operator="containsText" text="Pesquisa de Preços">
      <formula>NOT(ISERROR(SEARCH("Pesquisa de Preços",D5787)))</formula>
    </cfRule>
  </conditionalFormatting>
  <conditionalFormatting sqref="D5631">
    <cfRule type="containsText" dxfId="564" priority="1244" operator="containsText" text="Pesquisa de Preços">
      <formula>NOT(ISERROR(SEARCH("Pesquisa de Preços",D5631)))</formula>
    </cfRule>
  </conditionalFormatting>
  <conditionalFormatting sqref="D5667">
    <cfRule type="containsText" dxfId="563" priority="1235" operator="containsText" text="Pesquisa de Preços">
      <formula>NOT(ISERROR(SEARCH("Pesquisa de Preços",D5667)))</formula>
    </cfRule>
  </conditionalFormatting>
  <conditionalFormatting sqref="D5607">
    <cfRule type="containsText" dxfId="562" priority="1250" operator="containsText" text="Pesquisa de Preços">
      <formula>NOT(ISERROR(SEARCH("Pesquisa de Preços",D5607)))</formula>
    </cfRule>
  </conditionalFormatting>
  <conditionalFormatting sqref="D5799">
    <cfRule type="containsText" dxfId="561" priority="1287" operator="containsText" text="Pesquisa de Preços">
      <formula>NOT(ISERROR(SEARCH("Pesquisa de Preços",D5799)))</formula>
    </cfRule>
  </conditionalFormatting>
  <conditionalFormatting sqref="D5659">
    <cfRule type="containsText" dxfId="560" priority="1236" operator="containsText" text="Pesquisa de Preços">
      <formula>NOT(ISERROR(SEARCH("Pesquisa de Preços",D5659)))</formula>
    </cfRule>
  </conditionalFormatting>
  <conditionalFormatting sqref="D5643">
    <cfRule type="containsText" dxfId="559" priority="1242" operator="containsText" text="Pesquisa de Preços">
      <formula>NOT(ISERROR(SEARCH("Pesquisa de Preços",D5643)))</formula>
    </cfRule>
  </conditionalFormatting>
  <conditionalFormatting sqref="D5695">
    <cfRule type="containsText" dxfId="558" priority="1228" operator="containsText" text="Pesquisa de Preços">
      <formula>NOT(ISERROR(SEARCH("Pesquisa de Preços",D5695)))</formula>
    </cfRule>
  </conditionalFormatting>
  <conditionalFormatting sqref="D5811">
    <cfRule type="containsText" dxfId="557" priority="1277" operator="containsText" text="Pesquisa de Preços">
      <formula>NOT(ISERROR(SEARCH("Pesquisa de Preços",D5811)))</formula>
    </cfRule>
  </conditionalFormatting>
  <conditionalFormatting sqref="D5663">
    <cfRule type="containsText" dxfId="556" priority="1237" operator="containsText" text="Pesquisa de Preços">
      <formula>NOT(ISERROR(SEARCH("Pesquisa de Preços",D5663)))</formula>
    </cfRule>
  </conditionalFormatting>
  <conditionalFormatting sqref="D5691">
    <cfRule type="containsText" dxfId="555" priority="1230" operator="containsText" text="Pesquisa de Preços">
      <formula>NOT(ISERROR(SEARCH("Pesquisa de Preços",D5691)))</formula>
    </cfRule>
  </conditionalFormatting>
  <conditionalFormatting sqref="D5687">
    <cfRule type="containsText" dxfId="554" priority="1229" operator="containsText" text="Pesquisa de Preços">
      <formula>NOT(ISERROR(SEARCH("Pesquisa de Preços",D5687)))</formula>
    </cfRule>
  </conditionalFormatting>
  <conditionalFormatting sqref="D5675">
    <cfRule type="containsText" dxfId="553" priority="1233" operator="containsText" text="Pesquisa de Preços">
      <formula>NOT(ISERROR(SEARCH("Pesquisa de Preços",D5675)))</formula>
    </cfRule>
  </conditionalFormatting>
  <conditionalFormatting sqref="D5783">
    <cfRule type="containsText" dxfId="552" priority="1218" operator="containsText" text="Pesquisa de Preços">
      <formula>NOT(ISERROR(SEARCH("Pesquisa de Preços",D5783)))</formula>
    </cfRule>
  </conditionalFormatting>
  <conditionalFormatting sqref="D5595">
    <cfRule type="containsText" dxfId="551" priority="1253" operator="containsText" text="Pesquisa de Preços">
      <formula>NOT(ISERROR(SEARCH("Pesquisa de Preços",D5595)))</formula>
    </cfRule>
  </conditionalFormatting>
  <conditionalFormatting sqref="D5603">
    <cfRule type="containsText" dxfId="550" priority="1251" operator="containsText" text="Pesquisa de Preços">
      <formula>NOT(ISERROR(SEARCH("Pesquisa de Preços",D5603)))</formula>
    </cfRule>
  </conditionalFormatting>
  <conditionalFormatting sqref="D5683">
    <cfRule type="containsText" dxfId="549" priority="1231" operator="containsText" text="Pesquisa de Preços">
      <formula>NOT(ISERROR(SEARCH("Pesquisa de Preços",D5683)))</formula>
    </cfRule>
  </conditionalFormatting>
  <conditionalFormatting sqref="D5703">
    <cfRule type="containsText" dxfId="548" priority="1226" operator="containsText" text="Pesquisa de Preços">
      <formula>NOT(ISERROR(SEARCH("Pesquisa de Preços",D5703)))</formula>
    </cfRule>
  </conditionalFormatting>
  <conditionalFormatting sqref="D5767">
    <cfRule type="containsText" dxfId="547" priority="1221" operator="containsText" text="Pesquisa de Preços">
      <formula>NOT(ISERROR(SEARCH("Pesquisa de Preços",D5767)))</formula>
    </cfRule>
  </conditionalFormatting>
  <conditionalFormatting sqref="D5795">
    <cfRule type="containsText" dxfId="546" priority="1216" operator="containsText" text="Pesquisa de Preços">
      <formula>NOT(ISERROR(SEARCH("Pesquisa de Preços",D5795)))</formula>
    </cfRule>
  </conditionalFormatting>
  <conditionalFormatting sqref="D5671">
    <cfRule type="containsText" dxfId="545" priority="1234" operator="containsText" text="Pesquisa de Preços">
      <formula>NOT(ISERROR(SEARCH("Pesquisa de Preços",D5671)))</formula>
    </cfRule>
  </conditionalFormatting>
  <conditionalFormatting sqref="D5679">
    <cfRule type="containsText" dxfId="544" priority="1232" operator="containsText" text="Pesquisa de Preços">
      <formula>NOT(ISERROR(SEARCH("Pesquisa de Preços",D5679)))</formula>
    </cfRule>
  </conditionalFormatting>
  <conditionalFormatting sqref="D5771">
    <cfRule type="containsText" dxfId="543" priority="1220" operator="containsText" text="Pesquisa de Preços">
      <formula>NOT(ISERROR(SEARCH("Pesquisa de Preços",D5771)))</formula>
    </cfRule>
  </conditionalFormatting>
  <conditionalFormatting sqref="D5615">
    <cfRule type="containsText" dxfId="542" priority="1248" operator="containsText" text="Pesquisa de Preços">
      <formula>NOT(ISERROR(SEARCH("Pesquisa de Preços",D5615)))</formula>
    </cfRule>
  </conditionalFormatting>
  <conditionalFormatting sqref="D5831">
    <cfRule type="containsText" dxfId="541" priority="1210" operator="containsText" text="Pesquisa de Preços">
      <formula>NOT(ISERROR(SEARCH("Pesquisa de Preços",D5831)))</formula>
    </cfRule>
  </conditionalFormatting>
  <conditionalFormatting sqref="D5707">
    <cfRule type="containsText" dxfId="540" priority="1225" operator="containsText" text="Pesquisa de Preços">
      <formula>NOT(ISERROR(SEARCH("Pesquisa de Preços",D5707)))</formula>
    </cfRule>
  </conditionalFormatting>
  <conditionalFormatting sqref="D5651">
    <cfRule type="containsText" dxfId="539" priority="1239" operator="containsText" text="Pesquisa de Preços">
      <formula>NOT(ISERROR(SEARCH("Pesquisa de Preços",D5651)))</formula>
    </cfRule>
  </conditionalFormatting>
  <conditionalFormatting sqref="D5815">
    <cfRule type="containsText" dxfId="538" priority="1213" operator="containsText" text="Pesquisa de Preços">
      <formula>NOT(ISERROR(SEARCH("Pesquisa de Preços",D5815)))</formula>
    </cfRule>
  </conditionalFormatting>
  <conditionalFormatting sqref="D5827">
    <cfRule type="containsText" dxfId="537" priority="1211" operator="containsText" text="Pesquisa de Preços">
      <formula>NOT(ISERROR(SEARCH("Pesquisa de Preços",D5827)))</formula>
    </cfRule>
  </conditionalFormatting>
  <conditionalFormatting sqref="D5803">
    <cfRule type="containsText" dxfId="536" priority="1215" operator="containsText" text="Pesquisa de Preços">
      <formula>NOT(ISERROR(SEARCH("Pesquisa de Preços",D5803)))</formula>
    </cfRule>
  </conditionalFormatting>
  <conditionalFormatting sqref="D5835">
    <cfRule type="containsText" dxfId="535" priority="1206" operator="containsText" text="Pesquisa de Preços">
      <formula>NOT(ISERROR(SEARCH("Pesquisa de Preços",D5835)))</formula>
    </cfRule>
  </conditionalFormatting>
  <conditionalFormatting sqref="D5871">
    <cfRule type="containsText" dxfId="534" priority="1166" operator="containsText" text="Pesquisa de Preços">
      <formula>NOT(ISERROR(SEARCH("Pesquisa de Preços",D5871)))</formula>
    </cfRule>
  </conditionalFormatting>
  <conditionalFormatting sqref="D5843">
    <cfRule type="containsText" dxfId="533" priority="1198" operator="containsText" text="Pesquisa de Preços">
      <formula>NOT(ISERROR(SEARCH("Pesquisa de Preços",D5843)))</formula>
    </cfRule>
  </conditionalFormatting>
  <conditionalFormatting sqref="D5855">
    <cfRule type="containsText" dxfId="532" priority="1186" operator="containsText" text="Pesquisa de Preços">
      <formula>NOT(ISERROR(SEARCH("Pesquisa de Preços",D5855)))</formula>
    </cfRule>
  </conditionalFormatting>
  <conditionalFormatting sqref="D5839">
    <cfRule type="containsText" dxfId="531" priority="1202" operator="containsText" text="Pesquisa de Preços">
      <formula>NOT(ISERROR(SEARCH("Pesquisa de Preços",D5839)))</formula>
    </cfRule>
  </conditionalFormatting>
  <conditionalFormatting sqref="D5863">
    <cfRule type="containsText" dxfId="530" priority="1178" operator="containsText" text="Pesquisa de Preços">
      <formula>NOT(ISERROR(SEARCH("Pesquisa de Preços",D5863)))</formula>
    </cfRule>
  </conditionalFormatting>
  <conditionalFormatting sqref="D5847">
    <cfRule type="containsText" dxfId="529" priority="1194" operator="containsText" text="Pesquisa de Preços">
      <formula>NOT(ISERROR(SEARCH("Pesquisa de Preços",D5847)))</formula>
    </cfRule>
  </conditionalFormatting>
  <conditionalFormatting sqref="D5851">
    <cfRule type="containsText" dxfId="528" priority="1190" operator="containsText" text="Pesquisa de Preços">
      <formula>NOT(ISERROR(SEARCH("Pesquisa de Preços",D5851)))</formula>
    </cfRule>
  </conditionalFormatting>
  <conditionalFormatting sqref="D5859">
    <cfRule type="containsText" dxfId="527" priority="1182" operator="containsText" text="Pesquisa de Preços">
      <formula>NOT(ISERROR(SEARCH("Pesquisa de Preços",D5859)))</formula>
    </cfRule>
  </conditionalFormatting>
  <conditionalFormatting sqref="D5867">
    <cfRule type="containsText" dxfId="526" priority="1174" operator="containsText" text="Pesquisa de Preços">
      <formula>NOT(ISERROR(SEARCH("Pesquisa de Preços",D5867)))</formula>
    </cfRule>
  </conditionalFormatting>
  <conditionalFormatting sqref="D5891">
    <cfRule type="containsText" dxfId="525" priority="1138" operator="containsText" text="Pesquisa de Preços">
      <formula>NOT(ISERROR(SEARCH("Pesquisa de Preços",D5891)))</formula>
    </cfRule>
  </conditionalFormatting>
  <conditionalFormatting sqref="D5895">
    <cfRule type="containsText" dxfId="524" priority="1134" operator="containsText" text="Pesquisa de Preços">
      <formula>NOT(ISERROR(SEARCH("Pesquisa de Preços",D5895)))</formula>
    </cfRule>
  </conditionalFormatting>
  <conditionalFormatting sqref="D5379">
    <cfRule type="containsText" dxfId="523" priority="961" operator="containsText" text="Pesquisa de Preços">
      <formula>NOT(ISERROR(SEARCH("Pesquisa de Preços",D5379)))</formula>
    </cfRule>
  </conditionalFormatting>
  <conditionalFormatting sqref="D5373">
    <cfRule type="containsText" dxfId="522" priority="962" operator="containsText" text="Pesquisa de Preços">
      <formula>NOT(ISERROR(SEARCH("Pesquisa de Preços",D5373)))</formula>
    </cfRule>
  </conditionalFormatting>
  <conditionalFormatting sqref="D2723">
    <cfRule type="containsText" dxfId="521" priority="1108" operator="containsText" text="Pesquisa de Preços">
      <formula>NOT(ISERROR(SEARCH("Pesquisa de Preços",D2723)))</formula>
    </cfRule>
  </conditionalFormatting>
  <conditionalFormatting sqref="D2715">
    <cfRule type="containsText" dxfId="520" priority="1098" operator="containsText" text="Pesquisa de Preços">
      <formula>NOT(ISERROR(SEARCH("Pesquisa de Preços",D2715)))</formula>
    </cfRule>
  </conditionalFormatting>
  <conditionalFormatting sqref="D5959">
    <cfRule type="containsText" dxfId="519" priority="1103" operator="containsText" text="Pesquisa de Preços">
      <formula>NOT(ISERROR(SEARCH("Pesquisa de Preços",D5959)))</formula>
    </cfRule>
  </conditionalFormatting>
  <conditionalFormatting sqref="D5327">
    <cfRule type="containsText" dxfId="518" priority="1091" operator="containsText" text="Pesquisa de Preços">
      <formula>NOT(ISERROR(SEARCH("Pesquisa de Preços",D5327)))</formula>
    </cfRule>
  </conditionalFormatting>
  <conditionalFormatting sqref="D2717">
    <cfRule type="containsText" dxfId="517" priority="1097" operator="containsText" text="Pesquisa de Preços">
      <formula>NOT(ISERROR(SEARCH("Pesquisa de Preços",D2717)))</formula>
    </cfRule>
  </conditionalFormatting>
  <conditionalFormatting sqref="D5477">
    <cfRule type="containsText" dxfId="516" priority="943" operator="containsText" text="Pesquisa de Preços">
      <formula>NOT(ISERROR(SEARCH("Pesquisa de Preços",D5477)))</formula>
    </cfRule>
  </conditionalFormatting>
  <conditionalFormatting sqref="D5501">
    <cfRule type="containsText" dxfId="515" priority="937" operator="containsText" text="Pesquisa de Preços">
      <formula>NOT(ISERROR(SEARCH("Pesquisa de Preços",D5501)))</formula>
    </cfRule>
  </conditionalFormatting>
  <conditionalFormatting sqref="D5339">
    <cfRule type="containsText" dxfId="514" priority="1083" operator="containsText" text="Pesquisa de Preços">
      <formula>NOT(ISERROR(SEARCH("Pesquisa de Preços",D5339)))</formula>
    </cfRule>
  </conditionalFormatting>
  <conditionalFormatting sqref="D5493">
    <cfRule type="containsText" dxfId="513" priority="939" operator="containsText" text="Pesquisa de Preços">
      <formula>NOT(ISERROR(SEARCH("Pesquisa de Preços",D5493)))</formula>
    </cfRule>
  </conditionalFormatting>
  <conditionalFormatting sqref="D5345 D5351 D5357 D5363 D5387 D5393">
    <cfRule type="containsText" dxfId="512" priority="1075" operator="containsText" text="Pesquisa de Preços">
      <formula>NOT(ISERROR(SEARCH("Pesquisa de Preços",D5345)))</formula>
    </cfRule>
  </conditionalFormatting>
  <conditionalFormatting sqref="D5505">
    <cfRule type="containsText" dxfId="511" priority="936" operator="containsText" text="Pesquisa de Preços">
      <formula>NOT(ISERROR(SEARCH("Pesquisa de Preços",D5505)))</formula>
    </cfRule>
  </conditionalFormatting>
  <conditionalFormatting sqref="D5423">
    <cfRule type="containsText" dxfId="510" priority="1067" operator="containsText" text="Pesquisa de Preços">
      <formula>NOT(ISERROR(SEARCH("Pesquisa de Preços",D5423)))</formula>
    </cfRule>
  </conditionalFormatting>
  <conditionalFormatting sqref="D5533">
    <cfRule type="containsText" dxfId="509" priority="929" operator="containsText" text="Pesquisa de Preços">
      <formula>NOT(ISERROR(SEARCH("Pesquisa de Preços",D5533)))</formula>
    </cfRule>
  </conditionalFormatting>
  <conditionalFormatting sqref="D5429">
    <cfRule type="containsText" dxfId="508" priority="1059" operator="containsText" text="Pesquisa de Preços">
      <formula>NOT(ISERROR(SEARCH("Pesquisa de Preços",D5429)))</formula>
    </cfRule>
  </conditionalFormatting>
  <conditionalFormatting sqref="D5561">
    <cfRule type="containsText" dxfId="507" priority="922" operator="containsText" text="Pesquisa de Preços">
      <formula>NOT(ISERROR(SEARCH("Pesquisa de Preços",D5561)))</formula>
    </cfRule>
  </conditionalFormatting>
  <conditionalFormatting sqref="D5435">
    <cfRule type="containsText" dxfId="506" priority="1051" operator="containsText" text="Pesquisa de Preços">
      <formula>NOT(ISERROR(SEARCH("Pesquisa de Preços",D5435)))</formula>
    </cfRule>
  </conditionalFormatting>
  <conditionalFormatting sqref="D5625">
    <cfRule type="containsText" dxfId="505" priority="906" operator="containsText" text="Pesquisa de Preços">
      <formula>NOT(ISERROR(SEARCH("Pesquisa de Preços",D5625)))</formula>
    </cfRule>
  </conditionalFormatting>
  <conditionalFormatting sqref="D5441">
    <cfRule type="containsText" dxfId="504" priority="1043" operator="containsText" text="Pesquisa de Preços">
      <formula>NOT(ISERROR(SEARCH("Pesquisa de Preços",D5441)))</formula>
    </cfRule>
  </conditionalFormatting>
  <conditionalFormatting sqref="D5697">
    <cfRule type="containsText" dxfId="503" priority="888" operator="containsText" text="Pesquisa de Preços">
      <formula>NOT(ISERROR(SEARCH("Pesquisa de Preços",D5697)))</formula>
    </cfRule>
  </conditionalFormatting>
  <conditionalFormatting sqref="D5333">
    <cfRule type="containsText" dxfId="502" priority="1035" operator="containsText" text="Pesquisa de Preços">
      <formula>NOT(ISERROR(SEARCH("Pesquisa de Preços",D5333)))</formula>
    </cfRule>
  </conditionalFormatting>
  <conditionalFormatting sqref="D5701">
    <cfRule type="containsText" dxfId="501" priority="887" operator="containsText" text="Pesquisa de Preços">
      <formula>NOT(ISERROR(SEARCH("Pesquisa de Preços",D5701)))</formula>
    </cfRule>
  </conditionalFormatting>
  <conditionalFormatting sqref="D5369">
    <cfRule type="containsText" dxfId="500" priority="1027" operator="containsText" text="Pesquisa de Preços">
      <formula>NOT(ISERROR(SEARCH("Pesquisa de Preços",D5369)))</formula>
    </cfRule>
  </conditionalFormatting>
  <conditionalFormatting sqref="D5729">
    <cfRule type="containsText" dxfId="499" priority="880" operator="containsText" text="Pesquisa de Preços">
      <formula>NOT(ISERROR(SEARCH("Pesquisa de Preços",D5729)))</formula>
    </cfRule>
  </conditionalFormatting>
  <conditionalFormatting sqref="D5375">
    <cfRule type="containsText" dxfId="498" priority="1019" operator="containsText" text="Pesquisa de Preços">
      <formula>NOT(ISERROR(SEARCH("Pesquisa de Preços",D5375)))</formula>
    </cfRule>
  </conditionalFormatting>
  <conditionalFormatting sqref="D5757">
    <cfRule type="containsText" dxfId="497" priority="873" operator="containsText" text="Pesquisa de Preços">
      <formula>NOT(ISERROR(SEARCH("Pesquisa de Preços",D5757)))</formula>
    </cfRule>
  </conditionalFormatting>
  <conditionalFormatting sqref="D5381">
    <cfRule type="containsText" dxfId="496" priority="1011" operator="containsText" text="Pesquisa de Preços">
      <formula>NOT(ISERROR(SEARCH("Pesquisa de Preços",D5381)))</formula>
    </cfRule>
  </conditionalFormatting>
  <conditionalFormatting sqref="D5777 D5773">
    <cfRule type="containsText" dxfId="495" priority="868" operator="containsText" text="Pesquisa de Preços">
      <formula>NOT(ISERROR(SEARCH("Pesquisa de Preços",D5773)))</formula>
    </cfRule>
  </conditionalFormatting>
  <conditionalFormatting sqref="D5805">
    <cfRule type="containsText" dxfId="494" priority="861" operator="containsText" text="Pesquisa de Preços">
      <formula>NOT(ISERROR(SEARCH("Pesquisa de Preços",D5805)))</formula>
    </cfRule>
  </conditionalFormatting>
  <conditionalFormatting sqref="D5405">
    <cfRule type="containsText" dxfId="493" priority="995" operator="containsText" text="Pesquisa de Preços">
      <formula>NOT(ISERROR(SEARCH("Pesquisa de Preços",D5405)))</formula>
    </cfRule>
  </conditionalFormatting>
  <conditionalFormatting sqref="D5829">
    <cfRule type="containsText" dxfId="492" priority="855" operator="containsText" text="Pesquisa de Preços">
      <formula>NOT(ISERROR(SEARCH("Pesquisa de Preços",D5829)))</formula>
    </cfRule>
  </conditionalFormatting>
  <conditionalFormatting sqref="D5411">
    <cfRule type="containsText" dxfId="491" priority="987" operator="containsText" text="Pesquisa de Preços">
      <formula>NOT(ISERROR(SEARCH("Pesquisa de Preços",D5411)))</formula>
    </cfRule>
  </conditionalFormatting>
  <conditionalFormatting sqref="D5861">
    <cfRule type="containsText" dxfId="490" priority="847" operator="containsText" text="Pesquisa de Preços">
      <formula>NOT(ISERROR(SEARCH("Pesquisa de Preços",D5861)))</formula>
    </cfRule>
  </conditionalFormatting>
  <conditionalFormatting sqref="D5417">
    <cfRule type="containsText" dxfId="489" priority="979" operator="containsText" text="Pesquisa de Preços">
      <formula>NOT(ISERROR(SEARCH("Pesquisa de Preços",D5417)))</formula>
    </cfRule>
  </conditionalFormatting>
  <conditionalFormatting sqref="D5893">
    <cfRule type="containsText" dxfId="488" priority="838" operator="containsText" text="Pesquisa de Preços">
      <formula>NOT(ISERROR(SEARCH("Pesquisa de Preços",D5893)))</formula>
    </cfRule>
  </conditionalFormatting>
  <conditionalFormatting sqref="D5325">
    <cfRule type="containsText" dxfId="487" priority="971" operator="containsText" text="Pesquisa de Preços">
      <formula>NOT(ISERROR(SEARCH("Pesquisa de Preços",D5325)))</formula>
    </cfRule>
  </conditionalFormatting>
  <conditionalFormatting sqref="D5331">
    <cfRule type="containsText" dxfId="486" priority="970" operator="containsText" text="Pesquisa de Preços">
      <formula>NOT(ISERROR(SEARCH("Pesquisa de Preços",D5331)))</formula>
    </cfRule>
  </conditionalFormatting>
  <conditionalFormatting sqref="D5337">
    <cfRule type="containsText" dxfId="485" priority="969" operator="containsText" text="Pesquisa de Preços">
      <formula>NOT(ISERROR(SEARCH("Pesquisa de Preços",D5337)))</formula>
    </cfRule>
  </conditionalFormatting>
  <conditionalFormatting sqref="D5343">
    <cfRule type="containsText" dxfId="484" priority="968" operator="containsText" text="Pesquisa de Preços">
      <formula>NOT(ISERROR(SEARCH("Pesquisa de Preços",D5343)))</formula>
    </cfRule>
  </conditionalFormatting>
  <conditionalFormatting sqref="D5349">
    <cfRule type="containsText" dxfId="483" priority="967" operator="containsText" text="Pesquisa de Preços">
      <formula>NOT(ISERROR(SEARCH("Pesquisa de Preços",D5349)))</formula>
    </cfRule>
  </conditionalFormatting>
  <conditionalFormatting sqref="D5355">
    <cfRule type="containsText" dxfId="482" priority="966" operator="containsText" text="Pesquisa de Preços">
      <formula>NOT(ISERROR(SEARCH("Pesquisa de Preços",D5355)))</formula>
    </cfRule>
  </conditionalFormatting>
  <conditionalFormatting sqref="D5957">
    <cfRule type="containsText" dxfId="481" priority="823" operator="containsText" text="Pesquisa de Preços">
      <formula>NOT(ISERROR(SEARCH("Pesquisa de Preços",D5957)))</formula>
    </cfRule>
  </conditionalFormatting>
  <conditionalFormatting sqref="D5361">
    <cfRule type="containsText" dxfId="480" priority="964" operator="containsText" text="Pesquisa de Preços">
      <formula>NOT(ISERROR(SEARCH("Pesquisa de Preços",D5361)))</formula>
    </cfRule>
  </conditionalFormatting>
  <conditionalFormatting sqref="D5367">
    <cfRule type="containsText" dxfId="479" priority="963" operator="containsText" text="Pesquisa de Preços">
      <formula>NOT(ISERROR(SEARCH("Pesquisa de Preços",D5367)))</formula>
    </cfRule>
  </conditionalFormatting>
  <conditionalFormatting sqref="D5427">
    <cfRule type="containsText" dxfId="478" priority="953" operator="containsText" text="Pesquisa de Preços">
      <formula>NOT(ISERROR(SEARCH("Pesquisa de Preços",D5427)))</formula>
    </cfRule>
  </conditionalFormatting>
  <conditionalFormatting sqref="D5433">
    <cfRule type="containsText" dxfId="477" priority="952" operator="containsText" text="Pesquisa de Preços">
      <formula>NOT(ISERROR(SEARCH("Pesquisa de Preços",D5433)))</formula>
    </cfRule>
  </conditionalFormatting>
  <conditionalFormatting sqref="D5385">
    <cfRule type="containsText" dxfId="476" priority="960" operator="containsText" text="Pesquisa de Preços">
      <formula>NOT(ISERROR(SEARCH("Pesquisa de Preços",D5385)))</formula>
    </cfRule>
  </conditionalFormatting>
  <conditionalFormatting sqref="D5391">
    <cfRule type="containsText" dxfId="475" priority="959" operator="containsText" text="Pesquisa de Preços">
      <formula>NOT(ISERROR(SEARCH("Pesquisa de Preços",D5391)))</formula>
    </cfRule>
  </conditionalFormatting>
  <conditionalFormatting sqref="D5397">
    <cfRule type="containsText" dxfId="474" priority="958" operator="containsText" text="Pesquisa de Preços">
      <formula>NOT(ISERROR(SEARCH("Pesquisa de Preços",D5397)))</formula>
    </cfRule>
  </conditionalFormatting>
  <conditionalFormatting sqref="D5409 D5403">
    <cfRule type="containsText" dxfId="473" priority="956" operator="containsText" text="Pesquisa de Preços">
      <formula>NOT(ISERROR(SEARCH("Pesquisa de Preços",D5403)))</formula>
    </cfRule>
  </conditionalFormatting>
  <conditionalFormatting sqref="D5415">
    <cfRule type="containsText" dxfId="472" priority="955" operator="containsText" text="Pesquisa de Preços">
      <formula>NOT(ISERROR(SEARCH("Pesquisa de Preços",D5415)))</formula>
    </cfRule>
  </conditionalFormatting>
  <conditionalFormatting sqref="D5421">
    <cfRule type="containsText" dxfId="471" priority="954" operator="containsText" text="Pesquisa de Preços">
      <formula>NOT(ISERROR(SEARCH("Pesquisa de Preços",D5421)))</formula>
    </cfRule>
  </conditionalFormatting>
  <conditionalFormatting sqref="D5439">
    <cfRule type="containsText" dxfId="470" priority="951" operator="containsText" text="Pesquisa de Preços">
      <formula>NOT(ISERROR(SEARCH("Pesquisa de Preços",D5439)))</formula>
    </cfRule>
  </conditionalFormatting>
  <conditionalFormatting sqref="D5449">
    <cfRule type="containsText" dxfId="469" priority="950" operator="containsText" text="Pesquisa de Preços">
      <formula>NOT(ISERROR(SEARCH("Pesquisa de Preços",D5449)))</formula>
    </cfRule>
  </conditionalFormatting>
  <conditionalFormatting sqref="D5453">
    <cfRule type="containsText" dxfId="468" priority="949" operator="containsText" text="Pesquisa de Preços">
      <formula>NOT(ISERROR(SEARCH("Pesquisa de Preços",D5453)))</formula>
    </cfRule>
  </conditionalFormatting>
  <conditionalFormatting sqref="D5457">
    <cfRule type="containsText" dxfId="467" priority="948" operator="containsText" text="Pesquisa de Preços">
      <formula>NOT(ISERROR(SEARCH("Pesquisa de Preços",D5457)))</formula>
    </cfRule>
  </conditionalFormatting>
  <conditionalFormatting sqref="D5461">
    <cfRule type="containsText" dxfId="466" priority="947" operator="containsText" text="Pesquisa de Preços">
      <formula>NOT(ISERROR(SEARCH("Pesquisa de Preços",D5461)))</formula>
    </cfRule>
  </conditionalFormatting>
  <conditionalFormatting sqref="D5465">
    <cfRule type="containsText" dxfId="465" priority="946" operator="containsText" text="Pesquisa de Preços">
      <formula>NOT(ISERROR(SEARCH("Pesquisa de Preços",D5465)))</formula>
    </cfRule>
  </conditionalFormatting>
  <conditionalFormatting sqref="D5469">
    <cfRule type="containsText" dxfId="464" priority="945" operator="containsText" text="Pesquisa de Preços">
      <formula>NOT(ISERROR(SEARCH("Pesquisa de Preços",D5469)))</formula>
    </cfRule>
  </conditionalFormatting>
  <conditionalFormatting sqref="D5473">
    <cfRule type="containsText" dxfId="463" priority="944" operator="containsText" text="Pesquisa de Preços">
      <formula>NOT(ISERROR(SEARCH("Pesquisa de Preços",D5473)))</formula>
    </cfRule>
  </conditionalFormatting>
  <conditionalFormatting sqref="D5481">
    <cfRule type="containsText" dxfId="462" priority="942" operator="containsText" text="Pesquisa de Preços">
      <formula>NOT(ISERROR(SEARCH("Pesquisa de Preços",D5481)))</formula>
    </cfRule>
  </conditionalFormatting>
  <conditionalFormatting sqref="D5485">
    <cfRule type="containsText" dxfId="461" priority="941" operator="containsText" text="Pesquisa de Preços">
      <formula>NOT(ISERROR(SEARCH("Pesquisa de Preços",D5485)))</formula>
    </cfRule>
  </conditionalFormatting>
  <conditionalFormatting sqref="D5489">
    <cfRule type="containsText" dxfId="460" priority="940" operator="containsText" text="Pesquisa de Preços">
      <formula>NOT(ISERROR(SEARCH("Pesquisa de Preços",D5489)))</formula>
    </cfRule>
  </conditionalFormatting>
  <conditionalFormatting sqref="D5529">
    <cfRule type="containsText" dxfId="459" priority="930" operator="containsText" text="Pesquisa de Preços">
      <formula>NOT(ISERROR(SEARCH("Pesquisa de Preços",D5529)))</formula>
    </cfRule>
  </conditionalFormatting>
  <conditionalFormatting sqref="D5497">
    <cfRule type="containsText" dxfId="458" priority="938" operator="containsText" text="Pesquisa de Preços">
      <formula>NOT(ISERROR(SEARCH("Pesquisa de Preços",D5497)))</formula>
    </cfRule>
  </conditionalFormatting>
  <conditionalFormatting sqref="D5537">
    <cfRule type="containsText" dxfId="457" priority="928" operator="containsText" text="Pesquisa de Preços">
      <formula>NOT(ISERROR(SEARCH("Pesquisa de Preços",D5537)))</formula>
    </cfRule>
  </conditionalFormatting>
  <conditionalFormatting sqref="D5541">
    <cfRule type="containsText" dxfId="456" priority="927" operator="containsText" text="Pesquisa de Preços">
      <formula>NOT(ISERROR(SEARCH("Pesquisa de Preços",D5541)))</formula>
    </cfRule>
  </conditionalFormatting>
  <conditionalFormatting sqref="D5509">
    <cfRule type="containsText" dxfId="455" priority="935" operator="containsText" text="Pesquisa de Preços">
      <formula>NOT(ISERROR(SEARCH("Pesquisa de Preços",D5509)))</formula>
    </cfRule>
  </conditionalFormatting>
  <conditionalFormatting sqref="D5517 D5513">
    <cfRule type="containsText" dxfId="454" priority="933" operator="containsText" text="Pesquisa de Preços">
      <formula>NOT(ISERROR(SEARCH("Pesquisa de Preços",D5513)))</formula>
    </cfRule>
  </conditionalFormatting>
  <conditionalFormatting sqref="D5521">
    <cfRule type="containsText" dxfId="453" priority="932" operator="containsText" text="Pesquisa de Preços">
      <formula>NOT(ISERROR(SEARCH("Pesquisa de Preços",D5521)))</formula>
    </cfRule>
  </conditionalFormatting>
  <conditionalFormatting sqref="D5525">
    <cfRule type="containsText" dxfId="452" priority="931" operator="containsText" text="Pesquisa de Preços">
      <formula>NOT(ISERROR(SEARCH("Pesquisa de Preços",D5525)))</formula>
    </cfRule>
  </conditionalFormatting>
  <conditionalFormatting sqref="D5569">
    <cfRule type="containsText" dxfId="451" priority="920" operator="containsText" text="Pesquisa de Preços">
      <formula>NOT(ISERROR(SEARCH("Pesquisa de Preços",D5569)))</formula>
    </cfRule>
  </conditionalFormatting>
  <conditionalFormatting sqref="D5545">
    <cfRule type="containsText" dxfId="450" priority="926" operator="containsText" text="Pesquisa de Preços">
      <formula>NOT(ISERROR(SEARCH("Pesquisa de Preços",D5545)))</formula>
    </cfRule>
  </conditionalFormatting>
  <conditionalFormatting sqref="D5549">
    <cfRule type="containsText" dxfId="449" priority="925" operator="containsText" text="Pesquisa de Preços">
      <formula>NOT(ISERROR(SEARCH("Pesquisa de Preços",D5549)))</formula>
    </cfRule>
  </conditionalFormatting>
  <conditionalFormatting sqref="D5553">
    <cfRule type="containsText" dxfId="448" priority="924" operator="containsText" text="Pesquisa de Preços">
      <formula>NOT(ISERROR(SEARCH("Pesquisa de Preços",D5553)))</formula>
    </cfRule>
  </conditionalFormatting>
  <conditionalFormatting sqref="D5557">
    <cfRule type="containsText" dxfId="447" priority="923" operator="containsText" text="Pesquisa de Preços">
      <formula>NOT(ISERROR(SEARCH("Pesquisa de Preços",D5557)))</formula>
    </cfRule>
  </conditionalFormatting>
  <conditionalFormatting sqref="D5597">
    <cfRule type="containsText" dxfId="446" priority="913" operator="containsText" text="Pesquisa de Preços">
      <formula>NOT(ISERROR(SEARCH("Pesquisa de Preços",D5597)))</formula>
    </cfRule>
  </conditionalFormatting>
  <conditionalFormatting sqref="D5565">
    <cfRule type="containsText" dxfId="445" priority="921" operator="containsText" text="Pesquisa de Preços">
      <formula>NOT(ISERROR(SEARCH("Pesquisa de Preços",D5565)))</formula>
    </cfRule>
  </conditionalFormatting>
  <conditionalFormatting sqref="D5573">
    <cfRule type="containsText" dxfId="444" priority="919" operator="containsText" text="Pesquisa de Preços">
      <formula>NOT(ISERROR(SEARCH("Pesquisa de Preços",D5573)))</formula>
    </cfRule>
  </conditionalFormatting>
  <conditionalFormatting sqref="D5577">
    <cfRule type="containsText" dxfId="443" priority="918" operator="containsText" text="Pesquisa de Preços">
      <formula>NOT(ISERROR(SEARCH("Pesquisa de Preços",D5577)))</formula>
    </cfRule>
  </conditionalFormatting>
  <conditionalFormatting sqref="D5581">
    <cfRule type="containsText" dxfId="442" priority="917" operator="containsText" text="Pesquisa de Preços">
      <formula>NOT(ISERROR(SEARCH("Pesquisa de Preços",D5581)))</formula>
    </cfRule>
  </conditionalFormatting>
  <conditionalFormatting sqref="D5585">
    <cfRule type="containsText" dxfId="441" priority="916" operator="containsText" text="Pesquisa de Preços">
      <formula>NOT(ISERROR(SEARCH("Pesquisa de Preços",D5585)))</formula>
    </cfRule>
  </conditionalFormatting>
  <conditionalFormatting sqref="D5593 D5589">
    <cfRule type="containsText" dxfId="440" priority="914" operator="containsText" text="Pesquisa de Preços">
      <formula>NOT(ISERROR(SEARCH("Pesquisa de Preços",D5589)))</formula>
    </cfRule>
  </conditionalFormatting>
  <conditionalFormatting sqref="D5601">
    <cfRule type="containsText" dxfId="439" priority="912" operator="containsText" text="Pesquisa de Preços">
      <formula>NOT(ISERROR(SEARCH("Pesquisa de Preços",D5601)))</formula>
    </cfRule>
  </conditionalFormatting>
  <conditionalFormatting sqref="D5605">
    <cfRule type="containsText" dxfId="438" priority="911" operator="containsText" text="Pesquisa de Preços">
      <formula>NOT(ISERROR(SEARCH("Pesquisa de Preços",D5605)))</formula>
    </cfRule>
  </conditionalFormatting>
  <conditionalFormatting sqref="D5609">
    <cfRule type="containsText" dxfId="437" priority="910" operator="containsText" text="Pesquisa de Preços">
      <formula>NOT(ISERROR(SEARCH("Pesquisa de Preços",D5609)))</formula>
    </cfRule>
  </conditionalFormatting>
  <conditionalFormatting sqref="D5613">
    <cfRule type="containsText" dxfId="436" priority="909" operator="containsText" text="Pesquisa de Preços">
      <formula>NOT(ISERROR(SEARCH("Pesquisa de Preços",D5613)))</formula>
    </cfRule>
  </conditionalFormatting>
  <conditionalFormatting sqref="D5617">
    <cfRule type="containsText" dxfId="435" priority="908" operator="containsText" text="Pesquisa de Preços">
      <formula>NOT(ISERROR(SEARCH("Pesquisa de Preços",D5617)))</formula>
    </cfRule>
  </conditionalFormatting>
  <conditionalFormatting sqref="D5621">
    <cfRule type="containsText" dxfId="434" priority="907" operator="containsText" text="Pesquisa de Preços">
      <formula>NOT(ISERROR(SEARCH("Pesquisa de Preços",D5621)))</formula>
    </cfRule>
  </conditionalFormatting>
  <conditionalFormatting sqref="D5629">
    <cfRule type="containsText" dxfId="433" priority="905" operator="containsText" text="Pesquisa de Preços">
      <formula>NOT(ISERROR(SEARCH("Pesquisa de Preços",D5629)))</formula>
    </cfRule>
  </conditionalFormatting>
  <conditionalFormatting sqref="D5633">
    <cfRule type="containsText" dxfId="432" priority="904" operator="containsText" text="Pesquisa de Preços">
      <formula>NOT(ISERROR(SEARCH("Pesquisa de Preços",D5633)))</formula>
    </cfRule>
  </conditionalFormatting>
  <conditionalFormatting sqref="D5637">
    <cfRule type="containsText" dxfId="431" priority="903" operator="containsText" text="Pesquisa de Preços">
      <formula>NOT(ISERROR(SEARCH("Pesquisa de Preços",D5637)))</formula>
    </cfRule>
  </conditionalFormatting>
  <conditionalFormatting sqref="D5641">
    <cfRule type="containsText" dxfId="430" priority="902" operator="containsText" text="Pesquisa de Preços">
      <formula>NOT(ISERROR(SEARCH("Pesquisa de Preços",D5641)))</formula>
    </cfRule>
  </conditionalFormatting>
  <conditionalFormatting sqref="D5645">
    <cfRule type="containsText" dxfId="429" priority="901" operator="containsText" text="Pesquisa de Preços">
      <formula>NOT(ISERROR(SEARCH("Pesquisa de Preços",D5645)))</formula>
    </cfRule>
  </conditionalFormatting>
  <conditionalFormatting sqref="D5649">
    <cfRule type="containsText" dxfId="428" priority="900" operator="containsText" text="Pesquisa de Preços">
      <formula>NOT(ISERROR(SEARCH("Pesquisa de Preços",D5649)))</formula>
    </cfRule>
  </conditionalFormatting>
  <conditionalFormatting sqref="D5653">
    <cfRule type="containsText" dxfId="427" priority="899" operator="containsText" text="Pesquisa de Preços">
      <formula>NOT(ISERROR(SEARCH("Pesquisa de Preços",D5653)))</formula>
    </cfRule>
  </conditionalFormatting>
  <conditionalFormatting sqref="D5657">
    <cfRule type="containsText" dxfId="426" priority="898" operator="containsText" text="Pesquisa de Preços">
      <formula>NOT(ISERROR(SEARCH("Pesquisa de Preços",D5657)))</formula>
    </cfRule>
  </conditionalFormatting>
  <conditionalFormatting sqref="D5661">
    <cfRule type="containsText" dxfId="425" priority="897" operator="containsText" text="Pesquisa de Preços">
      <formula>NOT(ISERROR(SEARCH("Pesquisa de Preços",D5661)))</formula>
    </cfRule>
  </conditionalFormatting>
  <conditionalFormatting sqref="D5665">
    <cfRule type="containsText" dxfId="424" priority="896" operator="containsText" text="Pesquisa de Preços">
      <formula>NOT(ISERROR(SEARCH("Pesquisa de Preços",D5665)))</formula>
    </cfRule>
  </conditionalFormatting>
  <conditionalFormatting sqref="D5669">
    <cfRule type="containsText" dxfId="423" priority="895" operator="containsText" text="Pesquisa de Preços">
      <formula>NOT(ISERROR(SEARCH("Pesquisa de Preços",D5669)))</formula>
    </cfRule>
  </conditionalFormatting>
  <conditionalFormatting sqref="D5673">
    <cfRule type="containsText" dxfId="422" priority="894" operator="containsText" text="Pesquisa de Preços">
      <formula>NOT(ISERROR(SEARCH("Pesquisa de Preços",D5673)))</formula>
    </cfRule>
  </conditionalFormatting>
  <conditionalFormatting sqref="D5677">
    <cfRule type="containsText" dxfId="421" priority="893" operator="containsText" text="Pesquisa de Preços">
      <formula>NOT(ISERROR(SEARCH("Pesquisa de Preços",D5677)))</formula>
    </cfRule>
  </conditionalFormatting>
  <conditionalFormatting sqref="D5681">
    <cfRule type="containsText" dxfId="420" priority="892" operator="containsText" text="Pesquisa de Preços">
      <formula>NOT(ISERROR(SEARCH("Pesquisa de Preços",D5681)))</formula>
    </cfRule>
  </conditionalFormatting>
  <conditionalFormatting sqref="D5685">
    <cfRule type="containsText" dxfId="419" priority="891" operator="containsText" text="Pesquisa de Preços">
      <formula>NOT(ISERROR(SEARCH("Pesquisa de Preços",D5685)))</formula>
    </cfRule>
  </conditionalFormatting>
  <conditionalFormatting sqref="D5689">
    <cfRule type="containsText" dxfId="418" priority="890" operator="containsText" text="Pesquisa de Preços">
      <formula>NOT(ISERROR(SEARCH("Pesquisa de Preços",D5689)))</formula>
    </cfRule>
  </conditionalFormatting>
  <conditionalFormatting sqref="D5693">
    <cfRule type="containsText" dxfId="417" priority="889" operator="containsText" text="Pesquisa de Preços">
      <formula>NOT(ISERROR(SEARCH("Pesquisa de Preços",D5693)))</formula>
    </cfRule>
  </conditionalFormatting>
  <conditionalFormatting sqref="D5733">
    <cfRule type="containsText" dxfId="416" priority="879" operator="containsText" text="Pesquisa de Preços">
      <formula>NOT(ISERROR(SEARCH("Pesquisa de Preços",D5733)))</formula>
    </cfRule>
  </conditionalFormatting>
  <conditionalFormatting sqref="D5737">
    <cfRule type="containsText" dxfId="415" priority="878" operator="containsText" text="Pesquisa de Preços">
      <formula>NOT(ISERROR(SEARCH("Pesquisa de Preços",D5737)))</formula>
    </cfRule>
  </conditionalFormatting>
  <conditionalFormatting sqref="D5705">
    <cfRule type="containsText" dxfId="414" priority="886" operator="containsText" text="Pesquisa de Preços">
      <formula>NOT(ISERROR(SEARCH("Pesquisa de Preços",D5705)))</formula>
    </cfRule>
  </conditionalFormatting>
  <conditionalFormatting sqref="D5709">
    <cfRule type="containsText" dxfId="413" priority="885" operator="containsText" text="Pesquisa de Preços">
      <formula>NOT(ISERROR(SEARCH("Pesquisa de Preços",D5709)))</formula>
    </cfRule>
  </conditionalFormatting>
  <conditionalFormatting sqref="D5713">
    <cfRule type="containsText" dxfId="412" priority="884" operator="containsText" text="Pesquisa de Preços">
      <formula>NOT(ISERROR(SEARCH("Pesquisa de Preços",D5713)))</formula>
    </cfRule>
  </conditionalFormatting>
  <conditionalFormatting sqref="D5717">
    <cfRule type="containsText" dxfId="411" priority="883" operator="containsText" text="Pesquisa de Preços">
      <formula>NOT(ISERROR(SEARCH("Pesquisa de Preços",D5717)))</formula>
    </cfRule>
  </conditionalFormatting>
  <conditionalFormatting sqref="D5721">
    <cfRule type="containsText" dxfId="410" priority="882" operator="containsText" text="Pesquisa de Preços">
      <formula>NOT(ISERROR(SEARCH("Pesquisa de Preços",D5721)))</formula>
    </cfRule>
  </conditionalFormatting>
  <conditionalFormatting sqref="D5725">
    <cfRule type="containsText" dxfId="409" priority="881" operator="containsText" text="Pesquisa de Preços">
      <formula>NOT(ISERROR(SEARCH("Pesquisa de Preços",D5725)))</formula>
    </cfRule>
  </conditionalFormatting>
  <conditionalFormatting sqref="D5765">
    <cfRule type="containsText" dxfId="408" priority="871" operator="containsText" text="Pesquisa de Preços">
      <formula>NOT(ISERROR(SEARCH("Pesquisa de Preços",D5765)))</formula>
    </cfRule>
  </conditionalFormatting>
  <conditionalFormatting sqref="D5741">
    <cfRule type="containsText" dxfId="407" priority="877" operator="containsText" text="Pesquisa de Preços">
      <formula>NOT(ISERROR(SEARCH("Pesquisa de Preços",D5741)))</formula>
    </cfRule>
  </conditionalFormatting>
  <conditionalFormatting sqref="D5745">
    <cfRule type="containsText" dxfId="406" priority="876" operator="containsText" text="Pesquisa de Preços">
      <formula>NOT(ISERROR(SEARCH("Pesquisa de Preços",D5745)))</formula>
    </cfRule>
  </conditionalFormatting>
  <conditionalFormatting sqref="D5749">
    <cfRule type="containsText" dxfId="405" priority="875" operator="containsText" text="Pesquisa de Preços">
      <formula>NOT(ISERROR(SEARCH("Pesquisa de Preços",D5749)))</formula>
    </cfRule>
  </conditionalFormatting>
  <conditionalFormatting sqref="D5753">
    <cfRule type="containsText" dxfId="404" priority="874" operator="containsText" text="Pesquisa de Preços">
      <formula>NOT(ISERROR(SEARCH("Pesquisa de Preços",D5753)))</formula>
    </cfRule>
  </conditionalFormatting>
  <conditionalFormatting sqref="D5793 D5789 D5785">
    <cfRule type="containsText" dxfId="403" priority="864" operator="containsText" text="Pesquisa de Preços">
      <formula>NOT(ISERROR(SEARCH("Pesquisa de Preços",D5785)))</formula>
    </cfRule>
  </conditionalFormatting>
  <conditionalFormatting sqref="D5761">
    <cfRule type="containsText" dxfId="402" priority="872" operator="containsText" text="Pesquisa de Preços">
      <formula>NOT(ISERROR(SEARCH("Pesquisa de Preços",D5761)))</formula>
    </cfRule>
  </conditionalFormatting>
  <conditionalFormatting sqref="D5769">
    <cfRule type="containsText" dxfId="401" priority="870" operator="containsText" text="Pesquisa de Preços">
      <formula>NOT(ISERROR(SEARCH("Pesquisa de Preços",D5769)))</formula>
    </cfRule>
  </conditionalFormatting>
  <conditionalFormatting sqref="D5781">
    <cfRule type="containsText" dxfId="400" priority="867" operator="containsText" text="Pesquisa de Preços">
      <formula>NOT(ISERROR(SEARCH("Pesquisa de Preços",D5781)))</formula>
    </cfRule>
  </conditionalFormatting>
  <conditionalFormatting sqref="D5953">
    <cfRule type="containsText" dxfId="399" priority="824" operator="containsText" text="Pesquisa de Preços">
      <formula>NOT(ISERROR(SEARCH("Pesquisa de Preços",D5953)))</formula>
    </cfRule>
  </conditionalFormatting>
  <conditionalFormatting sqref="D5797">
    <cfRule type="containsText" dxfId="398" priority="863" operator="containsText" text="Pesquisa de Preços">
      <formula>NOT(ISERROR(SEARCH("Pesquisa de Preços",D5797)))</formula>
    </cfRule>
  </conditionalFormatting>
  <conditionalFormatting sqref="D5801">
    <cfRule type="containsText" dxfId="397" priority="862" operator="containsText" text="Pesquisa de Preços">
      <formula>NOT(ISERROR(SEARCH("Pesquisa de Preços",D5801)))</formula>
    </cfRule>
  </conditionalFormatting>
  <conditionalFormatting sqref="D5841">
    <cfRule type="containsText" dxfId="396" priority="852" operator="containsText" text="Pesquisa de Preços">
      <formula>NOT(ISERROR(SEARCH("Pesquisa de Preços",D5841)))</formula>
    </cfRule>
  </conditionalFormatting>
  <conditionalFormatting sqref="D5809">
    <cfRule type="containsText" dxfId="395" priority="860" operator="containsText" text="Pesquisa de Preços">
      <formula>NOT(ISERROR(SEARCH("Pesquisa de Preços",D5809)))</formula>
    </cfRule>
  </conditionalFormatting>
  <conditionalFormatting sqref="D5817 D5813">
    <cfRule type="containsText" dxfId="394" priority="858" operator="containsText" text="Pesquisa de Preços">
      <formula>NOT(ISERROR(SEARCH("Pesquisa de Preços",D5813)))</formula>
    </cfRule>
  </conditionalFormatting>
  <conditionalFormatting sqref="D5821">
    <cfRule type="containsText" dxfId="393" priority="857" operator="containsText" text="Pesquisa de Preços">
      <formula>NOT(ISERROR(SEARCH("Pesquisa de Preços",D5821)))</formula>
    </cfRule>
  </conditionalFormatting>
  <conditionalFormatting sqref="D5825">
    <cfRule type="containsText" dxfId="392" priority="856" operator="containsText" text="Pesquisa de Preços">
      <formula>NOT(ISERROR(SEARCH("Pesquisa de Preços",D5825)))</formula>
    </cfRule>
  </conditionalFormatting>
  <conditionalFormatting sqref="D5865">
    <cfRule type="containsText" dxfId="391" priority="846" operator="containsText" text="Pesquisa de Preços">
      <formula>NOT(ISERROR(SEARCH("Pesquisa de Preços",D5865)))</formula>
    </cfRule>
  </conditionalFormatting>
  <conditionalFormatting sqref="D5833">
    <cfRule type="containsText" dxfId="390" priority="854" operator="containsText" text="Pesquisa de Preços">
      <formula>NOT(ISERROR(SEARCH("Pesquisa de Preços",D5833)))</formula>
    </cfRule>
  </conditionalFormatting>
  <conditionalFormatting sqref="D5837">
    <cfRule type="containsText" dxfId="389" priority="853" operator="containsText" text="Pesquisa de Preços">
      <formula>NOT(ISERROR(SEARCH("Pesquisa de Preços",D5837)))</formula>
    </cfRule>
  </conditionalFormatting>
  <conditionalFormatting sqref="D5845">
    <cfRule type="containsText" dxfId="388" priority="851" operator="containsText" text="Pesquisa de Preços">
      <formula>NOT(ISERROR(SEARCH("Pesquisa de Preços",D5845)))</formula>
    </cfRule>
  </conditionalFormatting>
  <conditionalFormatting sqref="D5849">
    <cfRule type="containsText" dxfId="387" priority="850" operator="containsText" text="Pesquisa de Preços">
      <formula>NOT(ISERROR(SEARCH("Pesquisa de Preços",D5849)))</formula>
    </cfRule>
  </conditionalFormatting>
  <conditionalFormatting sqref="D5853">
    <cfRule type="containsText" dxfId="386" priority="849" operator="containsText" text="Pesquisa de Preços">
      <formula>NOT(ISERROR(SEARCH("Pesquisa de Preços",D5853)))</formula>
    </cfRule>
  </conditionalFormatting>
  <conditionalFormatting sqref="D5857">
    <cfRule type="containsText" dxfId="385" priority="848" operator="containsText" text="Pesquisa de Preços">
      <formula>NOT(ISERROR(SEARCH("Pesquisa de Preços",D5857)))</formula>
    </cfRule>
  </conditionalFormatting>
  <conditionalFormatting sqref="D5869">
    <cfRule type="containsText" dxfId="384" priority="844" operator="containsText" text="Pesquisa de Preços">
      <formula>NOT(ISERROR(SEARCH("Pesquisa de Preços",D5869)))</formula>
    </cfRule>
  </conditionalFormatting>
  <conditionalFormatting sqref="D5873">
    <cfRule type="containsText" dxfId="383" priority="843" operator="containsText" text="Pesquisa de Preços">
      <formula>NOT(ISERROR(SEARCH("Pesquisa de Preços",D5873)))</formula>
    </cfRule>
  </conditionalFormatting>
  <conditionalFormatting sqref="D5877">
    <cfRule type="containsText" dxfId="382" priority="842" operator="containsText" text="Pesquisa de Preços">
      <formula>NOT(ISERROR(SEARCH("Pesquisa de Preços",D5877)))</formula>
    </cfRule>
  </conditionalFormatting>
  <conditionalFormatting sqref="D5881">
    <cfRule type="containsText" dxfId="381" priority="841" operator="containsText" text="Pesquisa de Preços">
      <formula>NOT(ISERROR(SEARCH("Pesquisa de Preços",D5881)))</formula>
    </cfRule>
  </conditionalFormatting>
  <conditionalFormatting sqref="D5885">
    <cfRule type="containsText" dxfId="380" priority="840" operator="containsText" text="Pesquisa de Preços">
      <formula>NOT(ISERROR(SEARCH("Pesquisa de Preços",D5885)))</formula>
    </cfRule>
  </conditionalFormatting>
  <conditionalFormatting sqref="D5889">
    <cfRule type="containsText" dxfId="379" priority="839" operator="containsText" text="Pesquisa de Preços">
      <formula>NOT(ISERROR(SEARCH("Pesquisa de Preços",D5889)))</formula>
    </cfRule>
  </conditionalFormatting>
  <conditionalFormatting sqref="D5897">
    <cfRule type="containsText" dxfId="378" priority="837" operator="containsText" text="Pesquisa de Preços">
      <formula>NOT(ISERROR(SEARCH("Pesquisa de Preços",D5897)))</formula>
    </cfRule>
  </conditionalFormatting>
  <conditionalFormatting sqref="D5901">
    <cfRule type="containsText" dxfId="377" priority="836" operator="containsText" text="Pesquisa de Preços">
      <formula>NOT(ISERROR(SEARCH("Pesquisa de Preços",D5901)))</formula>
    </cfRule>
  </conditionalFormatting>
  <conditionalFormatting sqref="D5905">
    <cfRule type="containsText" dxfId="376" priority="835" operator="containsText" text="Pesquisa de Preços">
      <formula>NOT(ISERROR(SEARCH("Pesquisa de Preços",D5905)))</formula>
    </cfRule>
  </conditionalFormatting>
  <conditionalFormatting sqref="D5909">
    <cfRule type="containsText" dxfId="375" priority="834" operator="containsText" text="Pesquisa de Preços">
      <formula>NOT(ISERROR(SEARCH("Pesquisa de Preços",D5909)))</formula>
    </cfRule>
  </conditionalFormatting>
  <conditionalFormatting sqref="D5913">
    <cfRule type="containsText" dxfId="374" priority="833" operator="containsText" text="Pesquisa de Preços">
      <formula>NOT(ISERROR(SEARCH("Pesquisa de Preços",D5913)))</formula>
    </cfRule>
  </conditionalFormatting>
  <conditionalFormatting sqref="D5917">
    <cfRule type="containsText" dxfId="373" priority="832" operator="containsText" text="Pesquisa de Preços">
      <formula>NOT(ISERROR(SEARCH("Pesquisa de Preços",D5917)))</formula>
    </cfRule>
  </conditionalFormatting>
  <conditionalFormatting sqref="D5921">
    <cfRule type="containsText" dxfId="372" priority="831" operator="containsText" text="Pesquisa de Preços">
      <formula>NOT(ISERROR(SEARCH("Pesquisa de Preços",D5921)))</formula>
    </cfRule>
  </conditionalFormatting>
  <conditionalFormatting sqref="D5925">
    <cfRule type="containsText" dxfId="371" priority="830" operator="containsText" text="Pesquisa de Preços">
      <formula>NOT(ISERROR(SEARCH("Pesquisa de Preços",D5925)))</formula>
    </cfRule>
  </conditionalFormatting>
  <conditionalFormatting sqref="D5929">
    <cfRule type="containsText" dxfId="370" priority="829" operator="containsText" text="Pesquisa de Preços">
      <formula>NOT(ISERROR(SEARCH("Pesquisa de Preços",D5929)))</formula>
    </cfRule>
  </conditionalFormatting>
  <conditionalFormatting sqref="D5933">
    <cfRule type="containsText" dxfId="369" priority="828" operator="containsText" text="Pesquisa de Preços">
      <formula>NOT(ISERROR(SEARCH("Pesquisa de Preços",D5933)))</formula>
    </cfRule>
  </conditionalFormatting>
  <conditionalFormatting sqref="D5937">
    <cfRule type="containsText" dxfId="368" priority="827" operator="containsText" text="Pesquisa de Preços">
      <formula>NOT(ISERROR(SEARCH("Pesquisa de Preços",D5937)))</formula>
    </cfRule>
  </conditionalFormatting>
  <conditionalFormatting sqref="D5941">
    <cfRule type="containsText" dxfId="367" priority="826" operator="containsText" text="Pesquisa de Preços">
      <formula>NOT(ISERROR(SEARCH("Pesquisa de Preços",D5941)))</formula>
    </cfRule>
  </conditionalFormatting>
  <conditionalFormatting sqref="D5949">
    <cfRule type="containsText" dxfId="366" priority="825" operator="containsText" text="Pesquisa de Preços">
      <formula>NOT(ISERROR(SEARCH("Pesquisa de Preços",D5949)))</formula>
    </cfRule>
  </conditionalFormatting>
  <conditionalFormatting sqref="D118">
    <cfRule type="containsText" dxfId="365" priority="821" operator="containsText" text="Pesquisa de Preços">
      <formula>NOT(ISERROR(SEARCH("Pesquisa de Preços",D118)))</formula>
    </cfRule>
  </conditionalFormatting>
  <conditionalFormatting sqref="D119">
    <cfRule type="containsText" dxfId="364" priority="820" operator="containsText" text="Pesquisa de Preços">
      <formula>NOT(ISERROR(SEARCH("Pesquisa de Preços",D119)))</formula>
    </cfRule>
  </conditionalFormatting>
  <conditionalFormatting sqref="E118">
    <cfRule type="containsText" dxfId="363" priority="819" operator="containsText" text="Pesquisa de Preços">
      <formula>NOT(ISERROR(SEARCH("Pesquisa de Preços",E118)))</formula>
    </cfRule>
  </conditionalFormatting>
  <conditionalFormatting sqref="E119">
    <cfRule type="containsText" dxfId="362" priority="818" operator="containsText" text="Pesquisa de Preços">
      <formula>NOT(ISERROR(SEARCH("Pesquisa de Preços",E119)))</formula>
    </cfRule>
  </conditionalFormatting>
  <conditionalFormatting sqref="D692:D693">
    <cfRule type="containsText" dxfId="361" priority="812" operator="containsText" text="Pesquisa de Preços">
      <formula>NOT(ISERROR(SEARCH("Pesquisa de Preços",D692)))</formula>
    </cfRule>
  </conditionalFormatting>
  <conditionalFormatting sqref="E692:E693">
    <cfRule type="containsText" dxfId="360" priority="811" operator="containsText" text="Pesquisa de Preços">
      <formula>NOT(ISERROR(SEARCH("Pesquisa de Preços",E692)))</formula>
    </cfRule>
  </conditionalFormatting>
  <conditionalFormatting sqref="D860">
    <cfRule type="containsText" dxfId="359" priority="808" operator="containsText" text="Pesquisa de Preços">
      <formula>NOT(ISERROR(SEARCH("Pesquisa de Preços",D860)))</formula>
    </cfRule>
  </conditionalFormatting>
  <conditionalFormatting sqref="E860">
    <cfRule type="containsText" dxfId="358" priority="807" operator="containsText" text="Pesquisa de Preços">
      <formula>NOT(ISERROR(SEARCH("Pesquisa de Preços",E860)))</formula>
    </cfRule>
  </conditionalFormatting>
  <conditionalFormatting sqref="D864">
    <cfRule type="containsText" dxfId="357" priority="806" operator="containsText" text="Pesquisa de Preços">
      <formula>NOT(ISERROR(SEARCH("Pesquisa de Preços",D864)))</formula>
    </cfRule>
  </conditionalFormatting>
  <conditionalFormatting sqref="E864">
    <cfRule type="containsText" dxfId="356" priority="805" operator="containsText" text="Pesquisa de Preços">
      <formula>NOT(ISERROR(SEARCH("Pesquisa de Preços",E864)))</formula>
    </cfRule>
  </conditionalFormatting>
  <conditionalFormatting sqref="D877">
    <cfRule type="containsText" dxfId="355" priority="802" operator="containsText" text="Pesquisa de Preços">
      <formula>NOT(ISERROR(SEARCH("Pesquisa de Preços",D877)))</formula>
    </cfRule>
  </conditionalFormatting>
  <conditionalFormatting sqref="E877">
    <cfRule type="containsText" dxfId="354" priority="801" operator="containsText" text="Pesquisa de Preços">
      <formula>NOT(ISERROR(SEARCH("Pesquisa de Preços",E877)))</formula>
    </cfRule>
  </conditionalFormatting>
  <conditionalFormatting sqref="E881">
    <cfRule type="containsText" dxfId="353" priority="796" operator="containsText" text="Pesquisa de Preços">
      <formula>NOT(ISERROR(SEARCH("Pesquisa de Preços",E881)))</formula>
    </cfRule>
  </conditionalFormatting>
  <conditionalFormatting sqref="E882 E884">
    <cfRule type="containsText" dxfId="352" priority="797" operator="containsText" text="Pesquisa de Preços">
      <formula>NOT(ISERROR(SEARCH("Pesquisa de Preços",E882)))</formula>
    </cfRule>
  </conditionalFormatting>
  <conditionalFormatting sqref="E883">
    <cfRule type="containsText" dxfId="351" priority="791" operator="containsText" text="Pesquisa de Preços">
      <formula>NOT(ISERROR(SEARCH("Pesquisa de Preços",E883)))</formula>
    </cfRule>
  </conditionalFormatting>
  <conditionalFormatting sqref="D883">
    <cfRule type="containsText" dxfId="350" priority="794" operator="containsText" text="Pesquisa de Preços">
      <formula>NOT(ISERROR(SEARCH("Pesquisa de Preços",D883)))</formula>
    </cfRule>
  </conditionalFormatting>
  <conditionalFormatting sqref="D5102">
    <cfRule type="containsText" dxfId="349" priority="776" operator="containsText" text="Pesquisa de Preços">
      <formula>NOT(ISERROR(SEARCH("Pesquisa de Preços",D5102)))</formula>
    </cfRule>
  </conditionalFormatting>
  <conditionalFormatting sqref="D5103">
    <cfRule type="containsText" dxfId="348" priority="780" operator="containsText" text="Pesquisa de Preços">
      <formula>NOT(ISERROR(SEARCH("Pesquisa de Preços",D5103)))</formula>
    </cfRule>
  </conditionalFormatting>
  <conditionalFormatting sqref="D5101">
    <cfRule type="containsText" dxfId="347" priority="777" operator="containsText" text="Pesquisa de Preços">
      <formula>NOT(ISERROR(SEARCH("Pesquisa de Preços",D5101)))</formula>
    </cfRule>
  </conditionalFormatting>
  <conditionalFormatting sqref="D5090">
    <cfRule type="containsText" dxfId="346" priority="745" operator="containsText" text="Pesquisa de Preços">
      <formula>NOT(ISERROR(SEARCH("Pesquisa de Preços",D5090)))</formula>
    </cfRule>
  </conditionalFormatting>
  <conditionalFormatting sqref="D5091">
    <cfRule type="containsText" dxfId="345" priority="747" operator="containsText" text="Pesquisa de Preços">
      <formula>NOT(ISERROR(SEARCH("Pesquisa de Preços",D5091)))</formula>
    </cfRule>
  </conditionalFormatting>
  <conditionalFormatting sqref="D5088">
    <cfRule type="containsText" dxfId="344" priority="746" operator="containsText" text="Pesquisa de Preços">
      <formula>NOT(ISERROR(SEARCH("Pesquisa de Preços",D5088)))</formula>
    </cfRule>
  </conditionalFormatting>
  <conditionalFormatting sqref="D5089">
    <cfRule type="containsText" dxfId="343" priority="744" operator="containsText" text="Pesquisa de Preços">
      <formula>NOT(ISERROR(SEARCH("Pesquisa de Preços",D5089)))</formula>
    </cfRule>
  </conditionalFormatting>
  <conditionalFormatting sqref="D5212 D5218 D5250 D5188:E5188 D5181:E5181">
    <cfRule type="containsText" dxfId="342" priority="735" operator="containsText" text="Pesquisa de Preços">
      <formula>NOT(ISERROR(SEARCH("Pesquisa de Preços",D5181)))</formula>
    </cfRule>
  </conditionalFormatting>
  <conditionalFormatting sqref="D5152">
    <cfRule type="containsText" dxfId="341" priority="725" operator="containsText" text="Pesquisa de Preços">
      <formula>NOT(ISERROR(SEARCH("Pesquisa de Preços",D5152)))</formula>
    </cfRule>
  </conditionalFormatting>
  <conditionalFormatting sqref="D5154">
    <cfRule type="containsText" dxfId="340" priority="724" operator="containsText" text="Pesquisa de Preços">
      <formula>NOT(ISERROR(SEARCH("Pesquisa de Preços",D5154)))</formula>
    </cfRule>
  </conditionalFormatting>
  <conditionalFormatting sqref="D5150">
    <cfRule type="containsText" dxfId="339" priority="732" operator="containsText" text="Pesquisa de Preços">
      <formula>NOT(ISERROR(SEARCH("Pesquisa de Preços",D5150)))</formula>
    </cfRule>
  </conditionalFormatting>
  <conditionalFormatting sqref="D5146">
    <cfRule type="containsText" dxfId="338" priority="714" operator="containsText" text="Pesquisa de Preços">
      <formula>NOT(ISERROR(SEARCH("Pesquisa de Preços",D5146)))</formula>
    </cfRule>
  </conditionalFormatting>
  <conditionalFormatting sqref="D5148">
    <cfRule type="containsText" dxfId="337" priority="713" operator="containsText" text="Pesquisa de Preços">
      <formula>NOT(ISERROR(SEARCH("Pesquisa de Preços",D5148)))</formula>
    </cfRule>
  </conditionalFormatting>
  <conditionalFormatting sqref="D5144">
    <cfRule type="containsText" dxfId="336" priority="721" operator="containsText" text="Pesquisa de Preços">
      <formula>NOT(ISERROR(SEARCH("Pesquisa de Preços",D5144)))</formula>
    </cfRule>
  </conditionalFormatting>
  <conditionalFormatting sqref="D5164">
    <cfRule type="containsText" dxfId="335" priority="703" operator="containsText" text="Pesquisa de Preços">
      <formula>NOT(ISERROR(SEARCH("Pesquisa de Preços",D5164)))</formula>
    </cfRule>
  </conditionalFormatting>
  <conditionalFormatting sqref="D5166">
    <cfRule type="containsText" dxfId="334" priority="702" operator="containsText" text="Pesquisa de Preços">
      <formula>NOT(ISERROR(SEARCH("Pesquisa de Preços",D5166)))</formula>
    </cfRule>
  </conditionalFormatting>
  <conditionalFormatting sqref="D5162">
    <cfRule type="containsText" dxfId="333" priority="710" operator="containsText" text="Pesquisa de Preços">
      <formula>NOT(ISERROR(SEARCH("Pesquisa de Preços",D5162)))</formula>
    </cfRule>
  </conditionalFormatting>
  <conditionalFormatting sqref="D5158">
    <cfRule type="containsText" dxfId="332" priority="692" operator="containsText" text="Pesquisa de Preços">
      <formula>NOT(ISERROR(SEARCH("Pesquisa de Preços",D5158)))</formula>
    </cfRule>
  </conditionalFormatting>
  <conditionalFormatting sqref="D5160">
    <cfRule type="containsText" dxfId="331" priority="691" operator="containsText" text="Pesquisa de Preços">
      <formula>NOT(ISERROR(SEARCH("Pesquisa de Preços",D5160)))</formula>
    </cfRule>
  </conditionalFormatting>
  <conditionalFormatting sqref="D5156">
    <cfRule type="containsText" dxfId="330" priority="699" operator="containsText" text="Pesquisa de Preços">
      <formula>NOT(ISERROR(SEARCH("Pesquisa de Preços",D5156)))</formula>
    </cfRule>
  </conditionalFormatting>
  <conditionalFormatting sqref="D5168">
    <cfRule type="containsText" dxfId="329" priority="688" operator="containsText" text="Pesquisa de Preços">
      <formula>NOT(ISERROR(SEARCH("Pesquisa de Preços",D5168)))</formula>
    </cfRule>
  </conditionalFormatting>
  <conditionalFormatting sqref="D5169:D5170 D5173:D5174">
    <cfRule type="containsText" dxfId="328" priority="687" operator="containsText" text="Pesquisa de Preços">
      <formula>NOT(ISERROR(SEARCH("Pesquisa de Preços",D5169)))</formula>
    </cfRule>
  </conditionalFormatting>
  <conditionalFormatting sqref="D5171:D5172">
    <cfRule type="containsText" dxfId="327" priority="686" operator="containsText" text="Pesquisa de Preços">
      <formula>NOT(ISERROR(SEARCH("Pesquisa de Preços",D5171)))</formula>
    </cfRule>
  </conditionalFormatting>
  <conditionalFormatting sqref="E5169:E5170 E5173:E5174">
    <cfRule type="containsText" dxfId="326" priority="685" operator="containsText" text="Pesquisa de Preços">
      <formula>NOT(ISERROR(SEARCH("Pesquisa de Preços",E5169)))</formula>
    </cfRule>
  </conditionalFormatting>
  <conditionalFormatting sqref="E5168">
    <cfRule type="containsText" dxfId="325" priority="684" operator="containsText" text="Pesquisa de Preços">
      <formula>NOT(ISERROR(SEARCH("Pesquisa de Preços",E5168)))</formula>
    </cfRule>
  </conditionalFormatting>
  <conditionalFormatting sqref="E5171:E5172">
    <cfRule type="containsText" dxfId="324" priority="683" operator="containsText" text="Pesquisa de Preços">
      <formula>NOT(ISERROR(SEARCH("Pesquisa de Preços",E5171)))</formula>
    </cfRule>
  </conditionalFormatting>
  <conditionalFormatting sqref="D5140">
    <cfRule type="containsText" dxfId="323" priority="675" operator="containsText" text="Pesquisa de Preços">
      <formula>NOT(ISERROR(SEARCH("Pesquisa de Preços",D5140)))</formula>
    </cfRule>
  </conditionalFormatting>
  <conditionalFormatting sqref="D5138">
    <cfRule type="containsText" dxfId="322" priority="676" operator="containsText" text="Pesquisa de Preços">
      <formula>NOT(ISERROR(SEARCH("Pesquisa de Preços",D5138)))</formula>
    </cfRule>
  </conditionalFormatting>
  <conditionalFormatting sqref="D5142">
    <cfRule type="containsText" dxfId="321" priority="674" operator="containsText" text="Pesquisa de Preços">
      <formula>NOT(ISERROR(SEARCH("Pesquisa de Preços",D5142)))</formula>
    </cfRule>
  </conditionalFormatting>
  <conditionalFormatting sqref="D5175">
    <cfRule type="containsText" dxfId="320" priority="671" operator="containsText" text="Pesquisa de Preços">
      <formula>NOT(ISERROR(SEARCH("Pesquisa de Preços",D5175)))</formula>
    </cfRule>
  </conditionalFormatting>
  <conditionalFormatting sqref="D5176:D5177">
    <cfRule type="containsText" dxfId="319" priority="670" operator="containsText" text="Pesquisa de Preços">
      <formula>NOT(ISERROR(SEARCH("Pesquisa de Preços",D5176)))</formula>
    </cfRule>
  </conditionalFormatting>
  <conditionalFormatting sqref="D5178">
    <cfRule type="containsText" dxfId="318" priority="669" operator="containsText" text="Pesquisa de Preços">
      <formula>NOT(ISERROR(SEARCH("Pesquisa de Preços",D5178)))</formula>
    </cfRule>
  </conditionalFormatting>
  <conditionalFormatting sqref="E5176:E5177">
    <cfRule type="containsText" dxfId="317" priority="668" operator="containsText" text="Pesquisa de Preços">
      <formula>NOT(ISERROR(SEARCH("Pesquisa de Preços",E5176)))</formula>
    </cfRule>
  </conditionalFormatting>
  <conditionalFormatting sqref="E5175">
    <cfRule type="containsText" dxfId="316" priority="667" operator="containsText" text="Pesquisa de Preços">
      <formula>NOT(ISERROR(SEARCH("Pesquisa de Preços",E5175)))</formula>
    </cfRule>
  </conditionalFormatting>
  <conditionalFormatting sqref="E5178">
    <cfRule type="containsText" dxfId="315" priority="666" operator="containsText" text="Pesquisa de Preços">
      <formula>NOT(ISERROR(SEARCH("Pesquisa de Preços",E5178)))</formula>
    </cfRule>
  </conditionalFormatting>
  <conditionalFormatting sqref="D5182">
    <cfRule type="containsText" dxfId="314" priority="661" operator="containsText" text="Pesquisa de Preços">
      <formula>NOT(ISERROR(SEARCH("Pesquisa de Preços",D5182)))</formula>
    </cfRule>
  </conditionalFormatting>
  <conditionalFormatting sqref="D5183:D5184">
    <cfRule type="containsText" dxfId="313" priority="660" operator="containsText" text="Pesquisa de Preços">
      <formula>NOT(ISERROR(SEARCH("Pesquisa de Preços",D5183)))</formula>
    </cfRule>
  </conditionalFormatting>
  <conditionalFormatting sqref="D5185:D5186">
    <cfRule type="containsText" dxfId="312" priority="659" operator="containsText" text="Pesquisa de Preços">
      <formula>NOT(ISERROR(SEARCH("Pesquisa de Preços",D5185)))</formula>
    </cfRule>
  </conditionalFormatting>
  <conditionalFormatting sqref="E5183:E5184">
    <cfRule type="containsText" dxfId="311" priority="658" operator="containsText" text="Pesquisa de Preços">
      <formula>NOT(ISERROR(SEARCH("Pesquisa de Preços",E5183)))</formula>
    </cfRule>
  </conditionalFormatting>
  <conditionalFormatting sqref="E5182">
    <cfRule type="containsText" dxfId="310" priority="657" operator="containsText" text="Pesquisa de Preços">
      <formula>NOT(ISERROR(SEARCH("Pesquisa de Preços",E5182)))</formula>
    </cfRule>
  </conditionalFormatting>
  <conditionalFormatting sqref="E5185:E5186">
    <cfRule type="containsText" dxfId="309" priority="656" operator="containsText" text="Pesquisa de Preços">
      <formula>NOT(ISERROR(SEARCH("Pesquisa de Preços",E5185)))</formula>
    </cfRule>
  </conditionalFormatting>
  <conditionalFormatting sqref="E5180">
    <cfRule type="containsText" dxfId="308" priority="653" operator="containsText" text="Pesquisa de Preços">
      <formula>NOT(ISERROR(SEARCH("Pesquisa de Preços",E5180)))</formula>
    </cfRule>
  </conditionalFormatting>
  <conditionalFormatting sqref="D5187">
    <cfRule type="containsText" dxfId="307" priority="652" operator="containsText" text="Pesquisa de Preços">
      <formula>NOT(ISERROR(SEARCH("Pesquisa de Preços",D5187)))</formula>
    </cfRule>
  </conditionalFormatting>
  <conditionalFormatting sqref="E5187">
    <cfRule type="containsText" dxfId="306" priority="651" operator="containsText" text="Pesquisa de Preços">
      <formula>NOT(ISERROR(SEARCH("Pesquisa de Preços",E5187)))</formula>
    </cfRule>
  </conditionalFormatting>
  <conditionalFormatting sqref="D5179">
    <cfRule type="containsText" dxfId="305" priority="640" operator="containsText" text="Pesquisa de Preços">
      <formula>NOT(ISERROR(SEARCH("Pesquisa de Preços",D5179)))</formula>
    </cfRule>
  </conditionalFormatting>
  <conditionalFormatting sqref="E5179">
    <cfRule type="containsText" dxfId="304" priority="639" operator="containsText" text="Pesquisa de Preços">
      <formula>NOT(ISERROR(SEARCH("Pesquisa de Preços",E5179)))</formula>
    </cfRule>
  </conditionalFormatting>
  <conditionalFormatting sqref="D5180">
    <cfRule type="containsText" dxfId="303" priority="636" operator="containsText" text="Pesquisa de Preços">
      <formula>NOT(ISERROR(SEARCH("Pesquisa de Preços",D5180)))</formula>
    </cfRule>
  </conditionalFormatting>
  <conditionalFormatting sqref="E5203">
    <cfRule type="containsText" dxfId="302" priority="605" operator="containsText" text="Pesquisa de Preços">
      <formula>NOT(ISERROR(SEARCH("Pesquisa de Preços",E5203)))</formula>
    </cfRule>
  </conditionalFormatting>
  <conditionalFormatting sqref="D5193">
    <cfRule type="containsText" dxfId="301" priority="626" operator="containsText" text="Pesquisa de Preços">
      <formula>NOT(ISERROR(SEARCH("Pesquisa de Preços",D5193)))</formula>
    </cfRule>
  </conditionalFormatting>
  <conditionalFormatting sqref="D5189">
    <cfRule type="containsText" dxfId="300" priority="633" operator="containsText" text="Pesquisa de Preços">
      <formula>NOT(ISERROR(SEARCH("Pesquisa de Preços",D5189)))</formula>
    </cfRule>
  </conditionalFormatting>
  <conditionalFormatting sqref="D5191">
    <cfRule type="containsText" dxfId="299" priority="623" operator="containsText" text="Pesquisa de Preços">
      <formula>NOT(ISERROR(SEARCH("Pesquisa de Preços",D5191)))</formula>
    </cfRule>
  </conditionalFormatting>
  <conditionalFormatting sqref="E5191">
    <cfRule type="containsText" dxfId="298" priority="622" operator="containsText" text="Pesquisa de Preços">
      <formula>NOT(ISERROR(SEARCH("Pesquisa de Preços",E5191)))</formula>
    </cfRule>
  </conditionalFormatting>
  <conditionalFormatting sqref="D5195">
    <cfRule type="containsText" dxfId="297" priority="619" operator="containsText" text="Pesquisa de Preços">
      <formula>NOT(ISERROR(SEARCH("Pesquisa de Preços",D5195)))</formula>
    </cfRule>
  </conditionalFormatting>
  <conditionalFormatting sqref="D5198">
    <cfRule type="containsText" dxfId="296" priority="616" operator="containsText" text="Pesquisa de Preços">
      <formula>NOT(ISERROR(SEARCH("Pesquisa de Preços",D5198)))</formula>
    </cfRule>
  </conditionalFormatting>
  <conditionalFormatting sqref="D5196 D5199:D5200">
    <cfRule type="containsText" dxfId="295" priority="618" operator="containsText" text="Pesquisa de Preços">
      <formula>NOT(ISERROR(SEARCH("Pesquisa de Preços",D5196)))</formula>
    </cfRule>
  </conditionalFormatting>
  <conditionalFormatting sqref="D5197">
    <cfRule type="containsText" dxfId="294" priority="617" operator="containsText" text="Pesquisa de Preços">
      <formula>NOT(ISERROR(SEARCH("Pesquisa de Preços",D5197)))</formula>
    </cfRule>
  </conditionalFormatting>
  <conditionalFormatting sqref="E5200">
    <cfRule type="containsText" dxfId="293" priority="615" operator="containsText" text="Pesquisa de Preços">
      <formula>NOT(ISERROR(SEARCH("Pesquisa de Preços",E5200)))</formula>
    </cfRule>
  </conditionalFormatting>
  <conditionalFormatting sqref="D5201">
    <cfRule type="containsText" dxfId="292" priority="612" operator="containsText" text="Pesquisa de Preços">
      <formula>NOT(ISERROR(SEARCH("Pesquisa de Preços",D5201)))</formula>
    </cfRule>
  </conditionalFormatting>
  <conditionalFormatting sqref="D5202 D5206:D5207">
    <cfRule type="containsText" dxfId="291" priority="611" operator="containsText" text="Pesquisa de Preços">
      <formula>NOT(ISERROR(SEARCH("Pesquisa de Preços",D5202)))</formula>
    </cfRule>
  </conditionalFormatting>
  <conditionalFormatting sqref="D5204">
    <cfRule type="containsText" dxfId="290" priority="609" operator="containsText" text="Pesquisa de Preços">
      <formula>NOT(ISERROR(SEARCH("Pesquisa de Preços",D5204)))</formula>
    </cfRule>
  </conditionalFormatting>
  <conditionalFormatting sqref="D5203">
    <cfRule type="containsText" dxfId="289" priority="610" operator="containsText" text="Pesquisa de Preços">
      <formula>NOT(ISERROR(SEARCH("Pesquisa de Preços",D5203)))</formula>
    </cfRule>
  </conditionalFormatting>
  <conditionalFormatting sqref="D5205">
    <cfRule type="containsText" dxfId="288" priority="608" operator="containsText" text="Pesquisa de Preços">
      <formula>NOT(ISERROR(SEARCH("Pesquisa de Preços",D5205)))</formula>
    </cfRule>
  </conditionalFormatting>
  <conditionalFormatting sqref="E5201">
    <cfRule type="containsText" dxfId="287" priority="606" operator="containsText" text="Pesquisa de Preços">
      <formula>NOT(ISERROR(SEARCH("Pesquisa de Preços",E5201)))</formula>
    </cfRule>
  </conditionalFormatting>
  <conditionalFormatting sqref="E5202 E5206:E5207">
    <cfRule type="containsText" dxfId="286" priority="607" operator="containsText" text="Pesquisa de Preços">
      <formula>NOT(ISERROR(SEARCH("Pesquisa de Preços",E5202)))</formula>
    </cfRule>
  </conditionalFormatting>
  <conditionalFormatting sqref="E5205">
    <cfRule type="containsText" dxfId="285" priority="604" operator="containsText" text="Pesquisa de Preços">
      <formula>NOT(ISERROR(SEARCH("Pesquisa de Preços",E5205)))</formula>
    </cfRule>
  </conditionalFormatting>
  <conditionalFormatting sqref="E5210">
    <cfRule type="containsText" dxfId="284" priority="595" operator="containsText" text="Pesquisa de Preços">
      <formula>NOT(ISERROR(SEARCH("Pesquisa de Preços",E5210)))</formula>
    </cfRule>
  </conditionalFormatting>
  <conditionalFormatting sqref="D5208">
    <cfRule type="containsText" dxfId="283" priority="601" operator="containsText" text="Pesquisa de Preços">
      <formula>NOT(ISERROR(SEARCH("Pesquisa de Preços",D5208)))</formula>
    </cfRule>
  </conditionalFormatting>
  <conditionalFormatting sqref="D5209 D5213">
    <cfRule type="containsText" dxfId="282" priority="600" operator="containsText" text="Pesquisa de Preços">
      <formula>NOT(ISERROR(SEARCH("Pesquisa de Preços",D5209)))</formula>
    </cfRule>
  </conditionalFormatting>
  <conditionalFormatting sqref="D5211">
    <cfRule type="containsText" dxfId="281" priority="598" operator="containsText" text="Pesquisa de Preços">
      <formula>NOT(ISERROR(SEARCH("Pesquisa de Preços",D5211)))</formula>
    </cfRule>
  </conditionalFormatting>
  <conditionalFormatting sqref="D5210">
    <cfRule type="containsText" dxfId="280" priority="599" operator="containsText" text="Pesquisa de Preços">
      <formula>NOT(ISERROR(SEARCH("Pesquisa de Preços",D5210)))</formula>
    </cfRule>
  </conditionalFormatting>
  <conditionalFormatting sqref="E5215 E5219">
    <cfRule type="containsText" dxfId="279" priority="588" operator="containsText" text="Pesquisa de Preços">
      <formula>NOT(ISERROR(SEARCH("Pesquisa de Preços",E5215)))</formula>
    </cfRule>
  </conditionalFormatting>
  <conditionalFormatting sqref="E5208">
    <cfRule type="containsText" dxfId="278" priority="596" operator="containsText" text="Pesquisa de Preços">
      <formula>NOT(ISERROR(SEARCH("Pesquisa de Preços",E5208)))</formula>
    </cfRule>
  </conditionalFormatting>
  <conditionalFormatting sqref="E5209 E5213">
    <cfRule type="containsText" dxfId="277" priority="597" operator="containsText" text="Pesquisa de Preços">
      <formula>NOT(ISERROR(SEARCH("Pesquisa de Preços",E5209)))</formula>
    </cfRule>
  </conditionalFormatting>
  <conditionalFormatting sqref="E5216">
    <cfRule type="containsText" dxfId="276" priority="586" operator="containsText" text="Pesquisa de Preços">
      <formula>NOT(ISERROR(SEARCH("Pesquisa de Preços",E5216)))</formula>
    </cfRule>
  </conditionalFormatting>
  <conditionalFormatting sqref="D5214">
    <cfRule type="containsText" dxfId="275" priority="592" operator="containsText" text="Pesquisa de Preços">
      <formula>NOT(ISERROR(SEARCH("Pesquisa de Preços",D5214)))</formula>
    </cfRule>
  </conditionalFormatting>
  <conditionalFormatting sqref="D5215 D5219">
    <cfRule type="containsText" dxfId="274" priority="591" operator="containsText" text="Pesquisa de Preços">
      <formula>NOT(ISERROR(SEARCH("Pesquisa de Preços",D5215)))</formula>
    </cfRule>
  </conditionalFormatting>
  <conditionalFormatting sqref="D5217">
    <cfRule type="containsText" dxfId="273" priority="589" operator="containsText" text="Pesquisa de Preços">
      <formula>NOT(ISERROR(SEARCH("Pesquisa de Preços",D5217)))</formula>
    </cfRule>
  </conditionalFormatting>
  <conditionalFormatting sqref="D5216">
    <cfRule type="containsText" dxfId="272" priority="590" operator="containsText" text="Pesquisa de Preços">
      <formula>NOT(ISERROR(SEARCH("Pesquisa de Preços",D5216)))</formula>
    </cfRule>
  </conditionalFormatting>
  <conditionalFormatting sqref="E5214">
    <cfRule type="containsText" dxfId="271" priority="587" operator="containsText" text="Pesquisa de Preços">
      <formula>NOT(ISERROR(SEARCH("Pesquisa de Preços",E5214)))</formula>
    </cfRule>
  </conditionalFormatting>
  <conditionalFormatting sqref="D5220">
    <cfRule type="containsText" dxfId="270" priority="583" operator="containsText" text="Pesquisa de Preços">
      <formula>NOT(ISERROR(SEARCH("Pesquisa de Preços",D5220)))</formula>
    </cfRule>
  </conditionalFormatting>
  <conditionalFormatting sqref="D5226:D5227 D5221:D5222">
    <cfRule type="containsText" dxfId="269" priority="582" operator="containsText" text="Pesquisa de Preços">
      <formula>NOT(ISERROR(SEARCH("Pesquisa de Preços",D5221)))</formula>
    </cfRule>
  </conditionalFormatting>
  <conditionalFormatting sqref="E5220">
    <cfRule type="containsText" dxfId="268" priority="580" operator="containsText" text="Pesquisa de Preços">
      <formula>NOT(ISERROR(SEARCH("Pesquisa de Preços",E5220)))</formula>
    </cfRule>
  </conditionalFormatting>
  <conditionalFormatting sqref="E5221 E5227">
    <cfRule type="containsText" dxfId="267" priority="581" operator="containsText" text="Pesquisa de Preços">
      <formula>NOT(ISERROR(SEARCH("Pesquisa de Preços",E5221)))</formula>
    </cfRule>
  </conditionalFormatting>
  <conditionalFormatting sqref="E5222">
    <cfRule type="containsText" dxfId="266" priority="579" operator="containsText" text="Pesquisa de Preços">
      <formula>NOT(ISERROR(SEARCH("Pesquisa de Preços",E5222)))</formula>
    </cfRule>
  </conditionalFormatting>
  <conditionalFormatting sqref="D5228">
    <cfRule type="containsText" dxfId="265" priority="576" operator="containsText" text="Pesquisa de Preços">
      <formula>NOT(ISERROR(SEARCH("Pesquisa de Preços",D5228)))</formula>
    </cfRule>
  </conditionalFormatting>
  <conditionalFormatting sqref="D5234:D5235 D5229:D5230">
    <cfRule type="containsText" dxfId="264" priority="575" operator="containsText" text="Pesquisa de Preços">
      <formula>NOT(ISERROR(SEARCH("Pesquisa de Preços",D5229)))</formula>
    </cfRule>
  </conditionalFormatting>
  <conditionalFormatting sqref="E5228">
    <cfRule type="containsText" dxfId="263" priority="573" operator="containsText" text="Pesquisa de Preços">
      <formula>NOT(ISERROR(SEARCH("Pesquisa de Preços",E5228)))</formula>
    </cfRule>
  </conditionalFormatting>
  <conditionalFormatting sqref="E5229 E5235">
    <cfRule type="containsText" dxfId="262" priority="574" operator="containsText" text="Pesquisa de Preços">
      <formula>NOT(ISERROR(SEARCH("Pesquisa de Preços",E5229)))</formula>
    </cfRule>
  </conditionalFormatting>
  <conditionalFormatting sqref="E5230">
    <cfRule type="containsText" dxfId="261" priority="572" operator="containsText" text="Pesquisa de Preços">
      <formula>NOT(ISERROR(SEARCH("Pesquisa de Preços",E5230)))</formula>
    </cfRule>
  </conditionalFormatting>
  <conditionalFormatting sqref="D5236">
    <cfRule type="containsText" dxfId="260" priority="569" operator="containsText" text="Pesquisa de Preços">
      <formula>NOT(ISERROR(SEARCH("Pesquisa de Preços",D5236)))</formula>
    </cfRule>
  </conditionalFormatting>
  <conditionalFormatting sqref="D5242:D5243 D5237:D5238">
    <cfRule type="containsText" dxfId="259" priority="568" operator="containsText" text="Pesquisa de Preços">
      <formula>NOT(ISERROR(SEARCH("Pesquisa de Preços",D5237)))</formula>
    </cfRule>
  </conditionalFormatting>
  <conditionalFormatting sqref="E5236">
    <cfRule type="containsText" dxfId="258" priority="566" operator="containsText" text="Pesquisa de Preços">
      <formula>NOT(ISERROR(SEARCH("Pesquisa de Preços",E5236)))</formula>
    </cfRule>
  </conditionalFormatting>
  <conditionalFormatting sqref="E5237 E5243">
    <cfRule type="containsText" dxfId="257" priority="567" operator="containsText" text="Pesquisa de Preços">
      <formula>NOT(ISERROR(SEARCH("Pesquisa de Preços",E5237)))</formula>
    </cfRule>
  </conditionalFormatting>
  <conditionalFormatting sqref="E5238">
    <cfRule type="containsText" dxfId="256" priority="565" operator="containsText" text="Pesquisa de Preços">
      <formula>NOT(ISERROR(SEARCH("Pesquisa de Preços",E5238)))</formula>
    </cfRule>
  </conditionalFormatting>
  <conditionalFormatting sqref="D5244">
    <cfRule type="containsText" dxfId="255" priority="564" operator="containsText" text="Pesquisa de Preços">
      <formula>NOT(ISERROR(SEARCH("Pesquisa de Preços",D5244)))</formula>
    </cfRule>
  </conditionalFormatting>
  <conditionalFormatting sqref="D5245:D5246">
    <cfRule type="containsText" dxfId="254" priority="563" operator="containsText" text="Pesquisa de Preços">
      <formula>NOT(ISERROR(SEARCH("Pesquisa de Preços",D5245)))</formula>
    </cfRule>
  </conditionalFormatting>
  <conditionalFormatting sqref="E5244">
    <cfRule type="containsText" dxfId="253" priority="561" operator="containsText" text="Pesquisa de Preços">
      <formula>NOT(ISERROR(SEARCH("Pesquisa de Preços",E5244)))</formula>
    </cfRule>
  </conditionalFormatting>
  <conditionalFormatting sqref="E5245 E5250">
    <cfRule type="containsText" dxfId="252" priority="562" operator="containsText" text="Pesquisa de Preços">
      <formula>NOT(ISERROR(SEARCH("Pesquisa de Preços",E5245)))</formula>
    </cfRule>
  </conditionalFormatting>
  <conditionalFormatting sqref="E5246">
    <cfRule type="containsText" dxfId="251" priority="560" operator="containsText" text="Pesquisa de Preços">
      <formula>NOT(ISERROR(SEARCH("Pesquisa de Preços",E5246)))</formula>
    </cfRule>
  </conditionalFormatting>
  <conditionalFormatting sqref="D5255 D5260">
    <cfRule type="containsText" dxfId="250" priority="559" operator="containsText" text="Pesquisa de Preços">
      <formula>NOT(ISERROR(SEARCH("Pesquisa de Preços",D5255)))</formula>
    </cfRule>
  </conditionalFormatting>
  <conditionalFormatting sqref="D5251">
    <cfRule type="containsText" dxfId="249" priority="556" operator="containsText" text="Pesquisa de Preços">
      <formula>NOT(ISERROR(SEARCH("Pesquisa de Preços",D5251)))</formula>
    </cfRule>
  </conditionalFormatting>
  <conditionalFormatting sqref="D5254">
    <cfRule type="containsText" dxfId="248" priority="553" operator="containsText" text="Pesquisa de Preços">
      <formula>NOT(ISERROR(SEARCH("Pesquisa de Preços",D5254)))</formula>
    </cfRule>
  </conditionalFormatting>
  <conditionalFormatting sqref="D5252">
    <cfRule type="containsText" dxfId="247" priority="555" operator="containsText" text="Pesquisa de Preços">
      <formula>NOT(ISERROR(SEARCH("Pesquisa de Preços",D5252)))</formula>
    </cfRule>
  </conditionalFormatting>
  <conditionalFormatting sqref="D5253">
    <cfRule type="containsText" dxfId="246" priority="554" operator="containsText" text="Pesquisa de Preços">
      <formula>NOT(ISERROR(SEARCH("Pesquisa de Preços",D5253)))</formula>
    </cfRule>
  </conditionalFormatting>
  <conditionalFormatting sqref="E5260">
    <cfRule type="containsText" dxfId="245" priority="552" operator="containsText" text="Pesquisa de Preços">
      <formula>NOT(ISERROR(SEARCH("Pesquisa de Preços",E5260)))</formula>
    </cfRule>
  </conditionalFormatting>
  <conditionalFormatting sqref="D5258">
    <cfRule type="containsText" dxfId="244" priority="551" operator="containsText" text="Pesquisa de Preços">
      <formula>NOT(ISERROR(SEARCH("Pesquisa de Preços",D5258)))</formula>
    </cfRule>
  </conditionalFormatting>
  <conditionalFormatting sqref="D5257">
    <cfRule type="containsText" dxfId="243" priority="547" operator="containsText" text="Pesquisa de Preços">
      <formula>NOT(ISERROR(SEARCH("Pesquisa de Preços",D5257)))</formula>
    </cfRule>
  </conditionalFormatting>
  <conditionalFormatting sqref="D5256">
    <cfRule type="containsText" dxfId="242" priority="548" operator="containsText" text="Pesquisa de Preços">
      <formula>NOT(ISERROR(SEARCH("Pesquisa de Preços",D5256)))</formula>
    </cfRule>
  </conditionalFormatting>
  <conditionalFormatting sqref="D5259">
    <cfRule type="containsText" dxfId="241" priority="546" operator="containsText" text="Pesquisa de Preços">
      <formula>NOT(ISERROR(SEARCH("Pesquisa de Preços",D5259)))</formula>
    </cfRule>
  </conditionalFormatting>
  <conditionalFormatting sqref="D5263">
    <cfRule type="containsText" dxfId="240" priority="536" operator="containsText" text="Pesquisa de Preços">
      <formula>NOT(ISERROR(SEARCH("Pesquisa de Preços",D5263)))</formula>
    </cfRule>
  </conditionalFormatting>
  <conditionalFormatting sqref="D5264">
    <cfRule type="containsText" dxfId="239" priority="535" operator="containsText" text="Pesquisa de Preços">
      <formula>NOT(ISERROR(SEARCH("Pesquisa de Preços",D5264)))</formula>
    </cfRule>
  </conditionalFormatting>
  <conditionalFormatting sqref="D5267">
    <cfRule type="containsText" dxfId="238" priority="529" operator="containsText" text="Pesquisa de Preços">
      <formula>NOT(ISERROR(SEARCH("Pesquisa de Preços",D5267)))</formula>
    </cfRule>
  </conditionalFormatting>
  <conditionalFormatting sqref="D5266">
    <cfRule type="containsText" dxfId="237" priority="530" operator="containsText" text="Pesquisa de Preços">
      <formula>NOT(ISERROR(SEARCH("Pesquisa de Preços",D5266)))</formula>
    </cfRule>
  </conditionalFormatting>
  <conditionalFormatting sqref="D5271">
    <cfRule type="containsText" dxfId="236" priority="528" operator="containsText" text="Pesquisa de Preços">
      <formula>NOT(ISERROR(SEARCH("Pesquisa de Preços",D5271)))</formula>
    </cfRule>
  </conditionalFormatting>
  <conditionalFormatting sqref="D5270">
    <cfRule type="containsText" dxfId="235" priority="524" operator="containsText" text="Pesquisa de Preços">
      <formula>NOT(ISERROR(SEARCH("Pesquisa de Preços",D5270)))</formula>
    </cfRule>
  </conditionalFormatting>
  <conditionalFormatting sqref="D5265 D5272">
    <cfRule type="containsText" dxfId="234" priority="541" operator="containsText" text="Pesquisa de Preços">
      <formula>NOT(ISERROR(SEARCH("Pesquisa de Preços",D5265)))</formula>
    </cfRule>
  </conditionalFormatting>
  <conditionalFormatting sqref="D5261">
    <cfRule type="containsText" dxfId="233" priority="538" operator="containsText" text="Pesquisa de Preços">
      <formula>NOT(ISERROR(SEARCH("Pesquisa de Preços",D5261)))</formula>
    </cfRule>
  </conditionalFormatting>
  <conditionalFormatting sqref="D5262">
    <cfRule type="containsText" dxfId="232" priority="537" operator="containsText" text="Pesquisa de Preços">
      <formula>NOT(ISERROR(SEARCH("Pesquisa de Preços",D5262)))</formula>
    </cfRule>
  </conditionalFormatting>
  <conditionalFormatting sqref="E5272">
    <cfRule type="containsText" dxfId="231" priority="534" operator="containsText" text="Pesquisa de Preços">
      <formula>NOT(ISERROR(SEARCH("Pesquisa de Preços",E5272)))</formula>
    </cfRule>
  </conditionalFormatting>
  <conditionalFormatting sqref="D5268">
    <cfRule type="containsText" dxfId="230" priority="533" operator="containsText" text="Pesquisa de Preços">
      <formula>NOT(ISERROR(SEARCH("Pesquisa de Preços",D5268)))</formula>
    </cfRule>
  </conditionalFormatting>
  <conditionalFormatting sqref="D5269">
    <cfRule type="containsText" dxfId="229" priority="525" operator="containsText" text="Pesquisa de Preços">
      <formula>NOT(ISERROR(SEARCH("Pesquisa de Preços",D5269)))</formula>
    </cfRule>
  </conditionalFormatting>
  <conditionalFormatting sqref="D5278">
    <cfRule type="containsText" dxfId="228" priority="513" operator="containsText" text="Pesquisa de Preços">
      <formula>NOT(ISERROR(SEARCH("Pesquisa de Preços",D5278)))</formula>
    </cfRule>
  </conditionalFormatting>
  <conditionalFormatting sqref="D5273">
    <cfRule type="containsText" dxfId="227" priority="512" operator="containsText" text="Pesquisa de Preços">
      <formula>NOT(ISERROR(SEARCH("Pesquisa de Preços",D5273)))</formula>
    </cfRule>
  </conditionalFormatting>
  <conditionalFormatting sqref="D5274:D5275">
    <cfRule type="containsText" dxfId="226" priority="511" operator="containsText" text="Pesquisa de Preços">
      <formula>NOT(ISERROR(SEARCH("Pesquisa de Preços",D5274)))</formula>
    </cfRule>
  </conditionalFormatting>
  <conditionalFormatting sqref="E5273">
    <cfRule type="containsText" dxfId="225" priority="509" operator="containsText" text="Pesquisa de Preços">
      <formula>NOT(ISERROR(SEARCH("Pesquisa de Preços",E5273)))</formula>
    </cfRule>
  </conditionalFormatting>
  <conditionalFormatting sqref="E5274 E5278">
    <cfRule type="containsText" dxfId="224" priority="510" operator="containsText" text="Pesquisa de Preços">
      <formula>NOT(ISERROR(SEARCH("Pesquisa de Preços",E5274)))</formula>
    </cfRule>
  </conditionalFormatting>
  <conditionalFormatting sqref="E5275">
    <cfRule type="containsText" dxfId="223" priority="508" operator="containsText" text="Pesquisa de Preços">
      <formula>NOT(ISERROR(SEARCH("Pesquisa de Preços",E5275)))</formula>
    </cfRule>
  </conditionalFormatting>
  <conditionalFormatting sqref="D5284">
    <cfRule type="containsText" dxfId="222" priority="505" operator="containsText" text="Pesquisa de Preços">
      <formula>NOT(ISERROR(SEARCH("Pesquisa de Preços",D5284)))</formula>
    </cfRule>
  </conditionalFormatting>
  <conditionalFormatting sqref="D5279">
    <cfRule type="containsText" dxfId="221" priority="504" operator="containsText" text="Pesquisa de Preços">
      <formula>NOT(ISERROR(SEARCH("Pesquisa de Preços",D5279)))</formula>
    </cfRule>
  </conditionalFormatting>
  <conditionalFormatting sqref="D5280:D5281">
    <cfRule type="containsText" dxfId="220" priority="503" operator="containsText" text="Pesquisa de Preços">
      <formula>NOT(ISERROR(SEARCH("Pesquisa de Preços",D5280)))</formula>
    </cfRule>
  </conditionalFormatting>
  <conditionalFormatting sqref="E5279">
    <cfRule type="containsText" dxfId="219" priority="501" operator="containsText" text="Pesquisa de Preços">
      <formula>NOT(ISERROR(SEARCH("Pesquisa de Preços",E5279)))</formula>
    </cfRule>
  </conditionalFormatting>
  <conditionalFormatting sqref="E5280 E5284">
    <cfRule type="containsText" dxfId="218" priority="502" operator="containsText" text="Pesquisa de Preços">
      <formula>NOT(ISERROR(SEARCH("Pesquisa de Preços",E5280)))</formula>
    </cfRule>
  </conditionalFormatting>
  <conditionalFormatting sqref="E5281">
    <cfRule type="containsText" dxfId="217" priority="500" operator="containsText" text="Pesquisa de Preços">
      <formula>NOT(ISERROR(SEARCH("Pesquisa de Preços",E5281)))</formula>
    </cfRule>
  </conditionalFormatting>
  <conditionalFormatting sqref="D5285">
    <cfRule type="containsText" dxfId="216" priority="499" operator="containsText" text="Pesquisa de Preços">
      <formula>NOT(ISERROR(SEARCH("Pesquisa de Preços",D5285)))</formula>
    </cfRule>
  </conditionalFormatting>
  <conditionalFormatting sqref="D5286 D5290:D5291">
    <cfRule type="containsText" dxfId="215" priority="498" operator="containsText" text="Pesquisa de Preços">
      <formula>NOT(ISERROR(SEARCH("Pesquisa de Preços",D5286)))</formula>
    </cfRule>
  </conditionalFormatting>
  <conditionalFormatting sqref="D5287">
    <cfRule type="containsText" dxfId="214" priority="497" operator="containsText" text="Pesquisa de Preços">
      <formula>NOT(ISERROR(SEARCH("Pesquisa de Preços",D5287)))</formula>
    </cfRule>
  </conditionalFormatting>
  <conditionalFormatting sqref="D5288">
    <cfRule type="containsText" dxfId="213" priority="496" operator="containsText" text="Pesquisa de Preços">
      <formula>NOT(ISERROR(SEARCH("Pesquisa de Preços",D5288)))</formula>
    </cfRule>
  </conditionalFormatting>
  <conditionalFormatting sqref="D5289">
    <cfRule type="containsText" dxfId="212" priority="495" operator="containsText" text="Pesquisa de Preços">
      <formula>NOT(ISERROR(SEARCH("Pesquisa de Preços",D5289)))</formula>
    </cfRule>
  </conditionalFormatting>
  <conditionalFormatting sqref="E5286 E5290:E5291">
    <cfRule type="containsText" dxfId="211" priority="494" operator="containsText" text="Pesquisa de Preços">
      <formula>NOT(ISERROR(SEARCH("Pesquisa de Preços",E5286)))</formula>
    </cfRule>
  </conditionalFormatting>
  <conditionalFormatting sqref="E5285">
    <cfRule type="containsText" dxfId="210" priority="493" operator="containsText" text="Pesquisa de Preços">
      <formula>NOT(ISERROR(SEARCH("Pesquisa de Preços",E5285)))</formula>
    </cfRule>
  </conditionalFormatting>
  <conditionalFormatting sqref="E5289">
    <cfRule type="containsText" dxfId="209" priority="491" operator="containsText" text="Pesquisa de Preços">
      <formula>NOT(ISERROR(SEARCH("Pesquisa de Preços",E5289)))</formula>
    </cfRule>
  </conditionalFormatting>
  <conditionalFormatting sqref="E5287">
    <cfRule type="containsText" dxfId="208" priority="492" operator="containsText" text="Pesquisa de Preços">
      <formula>NOT(ISERROR(SEARCH("Pesquisa de Preços",E5287)))</formula>
    </cfRule>
  </conditionalFormatting>
  <conditionalFormatting sqref="D5297">
    <cfRule type="containsText" dxfId="207" priority="486" operator="containsText" text="Pesquisa de Preços">
      <formula>NOT(ISERROR(SEARCH("Pesquisa de Preços",D5297)))</formula>
    </cfRule>
  </conditionalFormatting>
  <conditionalFormatting sqref="D5292">
    <cfRule type="containsText" dxfId="206" priority="485" operator="containsText" text="Pesquisa de Preços">
      <formula>NOT(ISERROR(SEARCH("Pesquisa de Preços",D5292)))</formula>
    </cfRule>
  </conditionalFormatting>
  <conditionalFormatting sqref="D5293:D5294">
    <cfRule type="containsText" dxfId="205" priority="484" operator="containsText" text="Pesquisa de Preços">
      <formula>NOT(ISERROR(SEARCH("Pesquisa de Preços",D5293)))</formula>
    </cfRule>
  </conditionalFormatting>
  <conditionalFormatting sqref="E5292">
    <cfRule type="containsText" dxfId="204" priority="482" operator="containsText" text="Pesquisa de Preços">
      <formula>NOT(ISERROR(SEARCH("Pesquisa de Preços",E5292)))</formula>
    </cfRule>
  </conditionalFormatting>
  <conditionalFormatting sqref="E5293 E5297">
    <cfRule type="containsText" dxfId="203" priority="483" operator="containsText" text="Pesquisa de Preços">
      <formula>NOT(ISERROR(SEARCH("Pesquisa de Preços",E5293)))</formula>
    </cfRule>
  </conditionalFormatting>
  <conditionalFormatting sqref="E5294">
    <cfRule type="containsText" dxfId="202" priority="481" operator="containsText" text="Pesquisa de Preços">
      <formula>NOT(ISERROR(SEARCH("Pesquisa de Preços",E5294)))</formula>
    </cfRule>
  </conditionalFormatting>
  <conditionalFormatting sqref="D5303">
    <cfRule type="containsText" dxfId="201" priority="478" operator="containsText" text="Pesquisa de Preços">
      <formula>NOT(ISERROR(SEARCH("Pesquisa de Preços",D5303)))</formula>
    </cfRule>
  </conditionalFormatting>
  <conditionalFormatting sqref="D5298">
    <cfRule type="containsText" dxfId="200" priority="477" operator="containsText" text="Pesquisa de Preços">
      <formula>NOT(ISERROR(SEARCH("Pesquisa de Preços",D5298)))</formula>
    </cfRule>
  </conditionalFormatting>
  <conditionalFormatting sqref="D5299">
    <cfRule type="containsText" dxfId="199" priority="476" operator="containsText" text="Pesquisa de Preços">
      <formula>NOT(ISERROR(SEARCH("Pesquisa de Preços",D5299)))</formula>
    </cfRule>
  </conditionalFormatting>
  <conditionalFormatting sqref="E5298">
    <cfRule type="containsText" dxfId="198" priority="474" operator="containsText" text="Pesquisa de Preços">
      <formula>NOT(ISERROR(SEARCH("Pesquisa de Preços",E5298)))</formula>
    </cfRule>
  </conditionalFormatting>
  <conditionalFormatting sqref="E5299 E5303">
    <cfRule type="containsText" dxfId="197" priority="475" operator="containsText" text="Pesquisa de Preços">
      <formula>NOT(ISERROR(SEARCH("Pesquisa de Preços",E5299)))</formula>
    </cfRule>
  </conditionalFormatting>
  <conditionalFormatting sqref="D5300">
    <cfRule type="containsText" dxfId="196" priority="473" operator="containsText" text="Pesquisa de Preços">
      <formula>NOT(ISERROR(SEARCH("Pesquisa de Preços",D5300)))</formula>
    </cfRule>
  </conditionalFormatting>
  <conditionalFormatting sqref="E5300">
    <cfRule type="containsText" dxfId="195" priority="472" operator="containsText" text="Pesquisa de Preços">
      <formula>NOT(ISERROR(SEARCH("Pesquisa de Preços",E5300)))</formula>
    </cfRule>
  </conditionalFormatting>
  <conditionalFormatting sqref="D5308">
    <cfRule type="containsText" dxfId="194" priority="471" operator="containsText" text="Pesquisa de Preços">
      <formula>NOT(ISERROR(SEARCH("Pesquisa de Preços",D5308)))</formula>
    </cfRule>
  </conditionalFormatting>
  <conditionalFormatting sqref="E5305 E5309">
    <cfRule type="containsText" dxfId="193" priority="466" operator="containsText" text="Pesquisa de Preços">
      <formula>NOT(ISERROR(SEARCH("Pesquisa de Preços",E5305)))</formula>
    </cfRule>
  </conditionalFormatting>
  <conditionalFormatting sqref="E5306">
    <cfRule type="containsText" dxfId="192" priority="464" operator="containsText" text="Pesquisa de Preços">
      <formula>NOT(ISERROR(SEARCH("Pesquisa de Preços",E5306)))</formula>
    </cfRule>
  </conditionalFormatting>
  <conditionalFormatting sqref="D5304">
    <cfRule type="containsText" dxfId="191" priority="470" operator="containsText" text="Pesquisa de Preços">
      <formula>NOT(ISERROR(SEARCH("Pesquisa de Preços",D5304)))</formula>
    </cfRule>
  </conditionalFormatting>
  <conditionalFormatting sqref="D5305 D5309">
    <cfRule type="containsText" dxfId="190" priority="469" operator="containsText" text="Pesquisa de Preços">
      <formula>NOT(ISERROR(SEARCH("Pesquisa de Preços",D5305)))</formula>
    </cfRule>
  </conditionalFormatting>
  <conditionalFormatting sqref="D5307">
    <cfRule type="containsText" dxfId="189" priority="467" operator="containsText" text="Pesquisa de Preços">
      <formula>NOT(ISERROR(SEARCH("Pesquisa de Preços",D5307)))</formula>
    </cfRule>
  </conditionalFormatting>
  <conditionalFormatting sqref="D5306">
    <cfRule type="containsText" dxfId="188" priority="468" operator="containsText" text="Pesquisa de Preços">
      <formula>NOT(ISERROR(SEARCH("Pesquisa de Preços",D5306)))</formula>
    </cfRule>
  </conditionalFormatting>
  <conditionalFormatting sqref="E5304">
    <cfRule type="containsText" dxfId="187" priority="465" operator="containsText" text="Pesquisa de Preços">
      <formula>NOT(ISERROR(SEARCH("Pesquisa de Preços",E5304)))</formula>
    </cfRule>
  </conditionalFormatting>
  <conditionalFormatting sqref="E5307">
    <cfRule type="containsText" dxfId="186" priority="459" operator="containsText" text="Pesquisa de Preços">
      <formula>NOT(ISERROR(SEARCH("Pesquisa de Preços",E5307)))</formula>
    </cfRule>
  </conditionalFormatting>
  <conditionalFormatting sqref="E5311 E5313">
    <cfRule type="containsText" dxfId="185" priority="455" operator="containsText" text="Pesquisa de Preços">
      <formula>NOT(ISERROR(SEARCH("Pesquisa de Preços",E5311)))</formula>
    </cfRule>
  </conditionalFormatting>
  <conditionalFormatting sqref="E5312">
    <cfRule type="containsText" dxfId="184" priority="453" operator="containsText" text="Pesquisa de Preços">
      <formula>NOT(ISERROR(SEARCH("Pesquisa de Preços",E5312)))</formula>
    </cfRule>
  </conditionalFormatting>
  <conditionalFormatting sqref="D5310">
    <cfRule type="containsText" dxfId="183" priority="458" operator="containsText" text="Pesquisa de Preços">
      <formula>NOT(ISERROR(SEARCH("Pesquisa de Preços",D5310)))</formula>
    </cfRule>
  </conditionalFormatting>
  <conditionalFormatting sqref="D5311 D5313">
    <cfRule type="containsText" dxfId="182" priority="457" operator="containsText" text="Pesquisa de Preços">
      <formula>NOT(ISERROR(SEARCH("Pesquisa de Preços",D5311)))</formula>
    </cfRule>
  </conditionalFormatting>
  <conditionalFormatting sqref="D5312">
    <cfRule type="containsText" dxfId="181" priority="456" operator="containsText" text="Pesquisa de Preços">
      <formula>NOT(ISERROR(SEARCH("Pesquisa de Preços",D5312)))</formula>
    </cfRule>
  </conditionalFormatting>
  <conditionalFormatting sqref="E5310">
    <cfRule type="containsText" dxfId="180" priority="454" operator="containsText" text="Pesquisa de Preços">
      <formula>NOT(ISERROR(SEARCH("Pesquisa de Preços",E5310)))</formula>
    </cfRule>
  </conditionalFormatting>
  <conditionalFormatting sqref="E5322 E5324">
    <cfRule type="containsText" dxfId="179" priority="447" operator="containsText" text="Pesquisa de Preços">
      <formula>NOT(ISERROR(SEARCH("Pesquisa de Preços",E5322)))</formula>
    </cfRule>
  </conditionalFormatting>
  <conditionalFormatting sqref="E5323">
    <cfRule type="containsText" dxfId="178" priority="445" operator="containsText" text="Pesquisa de Preços">
      <formula>NOT(ISERROR(SEARCH("Pesquisa de Preços",E5323)))</formula>
    </cfRule>
  </conditionalFormatting>
  <conditionalFormatting sqref="D5321">
    <cfRule type="containsText" dxfId="177" priority="450" operator="containsText" text="Pesquisa de Preços">
      <formula>NOT(ISERROR(SEARCH("Pesquisa de Preços",D5321)))</formula>
    </cfRule>
  </conditionalFormatting>
  <conditionalFormatting sqref="D5322 D5324">
    <cfRule type="containsText" dxfId="176" priority="449" operator="containsText" text="Pesquisa de Preços">
      <formula>NOT(ISERROR(SEARCH("Pesquisa de Preços",D5322)))</formula>
    </cfRule>
  </conditionalFormatting>
  <conditionalFormatting sqref="D5323">
    <cfRule type="containsText" dxfId="175" priority="448" operator="containsText" text="Pesquisa de Preços">
      <formula>NOT(ISERROR(SEARCH("Pesquisa de Preços",D5323)))</formula>
    </cfRule>
  </conditionalFormatting>
  <conditionalFormatting sqref="E5321">
    <cfRule type="containsText" dxfId="174" priority="446" operator="containsText" text="Pesquisa de Preços">
      <formula>NOT(ISERROR(SEARCH("Pesquisa de Preços",E5321)))</formula>
    </cfRule>
  </conditionalFormatting>
  <conditionalFormatting sqref="D5319">
    <cfRule type="containsText" dxfId="173" priority="426" operator="containsText" text="Pesquisa de Preços">
      <formula>NOT(ISERROR(SEARCH("Pesquisa de Preços",D5319)))</formula>
    </cfRule>
  </conditionalFormatting>
  <conditionalFormatting sqref="E5315 E5320">
    <cfRule type="containsText" dxfId="172" priority="434" operator="containsText" text="Pesquisa de Preços">
      <formula>NOT(ISERROR(SEARCH("Pesquisa de Preços",E5315)))</formula>
    </cfRule>
  </conditionalFormatting>
  <conditionalFormatting sqref="D5314">
    <cfRule type="containsText" dxfId="171" priority="438" operator="containsText" text="Pesquisa de Preços">
      <formula>NOT(ISERROR(SEARCH("Pesquisa de Preços",D5314)))</formula>
    </cfRule>
  </conditionalFormatting>
  <conditionalFormatting sqref="D5315 D5320">
    <cfRule type="containsText" dxfId="170" priority="437" operator="containsText" text="Pesquisa de Preços">
      <formula>NOT(ISERROR(SEARCH("Pesquisa de Preços",D5315)))</formula>
    </cfRule>
  </conditionalFormatting>
  <conditionalFormatting sqref="E5317:E5318">
    <cfRule type="containsText" dxfId="169" priority="422" operator="containsText" text="Pesquisa de Preços">
      <formula>NOT(ISERROR(SEARCH("Pesquisa de Preços",E5317)))</formula>
    </cfRule>
  </conditionalFormatting>
  <conditionalFormatting sqref="E5316">
    <cfRule type="containsText" dxfId="168" priority="423" operator="containsText" text="Pesquisa de Preços">
      <formula>NOT(ISERROR(SEARCH("Pesquisa de Preços",E5316)))</formula>
    </cfRule>
  </conditionalFormatting>
  <conditionalFormatting sqref="E5314">
    <cfRule type="containsText" dxfId="167" priority="433" operator="containsText" text="Pesquisa de Preços">
      <formula>NOT(ISERROR(SEARCH("Pesquisa de Preços",E5314)))</formula>
    </cfRule>
  </conditionalFormatting>
  <conditionalFormatting sqref="D5317:D5318">
    <cfRule type="containsText" dxfId="166" priority="424" operator="containsText" text="Pesquisa de Preços">
      <formula>NOT(ISERROR(SEARCH("Pesquisa de Preços",D5317)))</formula>
    </cfRule>
  </conditionalFormatting>
  <conditionalFormatting sqref="D5316">
    <cfRule type="containsText" dxfId="165" priority="425" operator="containsText" text="Pesquisa de Preços">
      <formula>NOT(ISERROR(SEARCH("Pesquisa de Preços",D5316)))</formula>
    </cfRule>
  </conditionalFormatting>
  <conditionalFormatting sqref="D6056">
    <cfRule type="containsText" dxfId="164" priority="408" operator="containsText" text="Pesquisa de Preços">
      <formula>NOT(ISERROR(SEARCH("Pesquisa de Preços",D6056)))</formula>
    </cfRule>
  </conditionalFormatting>
  <conditionalFormatting sqref="D6054:D6055">
    <cfRule type="containsText" dxfId="163" priority="406" operator="containsText" text="Pesquisa de Preços">
      <formula>NOT(ISERROR(SEARCH("Pesquisa de Preços",D6054)))</formula>
    </cfRule>
  </conditionalFormatting>
  <conditionalFormatting sqref="D6053">
    <cfRule type="containsText" dxfId="162" priority="407" operator="containsText" text="Pesquisa de Preços">
      <formula>NOT(ISERROR(SEARCH("Pesquisa de Preços",D6053)))</formula>
    </cfRule>
  </conditionalFormatting>
  <conditionalFormatting sqref="D6051">
    <cfRule type="containsText" dxfId="161" priority="405" operator="containsText" text="Pesquisa de Preços">
      <formula>NOT(ISERROR(SEARCH("Pesquisa de Preços",D6051)))</formula>
    </cfRule>
  </conditionalFormatting>
  <conditionalFormatting sqref="D6065">
    <cfRule type="containsText" dxfId="160" priority="400" operator="containsText" text="Pesquisa de Preços">
      <formula>NOT(ISERROR(SEARCH("Pesquisa de Preços",D6065)))</formula>
    </cfRule>
  </conditionalFormatting>
  <conditionalFormatting sqref="D6059">
    <cfRule type="containsText" dxfId="159" priority="399" operator="containsText" text="Pesquisa de Preços">
      <formula>NOT(ISERROR(SEARCH("Pesquisa de Preços",D6059)))</formula>
    </cfRule>
  </conditionalFormatting>
  <conditionalFormatting sqref="D6057">
    <cfRule type="containsText" dxfId="158" priority="398" operator="containsText" text="Pesquisa de Preços">
      <formula>NOT(ISERROR(SEARCH("Pesquisa de Preços",D6057)))</formula>
    </cfRule>
  </conditionalFormatting>
  <conditionalFormatting sqref="D6060:D6064">
    <cfRule type="containsText" dxfId="157" priority="395" operator="containsText" text="Pesquisa de Preços">
      <formula>NOT(ISERROR(SEARCH("Pesquisa de Preços",D6060)))</formula>
    </cfRule>
  </conditionalFormatting>
  <conditionalFormatting sqref="D6076">
    <cfRule type="containsText" dxfId="156" priority="387" operator="containsText" text="Pesquisa de Preços">
      <formula>NOT(ISERROR(SEARCH("Pesquisa de Preços",D6076)))</formula>
    </cfRule>
  </conditionalFormatting>
  <conditionalFormatting sqref="D6068">
    <cfRule type="containsText" dxfId="155" priority="386" operator="containsText" text="Pesquisa de Preços">
      <formula>NOT(ISERROR(SEARCH("Pesquisa de Preços",D6068)))</formula>
    </cfRule>
  </conditionalFormatting>
  <conditionalFormatting sqref="D6066">
    <cfRule type="containsText" dxfId="154" priority="385" operator="containsText" text="Pesquisa de Preços">
      <formula>NOT(ISERROR(SEARCH("Pesquisa de Preços",D6066)))</formula>
    </cfRule>
  </conditionalFormatting>
  <conditionalFormatting sqref="D6069:D6073">
    <cfRule type="containsText" dxfId="153" priority="382" operator="containsText" text="Pesquisa de Preços">
      <formula>NOT(ISERROR(SEARCH("Pesquisa de Preços",D6069)))</formula>
    </cfRule>
  </conditionalFormatting>
  <conditionalFormatting sqref="D6075">
    <cfRule type="containsText" dxfId="152" priority="381" operator="containsText" text="Pesquisa de Preços">
      <formula>NOT(ISERROR(SEARCH("Pesquisa de Preços",D6075)))</formula>
    </cfRule>
  </conditionalFormatting>
  <conditionalFormatting sqref="D6074">
    <cfRule type="containsText" dxfId="151" priority="378" operator="containsText" text="Pesquisa de Preços">
      <formula>NOT(ISERROR(SEARCH("Pesquisa de Preços",D6074)))</formula>
    </cfRule>
  </conditionalFormatting>
  <conditionalFormatting sqref="D6084">
    <cfRule type="containsText" dxfId="150" priority="365" operator="containsText" text="Pesquisa de Preços">
      <formula>NOT(ISERROR(SEARCH("Pesquisa de Preços",D6084)))</formula>
    </cfRule>
  </conditionalFormatting>
  <conditionalFormatting sqref="D6079">
    <cfRule type="containsText" dxfId="149" priority="364" operator="containsText" text="Pesquisa de Preços">
      <formula>NOT(ISERROR(SEARCH("Pesquisa de Preços",D6079)))</formula>
    </cfRule>
  </conditionalFormatting>
  <conditionalFormatting sqref="D6077">
    <cfRule type="containsText" dxfId="148" priority="363" operator="containsText" text="Pesquisa de Preços">
      <formula>NOT(ISERROR(SEARCH("Pesquisa de Preços",D6077)))</formula>
    </cfRule>
  </conditionalFormatting>
  <conditionalFormatting sqref="D6080:D6083">
    <cfRule type="containsText" dxfId="147" priority="360" operator="containsText" text="Pesquisa de Preços">
      <formula>NOT(ISERROR(SEARCH("Pesquisa de Preços",D6080)))</formula>
    </cfRule>
  </conditionalFormatting>
  <conditionalFormatting sqref="D6092">
    <cfRule type="containsText" dxfId="146" priority="353" operator="containsText" text="Pesquisa de Preços">
      <formula>NOT(ISERROR(SEARCH("Pesquisa de Preços",D6092)))</formula>
    </cfRule>
  </conditionalFormatting>
  <conditionalFormatting sqref="D6087">
    <cfRule type="containsText" dxfId="145" priority="352" operator="containsText" text="Pesquisa de Preços">
      <formula>NOT(ISERROR(SEARCH("Pesquisa de Preços",D6087)))</formula>
    </cfRule>
  </conditionalFormatting>
  <conditionalFormatting sqref="D6085">
    <cfRule type="containsText" dxfId="144" priority="351" operator="containsText" text="Pesquisa de Preços">
      <formula>NOT(ISERROR(SEARCH("Pesquisa de Preços",D6085)))</formula>
    </cfRule>
  </conditionalFormatting>
  <conditionalFormatting sqref="D6088:D6091">
    <cfRule type="containsText" dxfId="143" priority="348" operator="containsText" text="Pesquisa de Preços">
      <formula>NOT(ISERROR(SEARCH("Pesquisa de Preços",D6088)))</formula>
    </cfRule>
  </conditionalFormatting>
  <conditionalFormatting sqref="D6101">
    <cfRule type="containsText" dxfId="142" priority="343" operator="containsText" text="Pesquisa de Preços">
      <formula>NOT(ISERROR(SEARCH("Pesquisa de Preços",D6101)))</formula>
    </cfRule>
  </conditionalFormatting>
  <conditionalFormatting sqref="D6095">
    <cfRule type="containsText" dxfId="141" priority="342" operator="containsText" text="Pesquisa de Preços">
      <formula>NOT(ISERROR(SEARCH("Pesquisa de Preços",D6095)))</formula>
    </cfRule>
  </conditionalFormatting>
  <conditionalFormatting sqref="D6093">
    <cfRule type="containsText" dxfId="140" priority="341" operator="containsText" text="Pesquisa de Preços">
      <formula>NOT(ISERROR(SEARCH("Pesquisa de Preços",D6093)))</formula>
    </cfRule>
  </conditionalFormatting>
  <conditionalFormatting sqref="D6096:D6100">
    <cfRule type="containsText" dxfId="139" priority="338" operator="containsText" text="Pesquisa de Preços">
      <formula>NOT(ISERROR(SEARCH("Pesquisa de Preços",D6096)))</formula>
    </cfRule>
  </conditionalFormatting>
  <conditionalFormatting sqref="D6112">
    <cfRule type="containsText" dxfId="138" priority="331" operator="containsText" text="Pesquisa de Preços">
      <formula>NOT(ISERROR(SEARCH("Pesquisa de Preços",D6112)))</formula>
    </cfRule>
  </conditionalFormatting>
  <conditionalFormatting sqref="D6104">
    <cfRule type="containsText" dxfId="137" priority="330" operator="containsText" text="Pesquisa de Preços">
      <formula>NOT(ISERROR(SEARCH("Pesquisa de Preços",D6104)))</formula>
    </cfRule>
  </conditionalFormatting>
  <conditionalFormatting sqref="D6102">
    <cfRule type="containsText" dxfId="136" priority="329" operator="containsText" text="Pesquisa de Preços">
      <formula>NOT(ISERROR(SEARCH("Pesquisa de Preços",D6102)))</formula>
    </cfRule>
  </conditionalFormatting>
  <conditionalFormatting sqref="D6105:D6109">
    <cfRule type="containsText" dxfId="135" priority="326" operator="containsText" text="Pesquisa de Preços">
      <formula>NOT(ISERROR(SEARCH("Pesquisa de Preços",D6105)))</formula>
    </cfRule>
  </conditionalFormatting>
  <conditionalFormatting sqref="D6110">
    <cfRule type="containsText" dxfId="134" priority="322" operator="containsText" text="Pesquisa de Preços">
      <formula>NOT(ISERROR(SEARCH("Pesquisa de Preços",D6110)))</formula>
    </cfRule>
  </conditionalFormatting>
  <conditionalFormatting sqref="D6111">
    <cfRule type="containsText" dxfId="133" priority="319" operator="containsText" text="Pesquisa de Preços">
      <formula>NOT(ISERROR(SEARCH("Pesquisa de Preços",D6111)))</formula>
    </cfRule>
  </conditionalFormatting>
  <conditionalFormatting sqref="D6136">
    <cfRule type="containsText" dxfId="132" priority="312" operator="containsText" text="Pesquisa de Preços">
      <formula>NOT(ISERROR(SEARCH("Pesquisa de Preços",D6136)))</formula>
    </cfRule>
  </conditionalFormatting>
  <conditionalFormatting sqref="D6115">
    <cfRule type="containsText" dxfId="131" priority="311" operator="containsText" text="Pesquisa de Preços">
      <formula>NOT(ISERROR(SEARCH("Pesquisa de Preços",D6115)))</formula>
    </cfRule>
  </conditionalFormatting>
  <conditionalFormatting sqref="D6113">
    <cfRule type="containsText" dxfId="130" priority="310" operator="containsText" text="Pesquisa de Preços">
      <formula>NOT(ISERROR(SEARCH("Pesquisa de Preços",D6113)))</formula>
    </cfRule>
  </conditionalFormatting>
  <conditionalFormatting sqref="D6116">
    <cfRule type="containsText" dxfId="129" priority="307" operator="containsText" text="Pesquisa de Preços">
      <formula>NOT(ISERROR(SEARCH("Pesquisa de Preços",D6116)))</formula>
    </cfRule>
  </conditionalFormatting>
  <conditionalFormatting sqref="D6152 D6150">
    <cfRule type="containsText" dxfId="128" priority="278" operator="containsText" text="Pesquisa de Preços">
      <formula>NOT(ISERROR(SEARCH("Pesquisa de Preços",D6150)))</formula>
    </cfRule>
  </conditionalFormatting>
  <conditionalFormatting sqref="D6117:D6129">
    <cfRule type="containsText" dxfId="127" priority="304" operator="containsText" text="Pesquisa de Preços">
      <formula>NOT(ISERROR(SEARCH("Pesquisa de Preços",D6117)))</formula>
    </cfRule>
  </conditionalFormatting>
  <conditionalFormatting sqref="D6137">
    <cfRule type="containsText" dxfId="126" priority="292" operator="containsText" text="Pesquisa de Preços">
      <formula>NOT(ISERROR(SEARCH("Pesquisa de Preços",D6137)))</formula>
    </cfRule>
  </conditionalFormatting>
  <conditionalFormatting sqref="D6130:D6135">
    <cfRule type="containsText" dxfId="125" priority="301" operator="containsText" text="Pesquisa de Preços">
      <formula>NOT(ISERROR(SEARCH("Pesquisa de Preços",D6130)))</formula>
    </cfRule>
  </conditionalFormatting>
  <conditionalFormatting sqref="D6141">
    <cfRule type="containsText" dxfId="124" priority="289" operator="containsText" text="Pesquisa de Preços">
      <formula>NOT(ISERROR(SEARCH("Pesquisa de Preços",D6141)))</formula>
    </cfRule>
  </conditionalFormatting>
  <conditionalFormatting sqref="D6149">
    <cfRule type="containsText" dxfId="123" priority="280" operator="containsText" text="Pesquisa de Preços">
      <formula>NOT(ISERROR(SEARCH("Pesquisa de Preços",D6149)))</formula>
    </cfRule>
  </conditionalFormatting>
  <conditionalFormatting sqref="D6153:D6154">
    <cfRule type="containsText" dxfId="122" priority="276" operator="containsText" text="Pesquisa de Preços">
      <formula>NOT(ISERROR(SEARCH("Pesquisa de Preços",D6153)))</formula>
    </cfRule>
  </conditionalFormatting>
  <conditionalFormatting sqref="D6146">
    <cfRule type="containsText" dxfId="121" priority="294" operator="containsText" text="Pesquisa de Preços">
      <formula>NOT(ISERROR(SEARCH("Pesquisa de Preços",D6146)))</formula>
    </cfRule>
  </conditionalFormatting>
  <conditionalFormatting sqref="D6139">
    <cfRule type="containsText" dxfId="120" priority="293" operator="containsText" text="Pesquisa de Preços">
      <formula>NOT(ISERROR(SEARCH("Pesquisa de Preços",D6139)))</formula>
    </cfRule>
  </conditionalFormatting>
  <conditionalFormatting sqref="D6145">
    <cfRule type="containsText" dxfId="119" priority="291" operator="containsText" text="Pesquisa de Preços">
      <formula>NOT(ISERROR(SEARCH("Pesquisa de Preços",D6145)))</formula>
    </cfRule>
  </conditionalFormatting>
  <conditionalFormatting sqref="D6156">
    <cfRule type="containsText" dxfId="118" priority="270" operator="containsText" text="Pesquisa de Preços">
      <formula>NOT(ISERROR(SEARCH("Pesquisa de Preços",D6156)))</formula>
    </cfRule>
  </conditionalFormatting>
  <conditionalFormatting sqref="D6142 D6140">
    <cfRule type="containsText" dxfId="117" priority="290" operator="containsText" text="Pesquisa de Preços">
      <formula>NOT(ISERROR(SEARCH("Pesquisa de Preços",D6140)))</formula>
    </cfRule>
  </conditionalFormatting>
  <conditionalFormatting sqref="D6143:D6144">
    <cfRule type="containsText" dxfId="116" priority="288" operator="containsText" text="Pesquisa de Preços">
      <formula>NOT(ISERROR(SEARCH("Pesquisa de Preços",D6143)))</formula>
    </cfRule>
  </conditionalFormatting>
  <conditionalFormatting sqref="D6147">
    <cfRule type="containsText" dxfId="115" priority="279" operator="containsText" text="Pesquisa de Preços">
      <formula>NOT(ISERROR(SEARCH("Pesquisa de Preços",D6147)))</formula>
    </cfRule>
  </conditionalFormatting>
  <conditionalFormatting sqref="D6151">
    <cfRule type="containsText" dxfId="114" priority="277" operator="containsText" text="Pesquisa de Preços">
      <formula>NOT(ISERROR(SEARCH("Pesquisa de Preços",D6151)))</formula>
    </cfRule>
  </conditionalFormatting>
  <conditionalFormatting sqref="D6155">
    <cfRule type="containsText" dxfId="113" priority="281" operator="containsText" text="Pesquisa de Preços">
      <formula>NOT(ISERROR(SEARCH("Pesquisa de Preços",D6155)))</formula>
    </cfRule>
  </conditionalFormatting>
  <conditionalFormatting sqref="D6160">
    <cfRule type="containsText" dxfId="112" priority="273" operator="containsText" text="Pesquisa de Preços">
      <formula>NOT(ISERROR(SEARCH("Pesquisa de Preços",D6160)))</formula>
    </cfRule>
  </conditionalFormatting>
  <conditionalFormatting sqref="D6159">
    <cfRule type="containsText" dxfId="111" priority="271" operator="containsText" text="Pesquisa de Preços">
      <formula>NOT(ISERROR(SEARCH("Pesquisa de Preços",D6159)))</formula>
    </cfRule>
  </conditionalFormatting>
  <conditionalFormatting sqref="D6158">
    <cfRule type="containsText" dxfId="110" priority="272" operator="containsText" text="Pesquisa de Preços">
      <formula>NOT(ISERROR(SEARCH("Pesquisa de Preços",D6158)))</formula>
    </cfRule>
  </conditionalFormatting>
  <conditionalFormatting sqref="D6174">
    <cfRule type="containsText" dxfId="109" priority="263" operator="containsText" text="Pesquisa de Preços">
      <formula>NOT(ISERROR(SEARCH("Pesquisa de Preços",D6174)))</formula>
    </cfRule>
  </conditionalFormatting>
  <conditionalFormatting sqref="D6163">
    <cfRule type="containsText" dxfId="108" priority="262" operator="containsText" text="Pesquisa de Preços">
      <formula>NOT(ISERROR(SEARCH("Pesquisa de Preços",D6163)))</formula>
    </cfRule>
  </conditionalFormatting>
  <conditionalFormatting sqref="D6161">
    <cfRule type="containsText" dxfId="107" priority="261" operator="containsText" text="Pesquisa de Preços">
      <formula>NOT(ISERROR(SEARCH("Pesquisa de Preços",D6161)))</formula>
    </cfRule>
  </conditionalFormatting>
  <conditionalFormatting sqref="D6164:D6168">
    <cfRule type="containsText" dxfId="106" priority="258" operator="containsText" text="Pesquisa de Preços">
      <formula>NOT(ISERROR(SEARCH("Pesquisa de Preços",D6164)))</formula>
    </cfRule>
  </conditionalFormatting>
  <conditionalFormatting sqref="D6172">
    <cfRule type="containsText" dxfId="105" priority="257" operator="containsText" text="Pesquisa de Preços">
      <formula>NOT(ISERROR(SEARCH("Pesquisa de Preços",D6172)))</formula>
    </cfRule>
  </conditionalFormatting>
  <conditionalFormatting sqref="D6169">
    <cfRule type="containsText" dxfId="104" priority="254" operator="containsText" text="Pesquisa de Preços">
      <formula>NOT(ISERROR(SEARCH("Pesquisa de Preços",D6169)))</formula>
    </cfRule>
  </conditionalFormatting>
  <conditionalFormatting sqref="D6173">
    <cfRule type="containsText" dxfId="103" priority="251" operator="containsText" text="Pesquisa de Preços">
      <formula>NOT(ISERROR(SEARCH("Pesquisa de Preços",D6173)))</formula>
    </cfRule>
  </conditionalFormatting>
  <conditionalFormatting sqref="D6170">
    <cfRule type="containsText" dxfId="102" priority="248" operator="containsText" text="Pesquisa de Preços">
      <formula>NOT(ISERROR(SEARCH("Pesquisa de Preços",D6170)))</formula>
    </cfRule>
  </conditionalFormatting>
  <conditionalFormatting sqref="D6171">
    <cfRule type="containsText" dxfId="101" priority="245" operator="containsText" text="Pesquisa de Preços">
      <formula>NOT(ISERROR(SEARCH("Pesquisa de Preços",D6171)))</formula>
    </cfRule>
  </conditionalFormatting>
  <conditionalFormatting sqref="D6189">
    <cfRule type="containsText" dxfId="100" priority="238" operator="containsText" text="Pesquisa de Preços">
      <formula>NOT(ISERROR(SEARCH("Pesquisa de Preços",D6189)))</formula>
    </cfRule>
  </conditionalFormatting>
  <conditionalFormatting sqref="D6175">
    <cfRule type="containsText" dxfId="99" priority="236" operator="containsText" text="Pesquisa de Preços">
      <formula>NOT(ISERROR(SEARCH("Pesquisa de Preços",D6175)))</formula>
    </cfRule>
  </conditionalFormatting>
  <conditionalFormatting sqref="D6191:D6192">
    <cfRule type="containsText" dxfId="98" priority="226" operator="containsText" text="Pesquisa de Preços">
      <formula>NOT(ISERROR(SEARCH("Pesquisa de Preços",D6191)))</formula>
    </cfRule>
  </conditionalFormatting>
  <conditionalFormatting sqref="E6192">
    <cfRule type="containsText" dxfId="97" priority="223" operator="containsText" text="Pesquisa de Preços">
      <formula>NOT(ISERROR(SEARCH("Pesquisa de Preços",E6192)))</formula>
    </cfRule>
  </conditionalFormatting>
  <conditionalFormatting sqref="D6187:D6188">
    <cfRule type="containsText" dxfId="96" priority="231" operator="containsText" text="Pesquisa de Preços">
      <formula>NOT(ISERROR(SEARCH("Pesquisa de Preços",D6187)))</formula>
    </cfRule>
  </conditionalFormatting>
  <conditionalFormatting sqref="D6198:D6199">
    <cfRule type="containsText" dxfId="95" priority="220" operator="containsText" text="Pesquisa de Preços">
      <formula>NOT(ISERROR(SEARCH("Pesquisa de Preços",D6198)))</formula>
    </cfRule>
  </conditionalFormatting>
  <conditionalFormatting sqref="E6199">
    <cfRule type="containsText" dxfId="94" priority="217" operator="containsText" text="Pesquisa de Preços">
      <formula>NOT(ISERROR(SEARCH("Pesquisa de Preços",E6199)))</formula>
    </cfRule>
  </conditionalFormatting>
  <conditionalFormatting sqref="D6196">
    <cfRule type="containsText" dxfId="93" priority="230" operator="containsText" text="Pesquisa de Preços">
      <formula>NOT(ISERROR(SEARCH("Pesquisa de Preços",D6196)))</formula>
    </cfRule>
  </conditionalFormatting>
  <conditionalFormatting sqref="D6190">
    <cfRule type="containsText" dxfId="92" priority="227" operator="containsText" text="Pesquisa de Preços">
      <formula>NOT(ISERROR(SEARCH("Pesquisa de Preços",D6190)))</formula>
    </cfRule>
  </conditionalFormatting>
  <conditionalFormatting sqref="E6190">
    <cfRule type="containsText" dxfId="91" priority="224" operator="containsText" text="Pesquisa de Preços">
      <formula>NOT(ISERROR(SEARCH("Pesquisa de Preços",E6190)))</formula>
    </cfRule>
  </conditionalFormatting>
  <conditionalFormatting sqref="E6191 E6196">
    <cfRule type="containsText" dxfId="90" priority="225" operator="containsText" text="Pesquisa de Preços">
      <formula>NOT(ISERROR(SEARCH("Pesquisa de Preços",E6191)))</formula>
    </cfRule>
  </conditionalFormatting>
  <conditionalFormatting sqref="D6202">
    <cfRule type="containsText" dxfId="89" priority="222" operator="containsText" text="Pesquisa de Preços">
      <formula>NOT(ISERROR(SEARCH("Pesquisa de Preços",D6202)))</formula>
    </cfRule>
  </conditionalFormatting>
  <conditionalFormatting sqref="D6197">
    <cfRule type="containsText" dxfId="88" priority="221" operator="containsText" text="Pesquisa de Preços">
      <formula>NOT(ISERROR(SEARCH("Pesquisa de Preços",D6197)))</formula>
    </cfRule>
  </conditionalFormatting>
  <conditionalFormatting sqref="E6197">
    <cfRule type="containsText" dxfId="87" priority="218" operator="containsText" text="Pesquisa de Preços">
      <formula>NOT(ISERROR(SEARCH("Pesquisa de Preços",E6197)))</formula>
    </cfRule>
  </conditionalFormatting>
  <conditionalFormatting sqref="E6198 E6202">
    <cfRule type="containsText" dxfId="86" priority="219" operator="containsText" text="Pesquisa de Preços">
      <formula>NOT(ISERROR(SEARCH("Pesquisa de Preços",E6198)))</formula>
    </cfRule>
  </conditionalFormatting>
  <conditionalFormatting sqref="D6178:D6180 D6182">
    <cfRule type="containsText" dxfId="85" priority="209" operator="containsText" text="Pesquisa de Preços">
      <formula>NOT(ISERROR(SEARCH("Pesquisa de Preços",D6178)))</formula>
    </cfRule>
  </conditionalFormatting>
  <conditionalFormatting sqref="D6184">
    <cfRule type="containsText" dxfId="84" priority="208" operator="containsText" text="Pesquisa de Preços">
      <formula>NOT(ISERROR(SEARCH("Pesquisa de Preços",D6184)))</formula>
    </cfRule>
  </conditionalFormatting>
  <conditionalFormatting sqref="D6185">
    <cfRule type="containsText" dxfId="83" priority="207" operator="containsText" text="Pesquisa de Preços">
      <formula>NOT(ISERROR(SEARCH("Pesquisa de Preços",D6185)))</formula>
    </cfRule>
  </conditionalFormatting>
  <conditionalFormatting sqref="E6185:E6186">
    <cfRule type="containsText" dxfId="82" priority="206" operator="containsText" text="Pesquisa de Preços">
      <formula>NOT(ISERROR(SEARCH("Pesquisa de Preços",E6185)))</formula>
    </cfRule>
  </conditionalFormatting>
  <conditionalFormatting sqref="D6177">
    <cfRule type="containsText" dxfId="81" priority="205" operator="containsText" text="Pesquisa de Preços">
      <formula>NOT(ISERROR(SEARCH("Pesquisa de Preços",D6177)))</formula>
    </cfRule>
  </conditionalFormatting>
  <conditionalFormatting sqref="D6183">
    <cfRule type="containsText" dxfId="80" priority="204" operator="containsText" text="Pesquisa de Preços">
      <formula>NOT(ISERROR(SEARCH("Pesquisa de Preços",D6183)))</formula>
    </cfRule>
  </conditionalFormatting>
  <conditionalFormatting sqref="D6181">
    <cfRule type="containsText" dxfId="79" priority="203" operator="containsText" text="Pesquisa de Preços">
      <formula>NOT(ISERROR(SEARCH("Pesquisa de Preços",D6181)))</formula>
    </cfRule>
  </conditionalFormatting>
  <conditionalFormatting sqref="D5989">
    <cfRule type="containsText" dxfId="78" priority="197" operator="containsText" text="Pesquisa de Preços">
      <formula>NOT(ISERROR(SEARCH("Pesquisa de Preços",D5989)))</formula>
    </cfRule>
  </conditionalFormatting>
  <conditionalFormatting sqref="D5985">
    <cfRule type="containsText" dxfId="77" priority="196" operator="containsText" text="Pesquisa de Preços">
      <formula>NOT(ISERROR(SEARCH("Pesquisa de Preços",D5985)))</formula>
    </cfRule>
  </conditionalFormatting>
  <conditionalFormatting sqref="D5983">
    <cfRule type="containsText" dxfId="76" priority="194" operator="containsText" text="Pesquisa de Preços">
      <formula>NOT(ISERROR(SEARCH("Pesquisa de Preços",D5983)))</formula>
    </cfRule>
  </conditionalFormatting>
  <conditionalFormatting sqref="D5971">
    <cfRule type="containsText" dxfId="75" priority="190" operator="containsText" text="Pesquisa de Preços">
      <formula>NOT(ISERROR(SEARCH("Pesquisa de Preços",D5971)))</formula>
    </cfRule>
  </conditionalFormatting>
  <conditionalFormatting sqref="D5961">
    <cfRule type="containsText" dxfId="74" priority="187" operator="containsText" text="Pesquisa de Preços">
      <formula>NOT(ISERROR(SEARCH("Pesquisa de Preços",D5961)))</formula>
    </cfRule>
  </conditionalFormatting>
  <conditionalFormatting sqref="D5962">
    <cfRule type="containsText" dxfId="73" priority="186" operator="containsText" text="Pesquisa de Preços">
      <formula>NOT(ISERROR(SEARCH("Pesquisa de Preços",D5962)))</formula>
    </cfRule>
  </conditionalFormatting>
  <conditionalFormatting sqref="E5971">
    <cfRule type="containsText" dxfId="72" priority="183" operator="containsText" text="Pesquisa de Preços">
      <formula>NOT(ISERROR(SEARCH("Pesquisa de Preços",E5971)))</formula>
    </cfRule>
  </conditionalFormatting>
  <conditionalFormatting sqref="D5982">
    <cfRule type="containsText" dxfId="71" priority="163" operator="containsText" text="Pesquisa de Preços">
      <formula>NOT(ISERROR(SEARCH("Pesquisa de Preços",D5982)))</formula>
    </cfRule>
  </conditionalFormatting>
  <conditionalFormatting sqref="D5972">
    <cfRule type="containsText" dxfId="70" priority="160" operator="containsText" text="Pesquisa de Preços">
      <formula>NOT(ISERROR(SEARCH("Pesquisa de Preços",D5972)))</formula>
    </cfRule>
  </conditionalFormatting>
  <conditionalFormatting sqref="D5973">
    <cfRule type="containsText" dxfId="69" priority="159" operator="containsText" text="Pesquisa de Preços">
      <formula>NOT(ISERROR(SEARCH("Pesquisa de Preços",D5973)))</formula>
    </cfRule>
  </conditionalFormatting>
  <conditionalFormatting sqref="E5982">
    <cfRule type="containsText" dxfId="68" priority="156" operator="containsText" text="Pesquisa de Preços">
      <formula>NOT(ISERROR(SEARCH("Pesquisa de Preços",E5982)))</formula>
    </cfRule>
  </conditionalFormatting>
  <conditionalFormatting sqref="D5994">
    <cfRule type="containsText" dxfId="67" priority="122" operator="containsText" text="Pesquisa de Preços">
      <formula>NOT(ISERROR(SEARCH("Pesquisa de Preços",D5994)))</formula>
    </cfRule>
  </conditionalFormatting>
  <conditionalFormatting sqref="D5990">
    <cfRule type="containsText" dxfId="66" priority="120" operator="containsText" text="Pesquisa de Preços">
      <formula>NOT(ISERROR(SEARCH("Pesquisa de Preços",D5990)))</formula>
    </cfRule>
  </conditionalFormatting>
  <conditionalFormatting sqref="D5999">
    <cfRule type="containsText" dxfId="65" priority="112" operator="containsText" text="Pesquisa de Preços">
      <formula>NOT(ISERROR(SEARCH("Pesquisa de Preços",D5999)))</formula>
    </cfRule>
  </conditionalFormatting>
  <conditionalFormatting sqref="D5995">
    <cfRule type="containsText" dxfId="64" priority="111" operator="containsText" text="Pesquisa de Preços">
      <formula>NOT(ISERROR(SEARCH("Pesquisa de Preços",D5995)))</formula>
    </cfRule>
  </conditionalFormatting>
  <conditionalFormatting sqref="D6015">
    <cfRule type="containsText" dxfId="63" priority="101" operator="containsText" text="Pesquisa de Preços">
      <formula>NOT(ISERROR(SEARCH("Pesquisa de Preços",D6015)))</formula>
    </cfRule>
  </conditionalFormatting>
  <conditionalFormatting sqref="D6010">
    <cfRule type="containsText" dxfId="62" priority="100" operator="containsText" text="Pesquisa de Preços">
      <formula>NOT(ISERROR(SEARCH("Pesquisa de Preços",D6010)))</formula>
    </cfRule>
  </conditionalFormatting>
  <conditionalFormatting sqref="D6008">
    <cfRule type="containsText" dxfId="61" priority="99" operator="containsText" text="Pesquisa de Preços">
      <formula>NOT(ISERROR(SEARCH("Pesquisa de Preços",D6008)))</formula>
    </cfRule>
  </conditionalFormatting>
  <conditionalFormatting sqref="D6011:D6014">
    <cfRule type="containsText" dxfId="60" priority="96" operator="containsText" text="Pesquisa de Preços">
      <formula>NOT(ISERROR(SEARCH("Pesquisa de Preços",D6011)))</formula>
    </cfRule>
  </conditionalFormatting>
  <conditionalFormatting sqref="D6003:D6006">
    <cfRule type="containsText" dxfId="59" priority="95" operator="containsText" text="Pesquisa de Preços">
      <formula>NOT(ISERROR(SEARCH("Pesquisa de Preços",D6003)))</formula>
    </cfRule>
  </conditionalFormatting>
  <conditionalFormatting sqref="D6007">
    <cfRule type="containsText" dxfId="58" priority="90" operator="containsText" text="Pesquisa de Preços">
      <formula>NOT(ISERROR(SEARCH("Pesquisa de Preços",D6007)))</formula>
    </cfRule>
  </conditionalFormatting>
  <conditionalFormatting sqref="D6002">
    <cfRule type="containsText" dxfId="57" priority="89" operator="containsText" text="Pesquisa de Preços">
      <formula>NOT(ISERROR(SEARCH("Pesquisa de Preços",D6002)))</formula>
    </cfRule>
  </conditionalFormatting>
  <conditionalFormatting sqref="D6000">
    <cfRule type="containsText" dxfId="56" priority="88" operator="containsText" text="Pesquisa de Preços">
      <formula>NOT(ISERROR(SEARCH("Pesquisa de Preços",D6000)))</formula>
    </cfRule>
  </conditionalFormatting>
  <conditionalFormatting sqref="D6019 D6022:D6024">
    <cfRule type="containsText" dxfId="55" priority="65" operator="containsText" text="Pesquisa de Preços">
      <formula>NOT(ISERROR(SEARCH("Pesquisa de Preços",D6019)))</formula>
    </cfRule>
  </conditionalFormatting>
  <conditionalFormatting sqref="D6018">
    <cfRule type="containsText" dxfId="54" priority="77" operator="containsText" text="Pesquisa de Preços">
      <formula>NOT(ISERROR(SEARCH("Pesquisa de Preços",D6018)))</formula>
    </cfRule>
  </conditionalFormatting>
  <conditionalFormatting sqref="D6016">
    <cfRule type="containsText" dxfId="53" priority="76" operator="containsText" text="Pesquisa de Preços">
      <formula>NOT(ISERROR(SEARCH("Pesquisa de Preços",D6016)))</formula>
    </cfRule>
  </conditionalFormatting>
  <conditionalFormatting sqref="D6020:D6021">
    <cfRule type="containsText" dxfId="52" priority="61" operator="containsText" text="Pesquisa de Preços">
      <formula>NOT(ISERROR(SEARCH("Pesquisa de Preços",D6020)))</formula>
    </cfRule>
  </conditionalFormatting>
  <conditionalFormatting sqref="D6031">
    <cfRule type="containsText" dxfId="51" priority="51" operator="containsText" text="Pesquisa de Preços">
      <formula>NOT(ISERROR(SEARCH("Pesquisa de Preços",D6031)))</formula>
    </cfRule>
  </conditionalFormatting>
  <conditionalFormatting sqref="D6027">
    <cfRule type="containsText" dxfId="50" priority="50" operator="containsText" text="Pesquisa de Preços">
      <formula>NOT(ISERROR(SEARCH("Pesquisa de Preços",D6027)))</formula>
    </cfRule>
  </conditionalFormatting>
  <conditionalFormatting sqref="D6025">
    <cfRule type="containsText" dxfId="49" priority="49" operator="containsText" text="Pesquisa de Preços">
      <formula>NOT(ISERROR(SEARCH("Pesquisa de Preços",D6025)))</formula>
    </cfRule>
  </conditionalFormatting>
  <conditionalFormatting sqref="D6028:D6030">
    <cfRule type="containsText" dxfId="48" priority="46" operator="containsText" text="Pesquisa de Preços">
      <formula>NOT(ISERROR(SEARCH("Pesquisa de Preços",D6028)))</formula>
    </cfRule>
  </conditionalFormatting>
  <conditionalFormatting sqref="D6037">
    <cfRule type="containsText" dxfId="47" priority="38" operator="containsText" text="Pesquisa de Preços">
      <formula>NOT(ISERROR(SEARCH("Pesquisa de Preços",D6037)))</formula>
    </cfRule>
  </conditionalFormatting>
  <conditionalFormatting sqref="D6032">
    <cfRule type="containsText" dxfId="46" priority="36" operator="containsText" text="Pesquisa de Preços">
      <formula>NOT(ISERROR(SEARCH("Pesquisa de Preços",D6032)))</formula>
    </cfRule>
  </conditionalFormatting>
  <conditionalFormatting sqref="D6036">
    <cfRule type="containsText" dxfId="45" priority="33" operator="containsText" text="Pesquisa de Preços">
      <formula>NOT(ISERROR(SEARCH("Pesquisa de Preços",D6036)))</formula>
    </cfRule>
  </conditionalFormatting>
  <conditionalFormatting sqref="D6034:D6035">
    <cfRule type="containsText" dxfId="44" priority="30" operator="containsText" text="Pesquisa de Preços">
      <formula>NOT(ISERROR(SEARCH("Pesquisa de Preços",D6034)))</formula>
    </cfRule>
  </conditionalFormatting>
  <conditionalFormatting sqref="D6044">
    <cfRule type="containsText" dxfId="43" priority="20" operator="containsText" text="Pesquisa de Preços">
      <formula>NOT(ISERROR(SEARCH("Pesquisa de Preços",D6044)))</formula>
    </cfRule>
  </conditionalFormatting>
  <conditionalFormatting sqref="D6040">
    <cfRule type="containsText" dxfId="42" priority="19" operator="containsText" text="Pesquisa de Preços">
      <formula>NOT(ISERROR(SEARCH("Pesquisa de Preços",D6040)))</formula>
    </cfRule>
  </conditionalFormatting>
  <conditionalFormatting sqref="D6038">
    <cfRule type="containsText" dxfId="41" priority="18" operator="containsText" text="Pesquisa de Preços">
      <formula>NOT(ISERROR(SEARCH("Pesquisa de Preços",D6038)))</formula>
    </cfRule>
  </conditionalFormatting>
  <conditionalFormatting sqref="D6041:D6043">
    <cfRule type="containsText" dxfId="40" priority="15" operator="containsText" text="Pesquisa de Preços">
      <formula>NOT(ISERROR(SEARCH("Pesquisa de Preços",D6041)))</formula>
    </cfRule>
  </conditionalFormatting>
  <conditionalFormatting sqref="D6050">
    <cfRule type="containsText" dxfId="39" priority="5" operator="containsText" text="Pesquisa de Preços">
      <formula>NOT(ISERROR(SEARCH("Pesquisa de Preços",D6050)))</formula>
    </cfRule>
  </conditionalFormatting>
  <conditionalFormatting sqref="D6048:D6049">
    <cfRule type="containsText" dxfId="38" priority="3" operator="containsText" text="Pesquisa de Preços">
      <formula>NOT(ISERROR(SEARCH("Pesquisa de Preços",D6048)))</formula>
    </cfRule>
  </conditionalFormatting>
  <conditionalFormatting sqref="D6047">
    <cfRule type="containsText" dxfId="37" priority="4" operator="containsText" text="Pesquisa de Preços">
      <formula>NOT(ISERROR(SEARCH("Pesquisa de Preços",D6047)))</formula>
    </cfRule>
  </conditionalFormatting>
  <conditionalFormatting sqref="D6045">
    <cfRule type="containsText" dxfId="36" priority="2" operator="containsText" text="Pesquisa de Preços">
      <formula>NOT(ISERROR(SEARCH("Pesquisa de Preços",D6045)))</formula>
    </cfRule>
  </conditionalFormatting>
  <conditionalFormatting sqref="D4616">
    <cfRule type="containsText" dxfId="35" priority="1" operator="containsText" text="Pesquisa de Preços">
      <formula>NOT(ISERROR(SEARCH("Pesquisa de Preços",D4616)))</formula>
    </cfRule>
  </conditionalFormatting>
  <hyperlinks>
    <hyperlink ref="C462" r:id="rId1"/>
    <hyperlink ref="C496" r:id="rId2"/>
    <hyperlink ref="C495" r:id="rId3"/>
    <hyperlink ref="C480" r:id="rId4"/>
    <hyperlink ref="C481" r:id="rId5"/>
    <hyperlink ref="C4525" r:id="rId6"/>
    <hyperlink ref="C4592" r:id="rId7"/>
    <hyperlink ref="C4571" r:id="rId8"/>
  </hyperlinks>
  <printOptions horizontalCentered="1"/>
  <pageMargins left="0.19685039370078741" right="0.19685039370078741" top="0.98425196850393704" bottom="0.59055118110236227" header="0.19685039370078741" footer="0.19685039370078741"/>
  <pageSetup paperSize="9" scale="65" fitToHeight="0" orientation="landscape" horizontalDpi="4294967295" verticalDpi="4294967295" r:id="rId9"/>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2" manualBreakCount="2">
    <brk id="3578" max="16383" man="1"/>
    <brk id="4994" max="16383" man="1"/>
  </rowBreaks>
  <drawing r:id="rId10"/>
  <legacyDrawingHF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pageSetUpPr fitToPage="1"/>
  </sheetPr>
  <dimension ref="A1:I624"/>
  <sheetViews>
    <sheetView zoomScale="80" zoomScaleNormal="80" workbookViewId="0">
      <pane ySplit="5" topLeftCell="A6" activePane="bottomLeft" state="frozen"/>
      <selection pane="bottomLeft" activeCell="D4" sqref="D4"/>
    </sheetView>
  </sheetViews>
  <sheetFormatPr defaultRowHeight="15" x14ac:dyDescent="0.25"/>
  <cols>
    <col min="1" max="1" width="46.85546875" customWidth="1"/>
    <col min="2" max="2" width="65.7109375" style="5"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1" t="str">
        <f>Composições!A1</f>
        <v xml:space="preserve"> Substituição do carpete azul royal em partes do Edifício Principal do Senado Federal.</v>
      </c>
      <c r="B1" s="105"/>
      <c r="C1" s="81"/>
      <c r="D1" s="81"/>
      <c r="E1" s="81"/>
      <c r="F1" s="81"/>
      <c r="G1" s="81"/>
      <c r="H1" s="82"/>
      <c r="I1" s="83"/>
    </row>
    <row r="2" spans="1:9" ht="24.95" customHeight="1" x14ac:dyDescent="0.25">
      <c r="A2" s="10" t="s">
        <v>1483</v>
      </c>
      <c r="B2" s="11"/>
      <c r="C2" s="11"/>
      <c r="D2" s="11"/>
      <c r="E2" s="11"/>
      <c r="F2" s="11"/>
      <c r="G2" s="11"/>
      <c r="H2" s="13"/>
      <c r="I2" s="83"/>
    </row>
    <row r="3" spans="1:9" ht="20.100000000000001" customHeight="1" x14ac:dyDescent="0.25">
      <c r="A3" s="14" t="str">
        <f>Composições!A3</f>
        <v>Data: Agosto de 2021</v>
      </c>
      <c r="B3" s="14"/>
      <c r="C3" s="14"/>
      <c r="D3" s="14"/>
      <c r="E3" s="14"/>
      <c r="F3" s="14"/>
      <c r="G3" s="14"/>
      <c r="H3" s="14"/>
      <c r="I3" s="84"/>
    </row>
    <row r="4" spans="1:9" ht="15.75" thickBot="1" x14ac:dyDescent="0.3">
      <c r="A4" s="85"/>
      <c r="B4" s="86"/>
      <c r="C4" s="86"/>
      <c r="D4" s="86"/>
      <c r="E4" s="86"/>
      <c r="F4" s="86"/>
      <c r="G4" s="86"/>
      <c r="H4" s="87"/>
      <c r="I4" s="88"/>
    </row>
    <row r="5" spans="1:9" ht="30.75" thickBot="1" x14ac:dyDescent="0.3">
      <c r="A5" s="20" t="s">
        <v>2</v>
      </c>
      <c r="B5" s="21" t="s">
        <v>3</v>
      </c>
      <c r="C5" s="21" t="s">
        <v>4</v>
      </c>
      <c r="D5" s="21" t="s">
        <v>5</v>
      </c>
      <c r="E5" s="21" t="s">
        <v>6</v>
      </c>
      <c r="F5" s="21" t="s">
        <v>7</v>
      </c>
      <c r="G5" s="21" t="s">
        <v>1484</v>
      </c>
      <c r="H5" s="24"/>
      <c r="I5" s="89" t="s">
        <v>9</v>
      </c>
    </row>
    <row r="6" spans="1:9" ht="26.25" hidden="1" customHeight="1" thickBot="1" x14ac:dyDescent="0.3">
      <c r="A6" s="209" t="s">
        <v>109</v>
      </c>
      <c r="B6" s="166" t="s">
        <v>558</v>
      </c>
      <c r="C6" s="90" t="s">
        <v>122</v>
      </c>
      <c r="D6" s="91"/>
      <c r="E6" s="71" t="s">
        <v>558</v>
      </c>
      <c r="F6" s="71" t="str">
        <f>IF(ISNUMBER(E6),E6*$D6,"")</f>
        <v/>
      </c>
      <c r="G6" s="72"/>
      <c r="H6" s="30"/>
      <c r="I6" s="156">
        <v>0</v>
      </c>
    </row>
    <row r="7" spans="1:9" ht="15.75" hidden="1" thickBot="1" x14ac:dyDescent="0.3">
      <c r="A7" s="209"/>
      <c r="B7" s="32" t="s">
        <v>558</v>
      </c>
      <c r="C7" s="32"/>
      <c r="D7" s="92"/>
      <c r="E7" s="31" t="s">
        <v>558</v>
      </c>
      <c r="F7" s="31" t="str">
        <f>IF(ISNUMBER(E7),E7*$D7,"")</f>
        <v/>
      </c>
      <c r="G7" s="35"/>
      <c r="H7" s="31"/>
      <c r="I7" s="156">
        <v>0</v>
      </c>
    </row>
    <row r="8" spans="1:9" ht="15.75" hidden="1" thickBot="1" x14ac:dyDescent="0.3">
      <c r="A8" s="209"/>
      <c r="B8" s="36" t="s">
        <v>115</v>
      </c>
      <c r="C8" s="36" t="s">
        <v>122</v>
      </c>
      <c r="D8" s="37">
        <v>1.07</v>
      </c>
      <c r="E8" s="31">
        <v>85.5</v>
      </c>
      <c r="F8" s="34">
        <f>IF(ISNUMBER(E8),E8*$D8,"")</f>
        <v>91.484999999999999</v>
      </c>
      <c r="G8" s="45">
        <f>SUM(F8:F12)</f>
        <v>536.51921643349999</v>
      </c>
      <c r="H8" s="46"/>
      <c r="I8" s="156">
        <v>0</v>
      </c>
    </row>
    <row r="9" spans="1:9" ht="15.75" hidden="1" thickBot="1" x14ac:dyDescent="0.3">
      <c r="A9" s="209"/>
      <c r="B9" s="36" t="s">
        <v>116</v>
      </c>
      <c r="C9" s="36" t="s">
        <v>938</v>
      </c>
      <c r="D9" s="37">
        <v>482.96</v>
      </c>
      <c r="E9" s="34">
        <v>0.52249999999999996</v>
      </c>
      <c r="F9" s="34">
        <f>IF(ISNUMBER(E9),E9*$D9,"")</f>
        <v>252.34659999999997</v>
      </c>
      <c r="G9" s="45"/>
      <c r="H9" s="46"/>
      <c r="I9" s="156">
        <v>0</v>
      </c>
    </row>
    <row r="10" spans="1:9" ht="15.75" hidden="1" thickBot="1" x14ac:dyDescent="0.3">
      <c r="A10" s="209"/>
      <c r="B10" s="36" t="s">
        <v>1485</v>
      </c>
      <c r="C10" s="36" t="s">
        <v>742</v>
      </c>
      <c r="D10" s="37">
        <v>8.57</v>
      </c>
      <c r="E10" s="31">
        <v>16.729499999999998</v>
      </c>
      <c r="F10" s="34">
        <f>IF(ISNUMBER(E10),E10*$D10,"")</f>
        <v>143.371815</v>
      </c>
      <c r="G10" s="45"/>
      <c r="H10" s="46"/>
      <c r="I10" s="156">
        <v>0</v>
      </c>
    </row>
    <row r="11" spans="1:9" ht="51.75" hidden="1" thickBot="1" x14ac:dyDescent="0.3">
      <c r="A11" s="209"/>
      <c r="B11" s="36" t="s">
        <v>3617</v>
      </c>
      <c r="C11" s="36" t="s">
        <v>122</v>
      </c>
      <c r="D11" s="37">
        <f>ROUND(1*D8,4)</f>
        <v>1.07</v>
      </c>
      <c r="E11" s="31">
        <v>6.0919690499999994</v>
      </c>
      <c r="F11" s="34">
        <f>IF(ISNUMBER(E11),E11*$D11,"")</f>
        <v>6.5184068835</v>
      </c>
      <c r="G11" s="45"/>
      <c r="H11" s="46"/>
      <c r="I11" s="156">
        <v>0</v>
      </c>
    </row>
    <row r="12" spans="1:9" ht="39" hidden="1" thickBot="1" x14ac:dyDescent="0.3">
      <c r="A12" s="209"/>
      <c r="B12" s="36" t="s">
        <v>3616</v>
      </c>
      <c r="C12" s="47" t="s">
        <v>124</v>
      </c>
      <c r="D12" s="37">
        <f>ROUND(D8*20,4)</f>
        <v>21.4</v>
      </c>
      <c r="E12" s="31">
        <v>1.9998782499999996</v>
      </c>
      <c r="F12" s="34">
        <f>IF(ISNUMBER(E12),E12*$D12,"")</f>
        <v>42.797394549999993</v>
      </c>
      <c r="G12" s="45"/>
      <c r="H12" s="46"/>
      <c r="I12" s="156">
        <v>0</v>
      </c>
    </row>
    <row r="13" spans="1:9" ht="15.75" hidden="1" thickBot="1" x14ac:dyDescent="0.3">
      <c r="A13" s="209"/>
      <c r="B13" s="51"/>
      <c r="C13" s="47"/>
      <c r="D13" s="37"/>
      <c r="E13" s="31" t="s">
        <v>558</v>
      </c>
      <c r="F13" s="34" t="str">
        <f>IF(ISNUMBER(E13),E13*$D13,"")</f>
        <v/>
      </c>
      <c r="G13" s="45"/>
      <c r="H13" s="46"/>
      <c r="I13" s="156">
        <v>0</v>
      </c>
    </row>
    <row r="14" spans="1:9" ht="15.75" hidden="1" thickBot="1" x14ac:dyDescent="0.3">
      <c r="A14" s="209"/>
      <c r="B14" s="48" t="s">
        <v>794</v>
      </c>
      <c r="C14" s="47"/>
      <c r="D14" s="37"/>
      <c r="E14" s="31" t="s">
        <v>558</v>
      </c>
      <c r="F14" s="34" t="str">
        <f>IF(ISNUMBER(E14),E14*$D14,"")</f>
        <v/>
      </c>
      <c r="G14" s="45"/>
      <c r="H14" s="46"/>
      <c r="I14" s="156">
        <v>0</v>
      </c>
    </row>
    <row r="15" spans="1:9" ht="15.75" hidden="1" thickBot="1" x14ac:dyDescent="0.3">
      <c r="A15" s="211"/>
      <c r="B15" s="36" t="s">
        <v>558</v>
      </c>
      <c r="C15" s="36"/>
      <c r="D15" s="93"/>
      <c r="E15" s="31" t="s">
        <v>558</v>
      </c>
      <c r="F15" s="34" t="str">
        <f>IF(ISNUMBER(E15),E15*$D15,"")</f>
        <v/>
      </c>
      <c r="G15" s="35"/>
      <c r="H15" s="31"/>
      <c r="I15" s="156">
        <v>0</v>
      </c>
    </row>
    <row r="16" spans="1:9" ht="15.75" hidden="1" customHeight="1" thickBot="1" x14ac:dyDescent="0.3">
      <c r="A16" s="210" t="s">
        <v>438</v>
      </c>
      <c r="B16" s="41" t="s">
        <v>558</v>
      </c>
      <c r="C16" s="26" t="s">
        <v>292</v>
      </c>
      <c r="D16" s="94"/>
      <c r="E16" s="42" t="s">
        <v>558</v>
      </c>
      <c r="F16" s="42" t="str">
        <f>IF(ISNUMBER(E16),E16*$D16,"")</f>
        <v/>
      </c>
      <c r="G16" s="29"/>
      <c r="H16" s="30"/>
      <c r="I16" s="156">
        <v>0</v>
      </c>
    </row>
    <row r="17" spans="1:9" ht="15.75" hidden="1" thickBot="1" x14ac:dyDescent="0.3">
      <c r="A17" s="209"/>
      <c r="B17" s="32" t="s">
        <v>558</v>
      </c>
      <c r="C17" s="32"/>
      <c r="D17" s="92"/>
      <c r="E17" s="43" t="s">
        <v>558</v>
      </c>
      <c r="F17" s="31" t="str">
        <f>IF(ISNUMBER(E17),E17*$D17,"")</f>
        <v/>
      </c>
      <c r="G17" s="35"/>
      <c r="H17" s="31"/>
      <c r="I17" s="156">
        <v>0</v>
      </c>
    </row>
    <row r="18" spans="1:9" ht="26.25" hidden="1" thickBot="1" x14ac:dyDescent="0.3">
      <c r="A18" s="209"/>
      <c r="B18" s="36" t="s">
        <v>108</v>
      </c>
      <c r="C18" s="36" t="s">
        <v>742</v>
      </c>
      <c r="D18" s="37">
        <v>2.2700000000000001E-2</v>
      </c>
      <c r="E18" s="31">
        <v>17.3185</v>
      </c>
      <c r="F18" s="34">
        <f>IF(ISNUMBER(E18),E18*$D18,"")</f>
        <v>0.39312995000000001</v>
      </c>
      <c r="G18" s="45">
        <f>SUM(F18:F19)</f>
        <v>3.9981529</v>
      </c>
      <c r="H18" s="46"/>
      <c r="I18" s="156">
        <v>0</v>
      </c>
    </row>
    <row r="19" spans="1:9" ht="15.75" hidden="1" thickBot="1" x14ac:dyDescent="0.3">
      <c r="A19" s="209"/>
      <c r="B19" s="36" t="s">
        <v>1486</v>
      </c>
      <c r="C19" s="36" t="s">
        <v>742</v>
      </c>
      <c r="D19" s="37">
        <v>0.16209999999999999</v>
      </c>
      <c r="E19" s="31">
        <v>22.2395</v>
      </c>
      <c r="F19" s="34">
        <f>IF(ISNUMBER(E19),E19*$D19,"")</f>
        <v>3.6050229499999999</v>
      </c>
      <c r="G19" s="45"/>
      <c r="H19" s="46"/>
      <c r="I19" s="156">
        <v>0</v>
      </c>
    </row>
    <row r="20" spans="1:9" ht="15.75" hidden="1" thickBot="1" x14ac:dyDescent="0.3">
      <c r="A20" s="211"/>
      <c r="B20" s="36" t="s">
        <v>558</v>
      </c>
      <c r="C20" s="36"/>
      <c r="D20" s="93"/>
      <c r="E20" s="31" t="s">
        <v>558</v>
      </c>
      <c r="F20" s="31" t="str">
        <f>IF(ISNUMBER(E20),E20*$D20,"")</f>
        <v/>
      </c>
      <c r="G20" s="35"/>
      <c r="H20" s="31"/>
      <c r="I20" s="156">
        <v>0</v>
      </c>
    </row>
    <row r="21" spans="1:9" ht="15.75" hidden="1" customHeight="1" thickBot="1" x14ac:dyDescent="0.3">
      <c r="A21" s="210" t="s">
        <v>520</v>
      </c>
      <c r="B21" s="41" t="s">
        <v>558</v>
      </c>
      <c r="C21" s="26" t="s">
        <v>513</v>
      </c>
      <c r="D21" s="94"/>
      <c r="E21" s="42" t="s">
        <v>558</v>
      </c>
      <c r="F21" s="42" t="str">
        <f>IF(ISNUMBER(E21),E21*$D21,"")</f>
        <v/>
      </c>
      <c r="G21" s="29"/>
      <c r="H21" s="30"/>
      <c r="I21" s="156">
        <v>0</v>
      </c>
    </row>
    <row r="22" spans="1:9" ht="15.75" hidden="1" thickBot="1" x14ac:dyDescent="0.3">
      <c r="A22" s="209"/>
      <c r="B22" s="32" t="s">
        <v>558</v>
      </c>
      <c r="C22" s="32"/>
      <c r="D22" s="92"/>
      <c r="E22" s="43" t="s">
        <v>558</v>
      </c>
      <c r="F22" s="31" t="str">
        <f>IF(ISNUMBER(E22),E22*$D22,"")</f>
        <v/>
      </c>
      <c r="G22" s="35"/>
      <c r="H22" s="31"/>
      <c r="I22" s="156">
        <v>0</v>
      </c>
    </row>
    <row r="23" spans="1:9" ht="26.25" hidden="1" thickBot="1" x14ac:dyDescent="0.3">
      <c r="A23" s="209"/>
      <c r="B23" s="36" t="s">
        <v>1487</v>
      </c>
      <c r="C23" s="36" t="s">
        <v>292</v>
      </c>
      <c r="D23" s="37">
        <v>0.65</v>
      </c>
      <c r="E23" s="34">
        <v>1.3109999999999999</v>
      </c>
      <c r="F23" s="34">
        <f>IF(ISNUMBER(E23),E23*$D23,"")</f>
        <v>0.85214999999999996</v>
      </c>
      <c r="G23" s="45">
        <f>SUM(F23:F25)</f>
        <v>2.5598605000000001</v>
      </c>
      <c r="H23" s="46"/>
      <c r="I23" s="156">
        <v>0</v>
      </c>
    </row>
    <row r="24" spans="1:9" ht="26.25" hidden="1" thickBot="1" x14ac:dyDescent="0.3">
      <c r="A24" s="209"/>
      <c r="B24" s="36" t="s">
        <v>108</v>
      </c>
      <c r="C24" s="36" t="s">
        <v>742</v>
      </c>
      <c r="D24" s="37">
        <v>0.01</v>
      </c>
      <c r="E24" s="31">
        <v>17.3185</v>
      </c>
      <c r="F24" s="34">
        <f>IF(ISNUMBER(E24),E24*$D24,"")</f>
        <v>0.17318500000000001</v>
      </c>
      <c r="G24" s="45"/>
      <c r="H24" s="46"/>
      <c r="I24" s="156">
        <v>0</v>
      </c>
    </row>
    <row r="25" spans="1:9" ht="15.75" hidden="1" thickBot="1" x14ac:dyDescent="0.3">
      <c r="A25" s="209"/>
      <c r="B25" s="36" t="s">
        <v>1486</v>
      </c>
      <c r="C25" s="36" t="s">
        <v>742</v>
      </c>
      <c r="D25" s="37">
        <v>6.9000000000000006E-2</v>
      </c>
      <c r="E25" s="31">
        <v>22.2395</v>
      </c>
      <c r="F25" s="34">
        <f>IF(ISNUMBER(E25),E25*$D25,"")</f>
        <v>1.5345255000000002</v>
      </c>
      <c r="G25" s="45"/>
      <c r="H25" s="46"/>
      <c r="I25" s="156">
        <v>0</v>
      </c>
    </row>
    <row r="26" spans="1:9" ht="15.75" hidden="1" thickBot="1" x14ac:dyDescent="0.3">
      <c r="A26" s="211"/>
      <c r="B26" s="36" t="s">
        <v>558</v>
      </c>
      <c r="C26" s="36"/>
      <c r="D26" s="93"/>
      <c r="E26" s="31" t="s">
        <v>558</v>
      </c>
      <c r="F26" s="31" t="str">
        <f>IF(ISNUMBER(E26),E26*$D26,"")</f>
        <v/>
      </c>
      <c r="G26" s="35"/>
      <c r="H26" s="31"/>
      <c r="I26" s="156">
        <v>0</v>
      </c>
    </row>
    <row r="27" spans="1:9" ht="15.75" hidden="1" customHeight="1" thickBot="1" x14ac:dyDescent="0.3">
      <c r="A27" s="210" t="s">
        <v>3774</v>
      </c>
      <c r="B27" s="41" t="s">
        <v>558</v>
      </c>
      <c r="C27" s="26" t="s">
        <v>1034</v>
      </c>
      <c r="D27" s="94"/>
      <c r="E27" s="42" t="s">
        <v>558</v>
      </c>
      <c r="F27" s="42" t="str">
        <f>IF(ISNUMBER(E27),E27*$D27,"")</f>
        <v/>
      </c>
      <c r="G27" s="29"/>
      <c r="H27" s="30"/>
      <c r="I27" s="156">
        <v>0</v>
      </c>
    </row>
    <row r="28" spans="1:9" ht="15.75" hidden="1" thickBot="1" x14ac:dyDescent="0.3">
      <c r="A28" s="209"/>
      <c r="B28" s="32" t="s">
        <v>558</v>
      </c>
      <c r="C28" s="32"/>
      <c r="D28" s="92"/>
      <c r="E28" s="43" t="s">
        <v>558</v>
      </c>
      <c r="F28" s="31" t="str">
        <f>IF(ISNUMBER(E28),E28*$D28,"")</f>
        <v/>
      </c>
      <c r="G28" s="35"/>
      <c r="H28" s="31"/>
      <c r="I28" s="156">
        <v>0</v>
      </c>
    </row>
    <row r="29" spans="1:9" ht="26.25" hidden="1" thickBot="1" x14ac:dyDescent="0.3">
      <c r="A29" s="209"/>
      <c r="B29" s="36" t="s">
        <v>1488</v>
      </c>
      <c r="C29" s="36" t="s">
        <v>1034</v>
      </c>
      <c r="D29" s="37">
        <v>1.1459999999999999</v>
      </c>
      <c r="E29" s="34">
        <v>45.305499999999995</v>
      </c>
      <c r="F29" s="34">
        <f>IF(ISNUMBER(E29),E29*$D29,"")</f>
        <v>51.92010299999999</v>
      </c>
      <c r="G29" s="45">
        <f>SUM(F29:F36)</f>
        <v>103.190425</v>
      </c>
      <c r="H29" s="46"/>
      <c r="I29" s="156">
        <v>0</v>
      </c>
    </row>
    <row r="30" spans="1:9" ht="26.25" hidden="1" thickBot="1" x14ac:dyDescent="0.3">
      <c r="A30" s="209"/>
      <c r="B30" s="36" t="s">
        <v>3792</v>
      </c>
      <c r="C30" s="36" t="s">
        <v>513</v>
      </c>
      <c r="D30" s="37">
        <v>0.16600000000000001</v>
      </c>
      <c r="E30" s="34">
        <v>6.8874999999999993</v>
      </c>
      <c r="F30" s="34">
        <f>IF(ISNUMBER(E30),E30*$D30,"")</f>
        <v>1.1433249999999999</v>
      </c>
      <c r="G30" s="45"/>
      <c r="H30" s="46"/>
      <c r="I30" s="156">
        <v>0</v>
      </c>
    </row>
    <row r="31" spans="1:9" ht="26.25" hidden="1" thickBot="1" x14ac:dyDescent="0.3">
      <c r="A31" s="209"/>
      <c r="B31" s="36" t="s">
        <v>3794</v>
      </c>
      <c r="C31" s="36" t="s">
        <v>513</v>
      </c>
      <c r="D31" s="37">
        <v>6.952</v>
      </c>
      <c r="E31" s="34">
        <v>2.4129999999999998</v>
      </c>
      <c r="F31" s="34">
        <f>IF(ISNUMBER(E31),E31*$D31,"")</f>
        <v>16.775175999999998</v>
      </c>
      <c r="G31" s="45"/>
      <c r="H31" s="46"/>
      <c r="I31" s="156">
        <v>0</v>
      </c>
    </row>
    <row r="32" spans="1:9" ht="15.75" hidden="1" thickBot="1" x14ac:dyDescent="0.3">
      <c r="A32" s="209"/>
      <c r="B32" s="36" t="s">
        <v>1489</v>
      </c>
      <c r="C32" s="36" t="s">
        <v>938</v>
      </c>
      <c r="D32" s="37">
        <v>0.159</v>
      </c>
      <c r="E32" s="34">
        <v>19.227999999999998</v>
      </c>
      <c r="F32" s="34">
        <f>IF(ISNUMBER(E32),E32*$D32,"")</f>
        <v>3.0572519999999996</v>
      </c>
      <c r="G32" s="45"/>
      <c r="H32" s="46"/>
      <c r="I32" s="156">
        <v>0</v>
      </c>
    </row>
    <row r="33" spans="1:9" ht="15.75" hidden="1" thickBot="1" x14ac:dyDescent="0.3">
      <c r="A33" s="209"/>
      <c r="B33" s="36" t="s">
        <v>130</v>
      </c>
      <c r="C33" s="36" t="s">
        <v>742</v>
      </c>
      <c r="D33" s="37">
        <v>0.20200000000000001</v>
      </c>
      <c r="E33" s="31">
        <v>18.962</v>
      </c>
      <c r="F33" s="34">
        <f>IF(ISNUMBER(E33),E33*$D33,"")</f>
        <v>3.8303240000000001</v>
      </c>
      <c r="G33" s="45"/>
      <c r="H33" s="46"/>
      <c r="I33" s="156">
        <v>0</v>
      </c>
    </row>
    <row r="34" spans="1:9" ht="15.75" hidden="1" thickBot="1" x14ac:dyDescent="0.3">
      <c r="A34" s="209"/>
      <c r="B34" s="36" t="s">
        <v>78</v>
      </c>
      <c r="C34" s="36" t="s">
        <v>742</v>
      </c>
      <c r="D34" s="37">
        <v>1.012</v>
      </c>
      <c r="E34" s="31">
        <v>22.495999999999999</v>
      </c>
      <c r="F34" s="34">
        <f>IF(ISNUMBER(E34),E34*$D34,"")</f>
        <v>22.765951999999999</v>
      </c>
      <c r="G34" s="45"/>
      <c r="H34" s="46"/>
      <c r="I34" s="156">
        <v>0</v>
      </c>
    </row>
    <row r="35" spans="1:9" ht="26.25" hidden="1" thickBot="1" x14ac:dyDescent="0.3">
      <c r="A35" s="209"/>
      <c r="B35" s="36" t="s">
        <v>1490</v>
      </c>
      <c r="C35" s="36" t="s">
        <v>982</v>
      </c>
      <c r="D35" s="37">
        <v>0.05</v>
      </c>
      <c r="E35" s="31">
        <v>19.9025</v>
      </c>
      <c r="F35" s="31">
        <f>IF(ISNUMBER(E35),E35*$D35,"")</f>
        <v>0.99512500000000004</v>
      </c>
      <c r="G35" s="45"/>
      <c r="H35" s="46"/>
      <c r="I35" s="156">
        <v>0</v>
      </c>
    </row>
    <row r="36" spans="1:9" ht="26.25" hidden="1" thickBot="1" x14ac:dyDescent="0.3">
      <c r="A36" s="209"/>
      <c r="B36" s="36" t="s">
        <v>1491</v>
      </c>
      <c r="C36" s="36" t="s">
        <v>984</v>
      </c>
      <c r="D36" s="37">
        <v>0.152</v>
      </c>
      <c r="E36" s="31">
        <v>17.783999999999999</v>
      </c>
      <c r="F36" s="31">
        <f>IF(ISNUMBER(E36),E36*$D36,"")</f>
        <v>2.7031679999999998</v>
      </c>
      <c r="G36" s="45"/>
      <c r="H36" s="46"/>
      <c r="I36" s="156">
        <v>0</v>
      </c>
    </row>
    <row r="37" spans="1:9" ht="15.75" hidden="1" thickBot="1" x14ac:dyDescent="0.3">
      <c r="A37" s="209"/>
      <c r="B37" s="36" t="s">
        <v>558</v>
      </c>
      <c r="C37" s="36"/>
      <c r="D37" s="93"/>
      <c r="E37" s="31" t="s">
        <v>558</v>
      </c>
      <c r="F37" s="31" t="str">
        <f>IF(ISNUMBER(E37),E37*$D37,"")</f>
        <v/>
      </c>
      <c r="G37" s="35"/>
      <c r="H37" s="31"/>
      <c r="I37" s="156">
        <v>0</v>
      </c>
    </row>
    <row r="38" spans="1:9" ht="15.75" hidden="1" customHeight="1" thickBot="1" x14ac:dyDescent="0.3">
      <c r="A38" s="210" t="s">
        <v>3776</v>
      </c>
      <c r="B38" s="41" t="s">
        <v>558</v>
      </c>
      <c r="C38" s="26" t="s">
        <v>513</v>
      </c>
      <c r="D38" s="94"/>
      <c r="E38" s="42" t="s">
        <v>558</v>
      </c>
      <c r="F38" s="42" t="str">
        <f>IF(ISNUMBER(E38),E38*$D38,"")</f>
        <v/>
      </c>
      <c r="G38" s="29"/>
      <c r="H38" s="30"/>
      <c r="I38" s="156">
        <v>0</v>
      </c>
    </row>
    <row r="39" spans="1:9" ht="15.75" hidden="1" thickBot="1" x14ac:dyDescent="0.3">
      <c r="A39" s="209"/>
      <c r="B39" s="32" t="s">
        <v>558</v>
      </c>
      <c r="C39" s="32"/>
      <c r="D39" s="92"/>
      <c r="E39" s="43" t="s">
        <v>558</v>
      </c>
      <c r="F39" s="31" t="str">
        <f>IF(ISNUMBER(E39),E39*$D39,"")</f>
        <v/>
      </c>
      <c r="G39" s="35"/>
      <c r="H39" s="31"/>
      <c r="I39" s="156">
        <v>0</v>
      </c>
    </row>
    <row r="40" spans="1:9" ht="26.25" hidden="1" thickBot="1" x14ac:dyDescent="0.3">
      <c r="A40" s="209"/>
      <c r="B40" s="36" t="s">
        <v>3340</v>
      </c>
      <c r="C40" s="36" t="s">
        <v>1034</v>
      </c>
      <c r="D40" s="37">
        <v>0.13600000000000001</v>
      </c>
      <c r="E40" s="31">
        <v>75.002499999999998</v>
      </c>
      <c r="F40" s="31">
        <f>IF(ISNUMBER(E40),E40*$D40,"")</f>
        <v>10.200340000000001</v>
      </c>
      <c r="G40" s="45">
        <f>SUM(F40:F46)</f>
        <v>31.405936000000001</v>
      </c>
      <c r="H40" s="46"/>
      <c r="I40" s="156">
        <v>0</v>
      </c>
    </row>
    <row r="41" spans="1:9" ht="26.25" hidden="1" thickBot="1" x14ac:dyDescent="0.3">
      <c r="A41" s="209"/>
      <c r="B41" s="36" t="s">
        <v>3792</v>
      </c>
      <c r="C41" s="36" t="s">
        <v>513</v>
      </c>
      <c r="D41" s="37">
        <v>2.3420000000000001</v>
      </c>
      <c r="E41" s="31">
        <v>6.8874999999999993</v>
      </c>
      <c r="F41" s="31">
        <f>IF(ISNUMBER(E41),E41*$D41,"")</f>
        <v>16.130524999999999</v>
      </c>
      <c r="G41" s="45"/>
      <c r="H41" s="46"/>
      <c r="I41" s="156">
        <v>0</v>
      </c>
    </row>
    <row r="42" spans="1:9" ht="15.75" hidden="1" thickBot="1" x14ac:dyDescent="0.3">
      <c r="A42" s="209"/>
      <c r="B42" s="36" t="s">
        <v>1434</v>
      </c>
      <c r="C42" s="36" t="s">
        <v>938</v>
      </c>
      <c r="D42" s="37">
        <v>1.2E-2</v>
      </c>
      <c r="E42" s="31">
        <v>19.227999999999998</v>
      </c>
      <c r="F42" s="31">
        <f>IF(ISNUMBER(E42),E42*$D42,"")</f>
        <v>0.23073599999999997</v>
      </c>
      <c r="G42" s="45"/>
      <c r="H42" s="46"/>
      <c r="I42" s="156">
        <v>0</v>
      </c>
    </row>
    <row r="43" spans="1:9" ht="15.75" hidden="1" thickBot="1" x14ac:dyDescent="0.3">
      <c r="A43" s="209"/>
      <c r="B43" s="36" t="s">
        <v>825</v>
      </c>
      <c r="C43" s="36" t="s">
        <v>742</v>
      </c>
      <c r="D43" s="37">
        <v>3.2000000000000001E-2</v>
      </c>
      <c r="E43" s="31">
        <v>18.962</v>
      </c>
      <c r="F43" s="31">
        <f>IF(ISNUMBER(E43),E43*$D43,"")</f>
        <v>0.60678399999999999</v>
      </c>
      <c r="G43" s="45"/>
      <c r="H43" s="46"/>
      <c r="I43" s="156">
        <v>0</v>
      </c>
    </row>
    <row r="44" spans="1:9" ht="15.75" hidden="1" thickBot="1" x14ac:dyDescent="0.3">
      <c r="A44" s="209"/>
      <c r="B44" s="36" t="s">
        <v>1035</v>
      </c>
      <c r="C44" s="36" t="s">
        <v>742</v>
      </c>
      <c r="D44" s="37">
        <v>0.161</v>
      </c>
      <c r="E44" s="31">
        <v>22.495999999999999</v>
      </c>
      <c r="F44" s="31">
        <f>IF(ISNUMBER(E44),E44*$D44,"")</f>
        <v>3.6218559999999997</v>
      </c>
      <c r="G44" s="45"/>
      <c r="H44" s="46"/>
      <c r="I44" s="156">
        <v>0</v>
      </c>
    </row>
    <row r="45" spans="1:9" ht="26.25" hidden="1" thickBot="1" x14ac:dyDescent="0.3">
      <c r="A45" s="209"/>
      <c r="B45" s="36" t="s">
        <v>1207</v>
      </c>
      <c r="C45" s="36" t="s">
        <v>982</v>
      </c>
      <c r="D45" s="37">
        <v>2.1999999999999999E-2</v>
      </c>
      <c r="E45" s="31">
        <v>19.9025</v>
      </c>
      <c r="F45" s="31">
        <f>IF(ISNUMBER(E45),E45*$D45,"")</f>
        <v>0.43785499999999999</v>
      </c>
      <c r="G45" s="45"/>
      <c r="H45" s="46"/>
      <c r="I45" s="156">
        <v>0</v>
      </c>
    </row>
    <row r="46" spans="1:9" ht="26.25" hidden="1" thickBot="1" x14ac:dyDescent="0.3">
      <c r="A46" s="209"/>
      <c r="B46" s="36" t="s">
        <v>1208</v>
      </c>
      <c r="C46" s="36" t="s">
        <v>984</v>
      </c>
      <c r="D46" s="37">
        <v>0.01</v>
      </c>
      <c r="E46" s="31">
        <v>17.783999999999999</v>
      </c>
      <c r="F46" s="34">
        <f>IF(ISNUMBER(E46),E46*$D46,"")</f>
        <v>0.17784</v>
      </c>
      <c r="G46" s="45"/>
      <c r="H46" s="46"/>
      <c r="I46" s="156">
        <v>0</v>
      </c>
    </row>
    <row r="47" spans="1:9" ht="15.75" hidden="1" thickBot="1" x14ac:dyDescent="0.3">
      <c r="A47" s="209"/>
      <c r="B47" s="36" t="s">
        <v>558</v>
      </c>
      <c r="C47" s="36"/>
      <c r="D47" s="93"/>
      <c r="E47" s="31" t="s">
        <v>558</v>
      </c>
      <c r="F47" s="31" t="str">
        <f>IF(ISNUMBER(E47),E47*$D47,"")</f>
        <v/>
      </c>
      <c r="G47" s="35"/>
      <c r="H47" s="31"/>
      <c r="I47" s="156">
        <v>0</v>
      </c>
    </row>
    <row r="48" spans="1:9" ht="26.25" hidden="1" customHeight="1" thickBot="1" x14ac:dyDescent="0.3">
      <c r="A48" s="210" t="s">
        <v>157</v>
      </c>
      <c r="B48" s="41" t="s">
        <v>558</v>
      </c>
      <c r="C48" s="26" t="s">
        <v>122</v>
      </c>
      <c r="D48" s="94"/>
      <c r="E48" s="42" t="s">
        <v>558</v>
      </c>
      <c r="F48" s="42" t="str">
        <f>IF(ISNUMBER(E48),E48*$D48,"")</f>
        <v/>
      </c>
      <c r="G48" s="29"/>
      <c r="H48" s="30"/>
      <c r="I48" s="156">
        <v>0</v>
      </c>
    </row>
    <row r="49" spans="1:9" ht="15.75" hidden="1" thickBot="1" x14ac:dyDescent="0.3">
      <c r="A49" s="209"/>
      <c r="B49" s="32" t="s">
        <v>558</v>
      </c>
      <c r="C49" s="32"/>
      <c r="D49" s="92"/>
      <c r="E49" s="43" t="s">
        <v>558</v>
      </c>
      <c r="F49" s="31" t="str">
        <f>IF(ISNUMBER(E49),E49*$D49,"")</f>
        <v/>
      </c>
      <c r="G49" s="35"/>
      <c r="H49" s="31"/>
      <c r="I49" s="156">
        <v>0</v>
      </c>
    </row>
    <row r="50" spans="1:9" ht="15.75" hidden="1" thickBot="1" x14ac:dyDescent="0.3">
      <c r="A50" s="209"/>
      <c r="B50" s="36" t="s">
        <v>115</v>
      </c>
      <c r="C50" s="36" t="s">
        <v>122</v>
      </c>
      <c r="D50" s="37">
        <v>1.1599999999999999</v>
      </c>
      <c r="E50" s="34">
        <v>85.5</v>
      </c>
      <c r="F50" s="34">
        <f>IF(ISNUMBER(E50),E50*$D50,"")</f>
        <v>99.179999999999993</v>
      </c>
      <c r="G50" s="45">
        <f>SUM(F50:F57)</f>
        <v>489.12768449799995</v>
      </c>
      <c r="H50" s="46"/>
      <c r="I50" s="156">
        <v>0</v>
      </c>
    </row>
    <row r="51" spans="1:9" ht="15.75" hidden="1" thickBot="1" x14ac:dyDescent="0.3">
      <c r="A51" s="209"/>
      <c r="B51" s="36" t="s">
        <v>1492</v>
      </c>
      <c r="C51" s="36" t="s">
        <v>938</v>
      </c>
      <c r="D51" s="37">
        <v>174.1</v>
      </c>
      <c r="E51" s="34">
        <v>0.8929999999999999</v>
      </c>
      <c r="F51" s="34">
        <f>IF(ISNUMBER(E51),E51*$D51,"")</f>
        <v>155.47129999999999</v>
      </c>
      <c r="G51" s="45"/>
      <c r="H51" s="46"/>
      <c r="I51" s="156">
        <v>0</v>
      </c>
    </row>
    <row r="52" spans="1:9" ht="15.75" hidden="1" thickBot="1" x14ac:dyDescent="0.3">
      <c r="A52" s="209"/>
      <c r="B52" s="36" t="s">
        <v>116</v>
      </c>
      <c r="C52" s="36" t="s">
        <v>938</v>
      </c>
      <c r="D52" s="37">
        <v>195.86</v>
      </c>
      <c r="E52" s="34">
        <v>0.52249999999999996</v>
      </c>
      <c r="F52" s="34">
        <f>IF(ISNUMBER(E52),E52*$D52,"")</f>
        <v>102.33685</v>
      </c>
      <c r="G52" s="45"/>
      <c r="H52" s="46"/>
      <c r="I52" s="156">
        <v>0</v>
      </c>
    </row>
    <row r="53" spans="1:9" ht="26.25" hidden="1" thickBot="1" x14ac:dyDescent="0.3">
      <c r="A53" s="209"/>
      <c r="B53" s="36" t="s">
        <v>118</v>
      </c>
      <c r="C53" s="36" t="s">
        <v>742</v>
      </c>
      <c r="D53" s="37">
        <v>4.5</v>
      </c>
      <c r="E53" s="31">
        <v>16.928999999999998</v>
      </c>
      <c r="F53" s="34">
        <f>IF(ISNUMBER(E53),E53*$D53,"")</f>
        <v>76.180499999999995</v>
      </c>
      <c r="G53" s="45"/>
      <c r="H53" s="46"/>
      <c r="I53" s="156">
        <v>0</v>
      </c>
    </row>
    <row r="54" spans="1:9" ht="39" hidden="1" thickBot="1" x14ac:dyDescent="0.3">
      <c r="A54" s="209"/>
      <c r="B54" s="36" t="s">
        <v>1493</v>
      </c>
      <c r="C54" s="36" t="s">
        <v>982</v>
      </c>
      <c r="D54" s="37">
        <v>1.05</v>
      </c>
      <c r="E54" s="31">
        <v>1.3774999999999999</v>
      </c>
      <c r="F54" s="34">
        <f>IF(ISNUMBER(E54),E54*$D54,"")</f>
        <v>1.446375</v>
      </c>
      <c r="G54" s="45"/>
      <c r="H54" s="46"/>
      <c r="I54" s="156">
        <v>0</v>
      </c>
    </row>
    <row r="55" spans="1:9" ht="39" hidden="1" thickBot="1" x14ac:dyDescent="0.3">
      <c r="A55" s="209"/>
      <c r="B55" s="36" t="s">
        <v>1494</v>
      </c>
      <c r="C55" s="36" t="s">
        <v>984</v>
      </c>
      <c r="D55" s="37">
        <v>3.45</v>
      </c>
      <c r="E55" s="31">
        <v>0.30399999999999999</v>
      </c>
      <c r="F55" s="34">
        <f>IF(ISNUMBER(E55),E55*$D55,"")</f>
        <v>1.0488</v>
      </c>
      <c r="G55" s="45"/>
      <c r="H55" s="46"/>
      <c r="I55" s="156">
        <v>0</v>
      </c>
    </row>
    <row r="56" spans="1:9" ht="51.75" hidden="1" thickBot="1" x14ac:dyDescent="0.3">
      <c r="A56" s="209"/>
      <c r="B56" s="36" t="s">
        <v>3617</v>
      </c>
      <c r="C56" s="36" t="s">
        <v>122</v>
      </c>
      <c r="D56" s="37">
        <f>ROUND(1*D50,4)</f>
        <v>1.1599999999999999</v>
      </c>
      <c r="E56" s="31">
        <v>6.0919690499999994</v>
      </c>
      <c r="F56" s="34">
        <f>IF(ISNUMBER(E56),E56*$D56,"")</f>
        <v>7.0666840979999987</v>
      </c>
      <c r="G56" s="45"/>
      <c r="H56" s="46"/>
      <c r="I56" s="156">
        <v>0</v>
      </c>
    </row>
    <row r="57" spans="1:9" ht="39" hidden="1" thickBot="1" x14ac:dyDescent="0.3">
      <c r="A57" s="209"/>
      <c r="B57" s="36" t="s">
        <v>3616</v>
      </c>
      <c r="C57" s="47" t="s">
        <v>124</v>
      </c>
      <c r="D57" s="37">
        <f>ROUND(D50*20,4)</f>
        <v>23.2</v>
      </c>
      <c r="E57" s="31">
        <v>1.9998782499999996</v>
      </c>
      <c r="F57" s="34">
        <f>IF(ISNUMBER(E57),E57*$D57,"")</f>
        <v>46.397175399999988</v>
      </c>
      <c r="G57" s="45"/>
      <c r="H57" s="46"/>
      <c r="I57" s="156">
        <v>0</v>
      </c>
    </row>
    <row r="58" spans="1:9" ht="15.75" hidden="1" thickBot="1" x14ac:dyDescent="0.3">
      <c r="A58" s="209"/>
      <c r="B58" s="51"/>
      <c r="C58" s="47"/>
      <c r="D58" s="37"/>
      <c r="E58" s="31" t="s">
        <v>558</v>
      </c>
      <c r="F58" s="34" t="str">
        <f>IF(ISNUMBER(E58),E58*$D58,"")</f>
        <v/>
      </c>
      <c r="G58" s="45"/>
      <c r="H58" s="46"/>
      <c r="I58" s="156">
        <v>0</v>
      </c>
    </row>
    <row r="59" spans="1:9" ht="15.75" hidden="1" thickBot="1" x14ac:dyDescent="0.3">
      <c r="A59" s="209"/>
      <c r="B59" s="48" t="s">
        <v>794</v>
      </c>
      <c r="C59" s="47"/>
      <c r="D59" s="37"/>
      <c r="E59" s="31" t="s">
        <v>558</v>
      </c>
      <c r="F59" s="34" t="str">
        <f>IF(ISNUMBER(E59),E59*$D59,"")</f>
        <v/>
      </c>
      <c r="G59" s="45"/>
      <c r="H59" s="46"/>
      <c r="I59" s="156">
        <v>0</v>
      </c>
    </row>
    <row r="60" spans="1:9" ht="15.75" hidden="1" thickBot="1" x14ac:dyDescent="0.3">
      <c r="A60" s="209"/>
      <c r="B60" s="36" t="s">
        <v>558</v>
      </c>
      <c r="C60" s="36"/>
      <c r="D60" s="93"/>
      <c r="E60" s="31" t="s">
        <v>558</v>
      </c>
      <c r="F60" s="31" t="str">
        <f>IF(ISNUMBER(E60),E60*$D60,"")</f>
        <v/>
      </c>
      <c r="G60" s="35"/>
      <c r="H60" s="31"/>
      <c r="I60" s="156">
        <v>0</v>
      </c>
    </row>
    <row r="61" spans="1:9" ht="26.25" hidden="1" customHeight="1" thickBot="1" x14ac:dyDescent="0.3">
      <c r="A61" s="210" t="s">
        <v>1519</v>
      </c>
      <c r="B61" s="41" t="s">
        <v>558</v>
      </c>
      <c r="C61" s="26" t="s">
        <v>1034</v>
      </c>
      <c r="D61" s="94"/>
      <c r="E61" s="42" t="s">
        <v>558</v>
      </c>
      <c r="F61" s="42" t="str">
        <f>IF(ISNUMBER(E61),E61*$D61,"")</f>
        <v/>
      </c>
      <c r="G61" s="29"/>
      <c r="H61" s="30"/>
      <c r="I61" s="156">
        <v>0</v>
      </c>
    </row>
    <row r="62" spans="1:9" ht="15.75" hidden="1" thickBot="1" x14ac:dyDescent="0.3">
      <c r="A62" s="209"/>
      <c r="B62" s="32" t="s">
        <v>558</v>
      </c>
      <c r="C62" s="32"/>
      <c r="D62" s="92"/>
      <c r="E62" s="98" t="s">
        <v>558</v>
      </c>
      <c r="F62" s="99" t="str">
        <f>IF(ISNUMBER(E62),E62*$D62,"")</f>
        <v/>
      </c>
      <c r="G62" s="35"/>
      <c r="H62" s="31"/>
      <c r="I62" s="156">
        <v>0</v>
      </c>
    </row>
    <row r="63" spans="1:9" ht="15.75" hidden="1" thickBot="1" x14ac:dyDescent="0.3">
      <c r="A63" s="209"/>
      <c r="B63" s="36" t="s">
        <v>116</v>
      </c>
      <c r="C63" s="36" t="s">
        <v>938</v>
      </c>
      <c r="D63" s="37">
        <v>0.5</v>
      </c>
      <c r="E63" s="34">
        <v>0.52249999999999996</v>
      </c>
      <c r="F63" s="34">
        <f>IF(ISNUMBER(E63),E63*$D63,"")</f>
        <v>0.26124999999999998</v>
      </c>
      <c r="G63" s="45">
        <f>SUM(F63:F67)</f>
        <v>37.0687019908748</v>
      </c>
      <c r="H63" s="46"/>
      <c r="I63" s="156">
        <v>0</v>
      </c>
    </row>
    <row r="64" spans="1:9" ht="15.75" hidden="1" thickBot="1" x14ac:dyDescent="0.3">
      <c r="A64" s="209"/>
      <c r="B64" s="36" t="s">
        <v>222</v>
      </c>
      <c r="C64" s="36" t="s">
        <v>103</v>
      </c>
      <c r="D64" s="37">
        <v>0.435</v>
      </c>
      <c r="E64" s="34">
        <v>11.105499999999999</v>
      </c>
      <c r="F64" s="34">
        <f>IF(ISNUMBER(E64),E64*$D64,"")</f>
        <v>4.8308925</v>
      </c>
      <c r="G64" s="45"/>
      <c r="H64" s="46"/>
      <c r="I64" s="156">
        <v>0</v>
      </c>
    </row>
    <row r="65" spans="1:9" ht="39" hidden="1" thickBot="1" x14ac:dyDescent="0.3">
      <c r="A65" s="209"/>
      <c r="B65" s="36" t="s">
        <v>1411</v>
      </c>
      <c r="C65" s="36" t="s">
        <v>122</v>
      </c>
      <c r="D65" s="37">
        <v>4.3099999999999999E-2</v>
      </c>
      <c r="E65" s="31">
        <v>504.02649630800005</v>
      </c>
      <c r="F65" s="34">
        <f>IF(ISNUMBER(E65),E65*$D65,"")</f>
        <v>21.723541990874804</v>
      </c>
      <c r="G65" s="45"/>
      <c r="H65" s="46"/>
      <c r="I65" s="156">
        <v>0</v>
      </c>
    </row>
    <row r="66" spans="1:9" ht="15.75" hidden="1" thickBot="1" x14ac:dyDescent="0.3">
      <c r="A66" s="209"/>
      <c r="B66" s="36" t="s">
        <v>1183</v>
      </c>
      <c r="C66" s="36" t="s">
        <v>742</v>
      </c>
      <c r="D66" s="37">
        <v>0.33</v>
      </c>
      <c r="E66" s="31">
        <v>22.704999999999998</v>
      </c>
      <c r="F66" s="34">
        <f>IF(ISNUMBER(E66),E66*$D66,"")</f>
        <v>7.4926499999999994</v>
      </c>
      <c r="G66" s="45"/>
      <c r="H66" s="46"/>
      <c r="I66" s="156">
        <v>0</v>
      </c>
    </row>
    <row r="67" spans="1:9" ht="15.75" hidden="1" thickBot="1" x14ac:dyDescent="0.3">
      <c r="A67" s="209"/>
      <c r="B67" s="36" t="s">
        <v>1485</v>
      </c>
      <c r="C67" s="36" t="s">
        <v>742</v>
      </c>
      <c r="D67" s="37">
        <v>0.16500000000000001</v>
      </c>
      <c r="E67" s="31">
        <v>16.729499999999998</v>
      </c>
      <c r="F67" s="34">
        <f>IF(ISNUMBER(E67),E67*$D67,"")</f>
        <v>2.7603674999999996</v>
      </c>
      <c r="G67" s="45"/>
      <c r="H67" s="46"/>
      <c r="I67" s="156">
        <v>0</v>
      </c>
    </row>
    <row r="68" spans="1:9" ht="15.75" hidden="1" thickBot="1" x14ac:dyDescent="0.3">
      <c r="A68" s="209"/>
      <c r="B68" s="36" t="s">
        <v>558</v>
      </c>
      <c r="C68" s="36"/>
      <c r="D68" s="93"/>
      <c r="E68" s="31" t="s">
        <v>558</v>
      </c>
      <c r="F68" s="31" t="str">
        <f>IF(ISNUMBER(E68),E68*$D68,"")</f>
        <v/>
      </c>
      <c r="G68" s="35"/>
      <c r="H68" s="31"/>
      <c r="I68" s="156">
        <v>0</v>
      </c>
    </row>
    <row r="69" spans="1:9" ht="15.75" hidden="1" thickBot="1" x14ac:dyDescent="0.3">
      <c r="A69" s="210" t="s">
        <v>182</v>
      </c>
      <c r="B69" s="41" t="s">
        <v>558</v>
      </c>
      <c r="C69" s="26" t="s">
        <v>122</v>
      </c>
      <c r="D69" s="94"/>
      <c r="E69" s="42" t="s">
        <v>558</v>
      </c>
      <c r="F69" s="42" t="str">
        <f>IF(ISNUMBER(E69),E69*$D69,"")</f>
        <v/>
      </c>
      <c r="G69" s="29"/>
      <c r="H69" s="30"/>
      <c r="I69" s="156">
        <v>0</v>
      </c>
    </row>
    <row r="70" spans="1:9" ht="15.75" hidden="1" thickBot="1" x14ac:dyDescent="0.3">
      <c r="A70" s="209"/>
      <c r="B70" s="32" t="s">
        <v>558</v>
      </c>
      <c r="C70" s="32"/>
      <c r="D70" s="92"/>
      <c r="E70" s="43" t="s">
        <v>558</v>
      </c>
      <c r="F70" s="31" t="str">
        <f>IF(ISNUMBER(E70),E70*$D70,"")</f>
        <v/>
      </c>
      <c r="G70" s="35"/>
      <c r="H70" s="31"/>
      <c r="I70" s="156">
        <v>0</v>
      </c>
    </row>
    <row r="71" spans="1:9" ht="15.75" hidden="1" customHeight="1" x14ac:dyDescent="0.3">
      <c r="A71" s="209"/>
      <c r="B71" s="36" t="s">
        <v>1495</v>
      </c>
      <c r="C71" s="36" t="s">
        <v>122</v>
      </c>
      <c r="D71" s="37">
        <v>0.94</v>
      </c>
      <c r="E71" s="34">
        <v>133.38</v>
      </c>
      <c r="F71" s="34">
        <f>IF(ISNUMBER(E71),E71*$D71,"")</f>
        <v>125.37719999999999</v>
      </c>
      <c r="G71" s="45">
        <f>SUM(F71:F75)</f>
        <v>573.88462700699995</v>
      </c>
      <c r="H71" s="46"/>
      <c r="I71" s="156">
        <v>0</v>
      </c>
    </row>
    <row r="72" spans="1:9" ht="15.75" hidden="1" thickBot="1" x14ac:dyDescent="0.3">
      <c r="A72" s="209"/>
      <c r="B72" s="36" t="s">
        <v>116</v>
      </c>
      <c r="C72" s="36" t="s">
        <v>938</v>
      </c>
      <c r="D72" s="37">
        <v>422.63</v>
      </c>
      <c r="E72" s="34">
        <v>0.52249999999999996</v>
      </c>
      <c r="F72" s="34">
        <f>IF(ISNUMBER(E72),E72*$D72,"")</f>
        <v>220.824175</v>
      </c>
      <c r="G72" s="45"/>
      <c r="H72" s="46"/>
      <c r="I72" s="156">
        <v>0</v>
      </c>
    </row>
    <row r="73" spans="1:9" ht="15.75" hidden="1" thickBot="1" x14ac:dyDescent="0.3">
      <c r="A73" s="209"/>
      <c r="B73" s="36" t="s">
        <v>1485</v>
      </c>
      <c r="C73" s="36" t="s">
        <v>742</v>
      </c>
      <c r="D73" s="37">
        <v>11.02</v>
      </c>
      <c r="E73" s="31">
        <v>16.729499999999998</v>
      </c>
      <c r="F73" s="34">
        <f>IF(ISNUMBER(E73),E73*$D73,"")</f>
        <v>184.35908999999998</v>
      </c>
      <c r="G73" s="45"/>
      <c r="H73" s="46"/>
      <c r="I73" s="156">
        <v>0</v>
      </c>
    </row>
    <row r="74" spans="1:9" ht="51.75" hidden="1" thickBot="1" x14ac:dyDescent="0.3">
      <c r="A74" s="209"/>
      <c r="B74" s="36" t="s">
        <v>3617</v>
      </c>
      <c r="C74" s="36" t="s">
        <v>122</v>
      </c>
      <c r="D74" s="37">
        <f>ROUND(1*D71,4)</f>
        <v>0.94</v>
      </c>
      <c r="E74" s="31">
        <v>6.0919690499999994</v>
      </c>
      <c r="F74" s="34">
        <f>IF(ISNUMBER(E74),E74*$D74,"")</f>
        <v>5.7264509069999994</v>
      </c>
      <c r="G74" s="45"/>
      <c r="H74" s="46"/>
      <c r="I74" s="156">
        <v>0</v>
      </c>
    </row>
    <row r="75" spans="1:9" ht="39" hidden="1" thickBot="1" x14ac:dyDescent="0.3">
      <c r="A75" s="209"/>
      <c r="B75" s="36" t="s">
        <v>3616</v>
      </c>
      <c r="C75" s="47" t="s">
        <v>124</v>
      </c>
      <c r="D75" s="37">
        <f>ROUND(D71*20,4)</f>
        <v>18.8</v>
      </c>
      <c r="E75" s="31">
        <v>1.9998782499999996</v>
      </c>
      <c r="F75" s="34">
        <f>IF(ISNUMBER(E75),E75*$D75,"")</f>
        <v>37.597711099999998</v>
      </c>
      <c r="G75" s="45"/>
      <c r="H75" s="46"/>
      <c r="I75" s="156">
        <v>0</v>
      </c>
    </row>
    <row r="76" spans="1:9" ht="15.75" hidden="1" thickBot="1" x14ac:dyDescent="0.3">
      <c r="A76" s="209"/>
      <c r="B76" s="51"/>
      <c r="C76" s="47"/>
      <c r="D76" s="37"/>
      <c r="E76" s="31" t="s">
        <v>558</v>
      </c>
      <c r="F76" s="34" t="str">
        <f>IF(ISNUMBER(E76),E76*$D76,"")</f>
        <v/>
      </c>
      <c r="G76" s="45"/>
      <c r="H76" s="46"/>
      <c r="I76" s="156">
        <v>0</v>
      </c>
    </row>
    <row r="77" spans="1:9" ht="15.75" hidden="1" thickBot="1" x14ac:dyDescent="0.3">
      <c r="A77" s="209"/>
      <c r="B77" s="48" t="s">
        <v>794</v>
      </c>
      <c r="C77" s="47"/>
      <c r="D77" s="37"/>
      <c r="E77" s="31" t="s">
        <v>558</v>
      </c>
      <c r="F77" s="34" t="str">
        <f>IF(ISNUMBER(E77),E77*$D77,"")</f>
        <v/>
      </c>
      <c r="G77" s="45"/>
      <c r="H77" s="46"/>
      <c r="I77" s="156">
        <v>0</v>
      </c>
    </row>
    <row r="78" spans="1:9" ht="26.25" hidden="1" customHeight="1" thickBot="1" x14ac:dyDescent="0.3">
      <c r="A78" s="209"/>
      <c r="B78" s="36" t="s">
        <v>558</v>
      </c>
      <c r="C78" s="36"/>
      <c r="D78" s="93"/>
      <c r="E78" s="31" t="s">
        <v>558</v>
      </c>
      <c r="F78" s="31" t="str">
        <f>IF(ISNUMBER(E78),E78*$D78,"")</f>
        <v/>
      </c>
      <c r="G78" s="35"/>
      <c r="H78" s="31"/>
      <c r="I78" s="156">
        <v>0</v>
      </c>
    </row>
    <row r="79" spans="1:9" ht="15.75" hidden="1" thickBot="1" x14ac:dyDescent="0.3">
      <c r="A79" s="210" t="s">
        <v>180</v>
      </c>
      <c r="B79" s="41" t="s">
        <v>558</v>
      </c>
      <c r="C79" s="26" t="s">
        <v>122</v>
      </c>
      <c r="D79" s="94"/>
      <c r="E79" s="42" t="s">
        <v>558</v>
      </c>
      <c r="F79" s="42" t="str">
        <f>IF(ISNUMBER(E79),E79*$D79,"")</f>
        <v/>
      </c>
      <c r="G79" s="29"/>
      <c r="H79" s="30"/>
      <c r="I79" s="156">
        <v>0</v>
      </c>
    </row>
    <row r="80" spans="1:9" ht="15.75" hidden="1" thickBot="1" x14ac:dyDescent="0.3">
      <c r="A80" s="209"/>
      <c r="B80" s="32" t="s">
        <v>558</v>
      </c>
      <c r="C80" s="32"/>
      <c r="D80" s="92"/>
      <c r="E80" s="43" t="s">
        <v>558</v>
      </c>
      <c r="F80" s="31" t="str">
        <f>IF(ISNUMBER(E80),E80*$D80,"")</f>
        <v/>
      </c>
      <c r="G80" s="35"/>
      <c r="H80" s="31"/>
      <c r="I80" s="156">
        <v>0</v>
      </c>
    </row>
    <row r="81" spans="1:9" ht="15.75" hidden="1" thickBot="1" x14ac:dyDescent="0.3">
      <c r="A81" s="209"/>
      <c r="B81" s="36" t="s">
        <v>1496</v>
      </c>
      <c r="C81" s="36" t="s">
        <v>938</v>
      </c>
      <c r="D81" s="37">
        <v>1981.23</v>
      </c>
      <c r="E81" s="34">
        <v>0.874</v>
      </c>
      <c r="F81" s="34">
        <f>IF(ISNUMBER(E81),E81*$D81,"")</f>
        <v>1731.59502</v>
      </c>
      <c r="G81" s="45">
        <f>SUM(F81:F84)</f>
        <v>1818.6060900000002</v>
      </c>
      <c r="H81" s="46"/>
      <c r="I81" s="156">
        <v>0</v>
      </c>
    </row>
    <row r="82" spans="1:9" ht="26.25" hidden="1" thickBot="1" x14ac:dyDescent="0.3">
      <c r="A82" s="209"/>
      <c r="B82" s="36" t="s">
        <v>118</v>
      </c>
      <c r="C82" s="36" t="s">
        <v>742</v>
      </c>
      <c r="D82" s="37">
        <v>4.72</v>
      </c>
      <c r="E82" s="31">
        <v>16.928999999999998</v>
      </c>
      <c r="F82" s="34">
        <f>IF(ISNUMBER(E82),E82*$D82,"")</f>
        <v>79.904879999999991</v>
      </c>
      <c r="G82" s="45"/>
      <c r="H82" s="46"/>
      <c r="I82" s="156">
        <v>0</v>
      </c>
    </row>
    <row r="83" spans="1:9" ht="26.25" hidden="1" thickBot="1" x14ac:dyDescent="0.3">
      <c r="A83" s="209"/>
      <c r="B83" s="36" t="s">
        <v>1497</v>
      </c>
      <c r="C83" s="36" t="s">
        <v>982</v>
      </c>
      <c r="D83" s="37">
        <v>1.1000000000000001</v>
      </c>
      <c r="E83" s="31">
        <v>3.7715000000000001</v>
      </c>
      <c r="F83" s="95">
        <f>IF(ISNUMBER(E83),E83*$D83,"")</f>
        <v>4.1486500000000008</v>
      </c>
      <c r="G83" s="45"/>
      <c r="H83" s="46"/>
      <c r="I83" s="156">
        <v>0</v>
      </c>
    </row>
    <row r="84" spans="1:9" ht="26.25" hidden="1" thickBot="1" x14ac:dyDescent="0.3">
      <c r="A84" s="209"/>
      <c r="B84" s="36" t="s">
        <v>1498</v>
      </c>
      <c r="C84" s="36" t="s">
        <v>984</v>
      </c>
      <c r="D84" s="37">
        <v>3.62</v>
      </c>
      <c r="E84" s="31">
        <v>0.81699999999999995</v>
      </c>
      <c r="F84" s="95">
        <f>IF(ISNUMBER(E84),E84*$D84,"")</f>
        <v>2.9575399999999998</v>
      </c>
      <c r="G84" s="45"/>
      <c r="H84" s="46"/>
      <c r="I84" s="156">
        <v>0</v>
      </c>
    </row>
    <row r="85" spans="1:9" ht="15.75" hidden="1" thickBot="1" x14ac:dyDescent="0.3">
      <c r="A85" s="209"/>
      <c r="B85" s="36" t="s">
        <v>558</v>
      </c>
      <c r="C85" s="36"/>
      <c r="D85" s="93"/>
      <c r="E85" s="31" t="s">
        <v>558</v>
      </c>
      <c r="F85" s="31" t="str">
        <f>IF(ISNUMBER(E85),E85*$D85,"")</f>
        <v/>
      </c>
      <c r="G85" s="35"/>
      <c r="H85" s="31"/>
      <c r="I85" s="156">
        <v>0</v>
      </c>
    </row>
    <row r="86" spans="1:9" ht="15.75" thickBot="1" x14ac:dyDescent="0.3">
      <c r="A86" s="210" t="s">
        <v>221</v>
      </c>
      <c r="B86" s="41" t="s">
        <v>558</v>
      </c>
      <c r="C86" s="26" t="s">
        <v>122</v>
      </c>
      <c r="D86" s="94"/>
      <c r="E86" s="42" t="s">
        <v>558</v>
      </c>
      <c r="F86" s="42" t="str">
        <f>IF(ISNUMBER(E86),E86*$D86,"")</f>
        <v/>
      </c>
      <c r="G86" s="29"/>
      <c r="H86" s="30"/>
      <c r="I86" s="156">
        <v>13.78</v>
      </c>
    </row>
    <row r="87" spans="1:9" x14ac:dyDescent="0.25">
      <c r="A87" s="209"/>
      <c r="B87" s="160" t="s">
        <v>558</v>
      </c>
      <c r="C87" s="160"/>
      <c r="D87" s="177"/>
      <c r="E87" s="43" t="s">
        <v>558</v>
      </c>
      <c r="F87" s="31" t="str">
        <f>IF(ISNUMBER(E87),E87*$D87,"")</f>
        <v/>
      </c>
      <c r="G87" s="35"/>
      <c r="H87" s="31"/>
      <c r="I87" s="156">
        <v>13.78</v>
      </c>
    </row>
    <row r="88" spans="1:9" ht="26.25" customHeight="1" x14ac:dyDescent="0.25">
      <c r="A88" s="209"/>
      <c r="B88" s="162" t="s">
        <v>791</v>
      </c>
      <c r="C88" s="162" t="s">
        <v>122</v>
      </c>
      <c r="D88" s="163">
        <v>1.35</v>
      </c>
      <c r="E88" s="34">
        <v>85.5</v>
      </c>
      <c r="F88" s="34">
        <f>IF(ISNUMBER(E88),E88*$D88,"")</f>
        <v>115.42500000000001</v>
      </c>
      <c r="G88" s="45">
        <f>SUM(F88:F92)</f>
        <v>599.5230109675</v>
      </c>
      <c r="H88" s="46"/>
      <c r="I88" s="156">
        <v>13.78</v>
      </c>
    </row>
    <row r="89" spans="1:9" x14ac:dyDescent="0.25">
      <c r="A89" s="209"/>
      <c r="B89" s="162" t="s">
        <v>787</v>
      </c>
      <c r="C89" s="162" t="s">
        <v>938</v>
      </c>
      <c r="D89" s="163">
        <v>454.58</v>
      </c>
      <c r="E89" s="34">
        <v>0.52249999999999996</v>
      </c>
      <c r="F89" s="34">
        <f>IF(ISNUMBER(E89),E89*$D89,"")</f>
        <v>237.51804999999999</v>
      </c>
      <c r="G89" s="45"/>
      <c r="H89" s="46"/>
      <c r="I89" s="156">
        <v>13.78</v>
      </c>
    </row>
    <row r="90" spans="1:9" x14ac:dyDescent="0.25">
      <c r="A90" s="209"/>
      <c r="B90" s="162" t="s">
        <v>1485</v>
      </c>
      <c r="C90" s="162" t="s">
        <v>742</v>
      </c>
      <c r="D90" s="163">
        <v>11.02</v>
      </c>
      <c r="E90" s="31">
        <v>16.729499999999998</v>
      </c>
      <c r="F90" s="34">
        <f>IF(ISNUMBER(E90),E90*$D90,"")</f>
        <v>184.35908999999998</v>
      </c>
      <c r="G90" s="45"/>
      <c r="H90" s="46"/>
      <c r="I90" s="156">
        <v>13.78</v>
      </c>
    </row>
    <row r="91" spans="1:9" ht="51" x14ac:dyDescent="0.25">
      <c r="A91" s="209"/>
      <c r="B91" s="162" t="s">
        <v>3617</v>
      </c>
      <c r="C91" s="162" t="s">
        <v>122</v>
      </c>
      <c r="D91" s="163">
        <f>ROUND(1*D88,4)</f>
        <v>1.35</v>
      </c>
      <c r="E91" s="31">
        <v>6.0919690499999994</v>
      </c>
      <c r="F91" s="34">
        <f>IF(ISNUMBER(E91),E91*$D91,"")</f>
        <v>8.2241582174999994</v>
      </c>
      <c r="G91" s="45"/>
      <c r="H91" s="46"/>
      <c r="I91" s="156">
        <v>13.78</v>
      </c>
    </row>
    <row r="92" spans="1:9" ht="38.25" x14ac:dyDescent="0.25">
      <c r="A92" s="209"/>
      <c r="B92" s="162" t="s">
        <v>3616</v>
      </c>
      <c r="C92" s="164" t="s">
        <v>124</v>
      </c>
      <c r="D92" s="163">
        <f>ROUND(D88*20,4)</f>
        <v>27</v>
      </c>
      <c r="E92" s="31">
        <v>1.9998782499999996</v>
      </c>
      <c r="F92" s="34">
        <f>IF(ISNUMBER(E92),E92*$D92,"")</f>
        <v>53.996712749999993</v>
      </c>
      <c r="G92" s="45"/>
      <c r="H92" s="46"/>
      <c r="I92" s="156">
        <v>13.78</v>
      </c>
    </row>
    <row r="93" spans="1:9" x14ac:dyDescent="0.25">
      <c r="A93" s="209"/>
      <c r="B93" s="179"/>
      <c r="C93" s="164"/>
      <c r="D93" s="163"/>
      <c r="E93" s="31" t="s">
        <v>558</v>
      </c>
      <c r="F93" s="34" t="str">
        <f>IF(ISNUMBER(E93),E93*$D93,"")</f>
        <v/>
      </c>
      <c r="G93" s="45"/>
      <c r="H93" s="46"/>
      <c r="I93" s="156">
        <v>13.78</v>
      </c>
    </row>
    <row r="94" spans="1:9" ht="21" customHeight="1" x14ac:dyDescent="0.25">
      <c r="A94" s="209"/>
      <c r="B94" s="157" t="s">
        <v>794</v>
      </c>
      <c r="C94" s="164"/>
      <c r="D94" s="163"/>
      <c r="E94" s="31" t="s">
        <v>558</v>
      </c>
      <c r="F94" s="34" t="str">
        <f>IF(ISNUMBER(E94),E94*$D94,"")</f>
        <v/>
      </c>
      <c r="G94" s="45"/>
      <c r="H94" s="46"/>
      <c r="I94" s="156">
        <v>13.78</v>
      </c>
    </row>
    <row r="95" spans="1:9" ht="15.75" thickBot="1" x14ac:dyDescent="0.3">
      <c r="A95" s="211"/>
      <c r="B95" s="55" t="s">
        <v>558</v>
      </c>
      <c r="C95" s="55"/>
      <c r="D95" s="96"/>
      <c r="E95" s="67" t="s">
        <v>558</v>
      </c>
      <c r="F95" s="67" t="str">
        <f>IF(ISNUMBER(E95),E95*$D95,"")</f>
        <v/>
      </c>
      <c r="G95" s="69"/>
      <c r="H95" s="31"/>
      <c r="I95" s="156">
        <v>13.78</v>
      </c>
    </row>
    <row r="96" spans="1:9" ht="15.75" hidden="1" thickBot="1" x14ac:dyDescent="0.3">
      <c r="A96" s="210" t="s">
        <v>258</v>
      </c>
      <c r="B96" s="41" t="s">
        <v>558</v>
      </c>
      <c r="C96" s="26" t="s">
        <v>122</v>
      </c>
      <c r="D96" s="94"/>
      <c r="E96" s="42" t="s">
        <v>558</v>
      </c>
      <c r="F96" s="42" t="str">
        <f>IF(ISNUMBER(E96),E96*$D96,"")</f>
        <v/>
      </c>
      <c r="G96" s="29"/>
      <c r="H96" s="30"/>
      <c r="I96" s="156">
        <v>0</v>
      </c>
    </row>
    <row r="97" spans="1:9" hidden="1" x14ac:dyDescent="0.25">
      <c r="A97" s="209"/>
      <c r="B97" s="32" t="s">
        <v>558</v>
      </c>
      <c r="C97" s="32"/>
      <c r="D97" s="92"/>
      <c r="E97" s="43" t="s">
        <v>558</v>
      </c>
      <c r="F97" s="31" t="str">
        <f>IF(ISNUMBER(E97),E97*$D97,"")</f>
        <v/>
      </c>
      <c r="G97" s="35"/>
      <c r="H97" s="31"/>
      <c r="I97" s="156">
        <v>0</v>
      </c>
    </row>
    <row r="98" spans="1:9" ht="15.75" hidden="1" customHeight="1" x14ac:dyDescent="0.25">
      <c r="A98" s="209"/>
      <c r="B98" s="36" t="s">
        <v>115</v>
      </c>
      <c r="C98" s="36" t="s">
        <v>122</v>
      </c>
      <c r="D98" s="37">
        <v>1.1499999999999999</v>
      </c>
      <c r="E98" s="34">
        <v>85.5</v>
      </c>
      <c r="F98" s="34">
        <f>IF(ISNUMBER(E98),E98*$D98,"")</f>
        <v>98.324999999999989</v>
      </c>
      <c r="G98" s="45">
        <f>SUM(F98:F102)</f>
        <v>493.55016915749997</v>
      </c>
      <c r="H98" s="46"/>
      <c r="I98" s="156">
        <v>0</v>
      </c>
    </row>
    <row r="99" spans="1:9" hidden="1" x14ac:dyDescent="0.25">
      <c r="A99" s="209"/>
      <c r="B99" s="36" t="s">
        <v>116</v>
      </c>
      <c r="C99" s="36" t="s">
        <v>938</v>
      </c>
      <c r="D99" s="37">
        <v>389.54</v>
      </c>
      <c r="E99" s="34">
        <v>0.52249999999999996</v>
      </c>
      <c r="F99" s="34">
        <f>IF(ISNUMBER(E99),E99*$D99,"")</f>
        <v>203.53465</v>
      </c>
      <c r="G99" s="45"/>
      <c r="H99" s="46"/>
      <c r="I99" s="156">
        <v>0</v>
      </c>
    </row>
    <row r="100" spans="1:9" hidden="1" x14ac:dyDescent="0.25">
      <c r="A100" s="209"/>
      <c r="B100" s="36" t="s">
        <v>1485</v>
      </c>
      <c r="C100" s="36" t="s">
        <v>742</v>
      </c>
      <c r="D100" s="37">
        <v>8.2899999999999991</v>
      </c>
      <c r="E100" s="31">
        <v>16.729499999999998</v>
      </c>
      <c r="F100" s="34">
        <f>IF(ISNUMBER(E100),E100*$D100,"")</f>
        <v>138.68755499999997</v>
      </c>
      <c r="G100" s="45"/>
      <c r="H100" s="46"/>
      <c r="I100" s="156">
        <v>0</v>
      </c>
    </row>
    <row r="101" spans="1:9" ht="51" hidden="1" x14ac:dyDescent="0.25">
      <c r="A101" s="209"/>
      <c r="B101" s="36" t="s">
        <v>3617</v>
      </c>
      <c r="C101" s="36" t="s">
        <v>122</v>
      </c>
      <c r="D101" s="37">
        <f>ROUND(1*D98,4)</f>
        <v>1.1499999999999999</v>
      </c>
      <c r="E101" s="31">
        <v>6.0919690499999994</v>
      </c>
      <c r="F101" s="34">
        <f>IF(ISNUMBER(E101),E101*$D101,"")</f>
        <v>7.0057644074999992</v>
      </c>
      <c r="G101" s="45"/>
      <c r="H101" s="46"/>
      <c r="I101" s="156">
        <v>0</v>
      </c>
    </row>
    <row r="102" spans="1:9" ht="38.25" hidden="1" x14ac:dyDescent="0.25">
      <c r="A102" s="209"/>
      <c r="B102" s="36" t="s">
        <v>3616</v>
      </c>
      <c r="C102" s="47" t="s">
        <v>124</v>
      </c>
      <c r="D102" s="37">
        <f>ROUND(D98*20,4)</f>
        <v>23</v>
      </c>
      <c r="E102" s="31">
        <v>1.9998782499999996</v>
      </c>
      <c r="F102" s="34">
        <f>IF(ISNUMBER(E102),E102*$D102,"")</f>
        <v>45.997199749999993</v>
      </c>
      <c r="G102" s="45"/>
      <c r="H102" s="46"/>
      <c r="I102" s="156">
        <v>0</v>
      </c>
    </row>
    <row r="103" spans="1:9" hidden="1" x14ac:dyDescent="0.25">
      <c r="A103" s="209"/>
      <c r="B103" s="51"/>
      <c r="C103" s="47"/>
      <c r="D103" s="37"/>
      <c r="E103" s="31" t="s">
        <v>558</v>
      </c>
      <c r="F103" s="34" t="str">
        <f>IF(ISNUMBER(E103),E103*$D103,"")</f>
        <v/>
      </c>
      <c r="G103" s="45"/>
      <c r="H103" s="46"/>
      <c r="I103" s="156">
        <v>0</v>
      </c>
    </row>
    <row r="104" spans="1:9" ht="15.75" hidden="1" customHeight="1" x14ac:dyDescent="0.25">
      <c r="A104" s="209"/>
      <c r="B104" s="48" t="s">
        <v>794</v>
      </c>
      <c r="C104" s="47"/>
      <c r="D104" s="37"/>
      <c r="E104" s="31" t="s">
        <v>558</v>
      </c>
      <c r="F104" s="34" t="str">
        <f>IF(ISNUMBER(E104),E104*$D104,"")</f>
        <v/>
      </c>
      <c r="G104" s="45"/>
      <c r="H104" s="46"/>
      <c r="I104" s="156">
        <v>0</v>
      </c>
    </row>
    <row r="105" spans="1:9" hidden="1" x14ac:dyDescent="0.25">
      <c r="A105" s="209"/>
      <c r="B105" s="36" t="s">
        <v>558</v>
      </c>
      <c r="C105" s="36"/>
      <c r="D105" s="93"/>
      <c r="E105" s="31" t="s">
        <v>558</v>
      </c>
      <c r="F105" s="31" t="str">
        <f>IF(ISNUMBER(E105),E105*$D105,"")</f>
        <v/>
      </c>
      <c r="G105" s="35"/>
      <c r="H105" s="31"/>
      <c r="I105" s="156">
        <v>0</v>
      </c>
    </row>
    <row r="106" spans="1:9" ht="15.75" hidden="1" thickBot="1" x14ac:dyDescent="0.3">
      <c r="A106" s="210" t="s">
        <v>502</v>
      </c>
      <c r="B106" s="41" t="s">
        <v>558</v>
      </c>
      <c r="C106" s="26" t="s">
        <v>513</v>
      </c>
      <c r="D106" s="94"/>
      <c r="E106" s="42" t="s">
        <v>558</v>
      </c>
      <c r="F106" s="42" t="str">
        <f>IF(ISNUMBER(E106),E106*$D106,"")</f>
        <v/>
      </c>
      <c r="G106" s="29"/>
      <c r="H106" s="30"/>
      <c r="I106" s="156">
        <v>0</v>
      </c>
    </row>
    <row r="107" spans="1:9" hidden="1" x14ac:dyDescent="0.25">
      <c r="A107" s="209"/>
      <c r="B107" s="32" t="s">
        <v>558</v>
      </c>
      <c r="C107" s="32"/>
      <c r="D107" s="92"/>
      <c r="E107" s="43" t="s">
        <v>558</v>
      </c>
      <c r="F107" s="31" t="str">
        <f>IF(ISNUMBER(E107),E107*$D107,"")</f>
        <v/>
      </c>
      <c r="G107" s="35"/>
      <c r="H107" s="31"/>
      <c r="I107" s="156">
        <v>0</v>
      </c>
    </row>
    <row r="108" spans="1:9" ht="25.5" hidden="1" x14ac:dyDescent="0.25">
      <c r="A108" s="209"/>
      <c r="B108" s="36" t="s">
        <v>1487</v>
      </c>
      <c r="C108" s="36" t="s">
        <v>292</v>
      </c>
      <c r="D108" s="37">
        <v>0.33300000000000002</v>
      </c>
      <c r="E108" s="34">
        <v>1.3109999999999999</v>
      </c>
      <c r="F108" s="34">
        <f>IF(ISNUMBER(E108),E108*$D108,"")</f>
        <v>0.43656299999999998</v>
      </c>
      <c r="G108" s="45">
        <f>SUM(F108:F110)</f>
        <v>1.3015380000000001</v>
      </c>
      <c r="H108" s="46"/>
      <c r="I108" s="156">
        <v>0</v>
      </c>
    </row>
    <row r="109" spans="1:9" ht="25.5" hidden="1" x14ac:dyDescent="0.25">
      <c r="A109" s="209"/>
      <c r="B109" s="36" t="s">
        <v>108</v>
      </c>
      <c r="C109" s="36" t="s">
        <v>742</v>
      </c>
      <c r="D109" s="37">
        <v>5.0000000000000001E-3</v>
      </c>
      <c r="E109" s="31">
        <v>17.3185</v>
      </c>
      <c r="F109" s="34">
        <f>IF(ISNUMBER(E109),E109*$D109,"")</f>
        <v>8.6592500000000003E-2</v>
      </c>
      <c r="G109" s="45"/>
      <c r="H109" s="46"/>
      <c r="I109" s="156">
        <v>0</v>
      </c>
    </row>
    <row r="110" spans="1:9" ht="15.75" hidden="1" customHeight="1" x14ac:dyDescent="0.25">
      <c r="A110" s="209"/>
      <c r="B110" s="36" t="s">
        <v>1486</v>
      </c>
      <c r="C110" s="36" t="s">
        <v>742</v>
      </c>
      <c r="D110" s="37">
        <v>3.5000000000000003E-2</v>
      </c>
      <c r="E110" s="31">
        <v>22.2395</v>
      </c>
      <c r="F110" s="34">
        <f>IF(ISNUMBER(E110),E110*$D110,"")</f>
        <v>0.77838250000000009</v>
      </c>
      <c r="G110" s="45"/>
      <c r="H110" s="46"/>
      <c r="I110" s="156">
        <v>0</v>
      </c>
    </row>
    <row r="111" spans="1:9" hidden="1" x14ac:dyDescent="0.25">
      <c r="A111" s="209"/>
      <c r="B111" s="36" t="s">
        <v>558</v>
      </c>
      <c r="C111" s="36"/>
      <c r="D111" s="93"/>
      <c r="E111" s="31" t="s">
        <v>558</v>
      </c>
      <c r="F111" s="31" t="str">
        <f>IF(ISNUMBER(E111),E111*$D111,"")</f>
        <v/>
      </c>
      <c r="G111" s="35"/>
      <c r="H111" s="31"/>
      <c r="I111" s="156">
        <v>0</v>
      </c>
    </row>
    <row r="112" spans="1:9" ht="15.75" hidden="1" thickBot="1" x14ac:dyDescent="0.3">
      <c r="A112" s="210" t="s">
        <v>517</v>
      </c>
      <c r="B112" s="41" t="s">
        <v>558</v>
      </c>
      <c r="C112" s="26" t="s">
        <v>292</v>
      </c>
      <c r="D112" s="94"/>
      <c r="E112" s="42" t="s">
        <v>558</v>
      </c>
      <c r="F112" s="42" t="str">
        <f>IF(ISNUMBER(E112),E112*$D112,"")</f>
        <v/>
      </c>
      <c r="G112" s="29"/>
      <c r="H112" s="30"/>
      <c r="I112" s="156">
        <v>0</v>
      </c>
    </row>
    <row r="113" spans="1:9" hidden="1" x14ac:dyDescent="0.25">
      <c r="A113" s="209"/>
      <c r="B113" s="32" t="s">
        <v>558</v>
      </c>
      <c r="C113" s="32"/>
      <c r="D113" s="92"/>
      <c r="E113" s="43" t="s">
        <v>558</v>
      </c>
      <c r="F113" s="31" t="str">
        <f>IF(ISNUMBER(E113),E113*$D113,"")</f>
        <v/>
      </c>
      <c r="G113" s="35"/>
      <c r="H113" s="31"/>
      <c r="I113" s="156">
        <v>0</v>
      </c>
    </row>
    <row r="114" spans="1:9" ht="25.5" hidden="1" x14ac:dyDescent="0.25">
      <c r="A114" s="209"/>
      <c r="B114" s="36" t="s">
        <v>1499</v>
      </c>
      <c r="C114" s="36" t="s">
        <v>292</v>
      </c>
      <c r="D114" s="37">
        <v>1</v>
      </c>
      <c r="E114" s="34">
        <v>1.6909999999999998</v>
      </c>
      <c r="F114" s="34">
        <f>IF(ISNUMBER(E114),E114*$D114,"")</f>
        <v>1.6909999999999998</v>
      </c>
      <c r="G114" s="45">
        <f>SUM(F114:F116)</f>
        <v>9.1265245999999998</v>
      </c>
      <c r="H114" s="46"/>
      <c r="I114" s="156">
        <v>0</v>
      </c>
    </row>
    <row r="115" spans="1:9" hidden="1" x14ac:dyDescent="0.25">
      <c r="A115" s="209"/>
      <c r="B115" s="36" t="s">
        <v>74</v>
      </c>
      <c r="C115" s="36" t="s">
        <v>742</v>
      </c>
      <c r="D115" s="37">
        <v>0.1827</v>
      </c>
      <c r="E115" s="31">
        <v>17.802999999999997</v>
      </c>
      <c r="F115" s="34">
        <f>IF(ISNUMBER(E115),E115*$D115,"")</f>
        <v>3.2526080999999993</v>
      </c>
      <c r="G115" s="45"/>
      <c r="H115" s="46"/>
      <c r="I115" s="156">
        <v>0</v>
      </c>
    </row>
    <row r="116" spans="1:9" ht="15.75" hidden="1" customHeight="1" x14ac:dyDescent="0.25">
      <c r="A116" s="209"/>
      <c r="B116" s="36" t="s">
        <v>30</v>
      </c>
      <c r="C116" s="36" t="s">
        <v>742</v>
      </c>
      <c r="D116" s="37">
        <v>0.1827</v>
      </c>
      <c r="E116" s="31">
        <v>22.895</v>
      </c>
      <c r="F116" s="34">
        <f>IF(ISNUMBER(E116),E116*$D116,"")</f>
        <v>4.1829165000000001</v>
      </c>
      <c r="G116" s="45"/>
      <c r="H116" s="46"/>
      <c r="I116" s="156">
        <v>0</v>
      </c>
    </row>
    <row r="117" spans="1:9" hidden="1" x14ac:dyDescent="0.25">
      <c r="A117" s="209"/>
      <c r="B117" s="36" t="s">
        <v>558</v>
      </c>
      <c r="C117" s="36"/>
      <c r="D117" s="93"/>
      <c r="E117" s="31" t="s">
        <v>558</v>
      </c>
      <c r="F117" s="31" t="str">
        <f>IF(ISNUMBER(E117),E117*$D117,"")</f>
        <v/>
      </c>
      <c r="G117" s="35"/>
      <c r="H117" s="31"/>
      <c r="I117" s="156">
        <v>0</v>
      </c>
    </row>
    <row r="118" spans="1:9" ht="15.75" hidden="1" thickBot="1" x14ac:dyDescent="0.3">
      <c r="A118" s="210" t="s">
        <v>509</v>
      </c>
      <c r="B118" s="41" t="s">
        <v>558</v>
      </c>
      <c r="C118" s="26" t="s">
        <v>292</v>
      </c>
      <c r="D118" s="94"/>
      <c r="E118" s="42" t="s">
        <v>558</v>
      </c>
      <c r="F118" s="42" t="str">
        <f>IF(ISNUMBER(E118),E118*$D118,"")</f>
        <v/>
      </c>
      <c r="G118" s="29"/>
      <c r="H118" s="30"/>
      <c r="I118" s="156">
        <v>0</v>
      </c>
    </row>
    <row r="119" spans="1:9" hidden="1" x14ac:dyDescent="0.25">
      <c r="A119" s="209"/>
      <c r="B119" s="32" t="s">
        <v>558</v>
      </c>
      <c r="C119" s="32"/>
      <c r="D119" s="92"/>
      <c r="E119" s="43" t="s">
        <v>558</v>
      </c>
      <c r="F119" s="31" t="str">
        <f>IF(ISNUMBER(E119),E119*$D119,"")</f>
        <v/>
      </c>
      <c r="G119" s="35"/>
      <c r="H119" s="31"/>
      <c r="I119" s="156">
        <v>0</v>
      </c>
    </row>
    <row r="120" spans="1:9" ht="25.5" hidden="1" x14ac:dyDescent="0.25">
      <c r="A120" s="209"/>
      <c r="B120" s="36" t="s">
        <v>1500</v>
      </c>
      <c r="C120" s="36" t="s">
        <v>292</v>
      </c>
      <c r="D120" s="37">
        <v>1</v>
      </c>
      <c r="E120" s="34">
        <v>1.9664999999999997</v>
      </c>
      <c r="F120" s="34">
        <f>IF(ISNUMBER(E120),E120*$D120,"")</f>
        <v>1.9664999999999997</v>
      </c>
      <c r="G120" s="45">
        <f>SUM(F120:F122)</f>
        <v>10.2404034</v>
      </c>
      <c r="H120" s="46"/>
      <c r="I120" s="156">
        <v>0</v>
      </c>
    </row>
    <row r="121" spans="1:9" hidden="1" x14ac:dyDescent="0.25">
      <c r="A121" s="209"/>
      <c r="B121" s="36" t="s">
        <v>74</v>
      </c>
      <c r="C121" s="36" t="s">
        <v>742</v>
      </c>
      <c r="D121" s="37">
        <v>0.20330000000000001</v>
      </c>
      <c r="E121" s="31">
        <v>17.802999999999997</v>
      </c>
      <c r="F121" s="34">
        <f>IF(ISNUMBER(E121),E121*$D121,"")</f>
        <v>3.6193498999999996</v>
      </c>
      <c r="G121" s="45"/>
      <c r="H121" s="46"/>
      <c r="I121" s="156">
        <v>0</v>
      </c>
    </row>
    <row r="122" spans="1:9" ht="15.75" hidden="1" customHeight="1" x14ac:dyDescent="0.25">
      <c r="A122" s="209"/>
      <c r="B122" s="36" t="s">
        <v>30</v>
      </c>
      <c r="C122" s="36" t="s">
        <v>742</v>
      </c>
      <c r="D122" s="37">
        <v>0.20330000000000001</v>
      </c>
      <c r="E122" s="31">
        <v>22.895</v>
      </c>
      <c r="F122" s="34">
        <f>IF(ISNUMBER(E122),E122*$D122,"")</f>
        <v>4.6545535000000005</v>
      </c>
      <c r="G122" s="45"/>
      <c r="H122" s="46"/>
      <c r="I122" s="156">
        <v>0</v>
      </c>
    </row>
    <row r="123" spans="1:9" hidden="1" x14ac:dyDescent="0.25">
      <c r="A123" s="209"/>
      <c r="B123" s="36" t="s">
        <v>558</v>
      </c>
      <c r="C123" s="36"/>
      <c r="D123" s="93"/>
      <c r="E123" s="31" t="s">
        <v>558</v>
      </c>
      <c r="F123" s="31" t="str">
        <f>IF(ISNUMBER(E123),E123*$D123,"")</f>
        <v/>
      </c>
      <c r="G123" s="35"/>
      <c r="H123" s="31"/>
      <c r="I123" s="156">
        <v>0</v>
      </c>
    </row>
    <row r="124" spans="1:9" ht="15.75" hidden="1" thickBot="1" x14ac:dyDescent="0.3">
      <c r="A124" s="210" t="s">
        <v>506</v>
      </c>
      <c r="B124" s="41" t="s">
        <v>558</v>
      </c>
      <c r="C124" s="26" t="s">
        <v>292</v>
      </c>
      <c r="D124" s="94"/>
      <c r="E124" s="42" t="s">
        <v>558</v>
      </c>
      <c r="F124" s="42" t="str">
        <f>IF(ISNUMBER(E124),E124*$D124,"")</f>
        <v/>
      </c>
      <c r="G124" s="29"/>
      <c r="H124" s="30"/>
      <c r="I124" s="156">
        <v>0</v>
      </c>
    </row>
    <row r="125" spans="1:9" hidden="1" x14ac:dyDescent="0.25">
      <c r="A125" s="209"/>
      <c r="B125" s="32" t="s">
        <v>558</v>
      </c>
      <c r="C125" s="32"/>
      <c r="D125" s="92"/>
      <c r="E125" s="43" t="s">
        <v>558</v>
      </c>
      <c r="F125" s="31" t="str">
        <f>IF(ISNUMBER(E125),E125*$D125,"")</f>
        <v/>
      </c>
      <c r="G125" s="35"/>
      <c r="H125" s="31"/>
      <c r="I125" s="156">
        <v>0</v>
      </c>
    </row>
    <row r="126" spans="1:9" ht="25.5" hidden="1" x14ac:dyDescent="0.25">
      <c r="A126" s="209"/>
      <c r="B126" s="36" t="s">
        <v>1501</v>
      </c>
      <c r="C126" s="36" t="s">
        <v>292</v>
      </c>
      <c r="D126" s="37">
        <v>1</v>
      </c>
      <c r="E126" s="34">
        <v>3.4864999999999999</v>
      </c>
      <c r="F126" s="34">
        <f>IF(ISNUMBER(E126),E126*$D126,"")</f>
        <v>3.4864999999999999</v>
      </c>
      <c r="G126" s="45">
        <f>SUM(F126:F128)</f>
        <v>12.936575599999998</v>
      </c>
      <c r="H126" s="46"/>
      <c r="I126" s="156">
        <v>0</v>
      </c>
    </row>
    <row r="127" spans="1:9" hidden="1" x14ac:dyDescent="0.25">
      <c r="A127" s="209"/>
      <c r="B127" s="36" t="s">
        <v>74</v>
      </c>
      <c r="C127" s="36" t="s">
        <v>742</v>
      </c>
      <c r="D127" s="37">
        <v>0.23219999999999999</v>
      </c>
      <c r="E127" s="31">
        <v>17.802999999999997</v>
      </c>
      <c r="F127" s="34">
        <f>IF(ISNUMBER(E127),E127*$D127,"")</f>
        <v>4.1338565999999988</v>
      </c>
      <c r="G127" s="45"/>
      <c r="H127" s="46"/>
      <c r="I127" s="156">
        <v>0</v>
      </c>
    </row>
    <row r="128" spans="1:9" ht="15.75" hidden="1" customHeight="1" x14ac:dyDescent="0.25">
      <c r="A128" s="209"/>
      <c r="B128" s="36" t="s">
        <v>30</v>
      </c>
      <c r="C128" s="36" t="s">
        <v>742</v>
      </c>
      <c r="D128" s="37">
        <v>0.23219999999999999</v>
      </c>
      <c r="E128" s="31">
        <v>22.895</v>
      </c>
      <c r="F128" s="34">
        <f>IF(ISNUMBER(E128),E128*$D128,"")</f>
        <v>5.3162189999999994</v>
      </c>
      <c r="G128" s="45"/>
      <c r="H128" s="46"/>
      <c r="I128" s="156">
        <v>0</v>
      </c>
    </row>
    <row r="129" spans="1:9" hidden="1" x14ac:dyDescent="0.25">
      <c r="A129" s="209"/>
      <c r="B129" s="36" t="s">
        <v>558</v>
      </c>
      <c r="C129" s="36"/>
      <c r="D129" s="93"/>
      <c r="E129" s="31" t="s">
        <v>558</v>
      </c>
      <c r="F129" s="31" t="str">
        <f>IF(ISNUMBER(E129),E129*$D129,"")</f>
        <v/>
      </c>
      <c r="G129" s="35"/>
      <c r="H129" s="31"/>
      <c r="I129" s="156">
        <v>0</v>
      </c>
    </row>
    <row r="130" spans="1:9" ht="15.75" hidden="1" thickBot="1" x14ac:dyDescent="0.3">
      <c r="A130" s="210" t="s">
        <v>503</v>
      </c>
      <c r="B130" s="41" t="s">
        <v>558</v>
      </c>
      <c r="C130" s="26" t="s">
        <v>292</v>
      </c>
      <c r="D130" s="94"/>
      <c r="E130" s="42" t="s">
        <v>558</v>
      </c>
      <c r="F130" s="42" t="str">
        <f>IF(ISNUMBER(E130),E130*$D130,"")</f>
        <v/>
      </c>
      <c r="G130" s="29"/>
      <c r="H130" s="30"/>
      <c r="I130" s="156">
        <v>0</v>
      </c>
    </row>
    <row r="131" spans="1:9" hidden="1" x14ac:dyDescent="0.25">
      <c r="A131" s="209"/>
      <c r="B131" s="32" t="s">
        <v>558</v>
      </c>
      <c r="C131" s="32"/>
      <c r="D131" s="92"/>
      <c r="E131" s="43" t="s">
        <v>558</v>
      </c>
      <c r="F131" s="31" t="str">
        <f>IF(ISNUMBER(E131),E131*$D131,"")</f>
        <v/>
      </c>
      <c r="G131" s="35"/>
      <c r="H131" s="31"/>
      <c r="I131" s="156">
        <v>0</v>
      </c>
    </row>
    <row r="132" spans="1:9" ht="25.5" hidden="1" x14ac:dyDescent="0.25">
      <c r="A132" s="209"/>
      <c r="B132" s="36" t="s">
        <v>1502</v>
      </c>
      <c r="C132" s="36" t="s">
        <v>292</v>
      </c>
      <c r="D132" s="37">
        <v>1</v>
      </c>
      <c r="E132" s="34">
        <v>5.0444999999999993</v>
      </c>
      <c r="F132" s="34">
        <f>IF(ISNUMBER(E132),E132*$D132,"")</f>
        <v>5.0444999999999993</v>
      </c>
      <c r="G132" s="45">
        <f>SUM(F132:F134)</f>
        <v>15.833539799999997</v>
      </c>
      <c r="H132" s="46"/>
      <c r="I132" s="156">
        <v>0</v>
      </c>
    </row>
    <row r="133" spans="1:9" hidden="1" x14ac:dyDescent="0.25">
      <c r="A133" s="209"/>
      <c r="B133" s="36" t="s">
        <v>74</v>
      </c>
      <c r="C133" s="36" t="s">
        <v>742</v>
      </c>
      <c r="D133" s="37">
        <v>0.2651</v>
      </c>
      <c r="E133" s="31">
        <v>17.802999999999997</v>
      </c>
      <c r="F133" s="34">
        <f>IF(ISNUMBER(E133),E133*$D133,"")</f>
        <v>4.7195752999999989</v>
      </c>
      <c r="G133" s="45"/>
      <c r="H133" s="46"/>
      <c r="I133" s="156">
        <v>0</v>
      </c>
    </row>
    <row r="134" spans="1:9" ht="15.75" hidden="1" customHeight="1" x14ac:dyDescent="0.25">
      <c r="A134" s="209"/>
      <c r="B134" s="36" t="s">
        <v>30</v>
      </c>
      <c r="C134" s="36" t="s">
        <v>742</v>
      </c>
      <c r="D134" s="37">
        <v>0.2651</v>
      </c>
      <c r="E134" s="31">
        <v>22.895</v>
      </c>
      <c r="F134" s="34">
        <f>IF(ISNUMBER(E134),E134*$D134,"")</f>
        <v>6.0694644999999996</v>
      </c>
      <c r="G134" s="45"/>
      <c r="H134" s="46"/>
      <c r="I134" s="156">
        <v>0</v>
      </c>
    </row>
    <row r="135" spans="1:9" hidden="1" x14ac:dyDescent="0.25">
      <c r="A135" s="209"/>
      <c r="B135" s="36" t="s">
        <v>558</v>
      </c>
      <c r="C135" s="36"/>
      <c r="D135" s="93"/>
      <c r="E135" s="31" t="s">
        <v>558</v>
      </c>
      <c r="F135" s="31" t="str">
        <f>IF(ISNUMBER(E135),E135*$D135,"")</f>
        <v/>
      </c>
      <c r="G135" s="35"/>
      <c r="H135" s="31"/>
      <c r="I135" s="156">
        <v>0</v>
      </c>
    </row>
    <row r="136" spans="1:9" ht="15.75" hidden="1" thickBot="1" x14ac:dyDescent="0.3">
      <c r="A136" s="210" t="s">
        <v>514</v>
      </c>
      <c r="B136" s="41" t="s">
        <v>558</v>
      </c>
      <c r="C136" s="26" t="s">
        <v>292</v>
      </c>
      <c r="D136" s="94"/>
      <c r="E136" s="42" t="s">
        <v>558</v>
      </c>
      <c r="F136" s="42" t="str">
        <f>IF(ISNUMBER(E136),E136*$D136,"")</f>
        <v/>
      </c>
      <c r="G136" s="29"/>
      <c r="H136" s="30"/>
      <c r="I136" s="156">
        <v>0</v>
      </c>
    </row>
    <row r="137" spans="1:9" hidden="1" x14ac:dyDescent="0.25">
      <c r="A137" s="209"/>
      <c r="B137" s="32" t="s">
        <v>558</v>
      </c>
      <c r="C137" s="32"/>
      <c r="D137" s="92"/>
      <c r="E137" s="43" t="s">
        <v>558</v>
      </c>
      <c r="F137" s="31" t="str">
        <f>IF(ISNUMBER(E137),E137*$D137,"")</f>
        <v/>
      </c>
      <c r="G137" s="35"/>
      <c r="H137" s="31"/>
      <c r="I137" s="156">
        <v>0</v>
      </c>
    </row>
    <row r="138" spans="1:9" ht="25.5" hidden="1" x14ac:dyDescent="0.25">
      <c r="A138" s="209"/>
      <c r="B138" s="36" t="s">
        <v>1503</v>
      </c>
      <c r="C138" s="36" t="s">
        <v>292</v>
      </c>
      <c r="D138" s="37">
        <v>1</v>
      </c>
      <c r="E138" s="34">
        <v>7.03</v>
      </c>
      <c r="F138" s="34">
        <f>IF(ISNUMBER(E138),E138*$D138,"")</f>
        <v>7.03</v>
      </c>
      <c r="G138" s="45">
        <f>SUM(F138:F140)</f>
        <v>17.819039799999999</v>
      </c>
      <c r="H138" s="46"/>
      <c r="I138" s="156">
        <v>0</v>
      </c>
    </row>
    <row r="139" spans="1:9" hidden="1" x14ac:dyDescent="0.25">
      <c r="A139" s="209"/>
      <c r="B139" s="36" t="s">
        <v>74</v>
      </c>
      <c r="C139" s="36" t="s">
        <v>742</v>
      </c>
      <c r="D139" s="37">
        <v>0.2651</v>
      </c>
      <c r="E139" s="31">
        <v>17.802999999999997</v>
      </c>
      <c r="F139" s="34">
        <f>IF(ISNUMBER(E139),E139*$D139,"")</f>
        <v>4.7195752999999989</v>
      </c>
      <c r="G139" s="45"/>
      <c r="H139" s="46"/>
      <c r="I139" s="156">
        <v>0</v>
      </c>
    </row>
    <row r="140" spans="1:9" ht="26.25" hidden="1" customHeight="1" x14ac:dyDescent="0.25">
      <c r="A140" s="209"/>
      <c r="B140" s="36" t="s">
        <v>30</v>
      </c>
      <c r="C140" s="36" t="s">
        <v>742</v>
      </c>
      <c r="D140" s="37">
        <v>0.2651</v>
      </c>
      <c r="E140" s="31">
        <v>22.895</v>
      </c>
      <c r="F140" s="34">
        <f>IF(ISNUMBER(E140),E140*$D140,"")</f>
        <v>6.0694644999999996</v>
      </c>
      <c r="G140" s="45"/>
      <c r="H140" s="46"/>
      <c r="I140" s="156">
        <v>0</v>
      </c>
    </row>
    <row r="141" spans="1:9" hidden="1" x14ac:dyDescent="0.25">
      <c r="A141" s="209"/>
      <c r="B141" s="36" t="s">
        <v>558</v>
      </c>
      <c r="C141" s="36"/>
      <c r="D141" s="93"/>
      <c r="E141" s="31" t="s">
        <v>558</v>
      </c>
      <c r="F141" s="31" t="str">
        <f>IF(ISNUMBER(E141),E141*$D141,"")</f>
        <v/>
      </c>
      <c r="G141" s="35"/>
      <c r="H141" s="31"/>
      <c r="I141" s="156">
        <v>0</v>
      </c>
    </row>
    <row r="142" spans="1:9" ht="15.75" hidden="1" thickBot="1" x14ac:dyDescent="0.3">
      <c r="A142" s="210" t="s">
        <v>1520</v>
      </c>
      <c r="B142" s="41" t="s">
        <v>558</v>
      </c>
      <c r="C142" s="26" t="s">
        <v>513</v>
      </c>
      <c r="D142" s="94"/>
      <c r="E142" s="42" t="s">
        <v>558</v>
      </c>
      <c r="F142" s="42" t="str">
        <f>IF(ISNUMBER(E142),E142*$D142,"")</f>
        <v/>
      </c>
      <c r="G142" s="29"/>
      <c r="H142" s="30"/>
      <c r="I142" s="156">
        <v>0</v>
      </c>
    </row>
    <row r="143" spans="1:9" hidden="1" x14ac:dyDescent="0.25">
      <c r="A143" s="209"/>
      <c r="B143" s="32" t="s">
        <v>558</v>
      </c>
      <c r="C143" s="32"/>
      <c r="D143" s="92"/>
      <c r="E143" s="98" t="s">
        <v>558</v>
      </c>
      <c r="F143" s="99" t="str">
        <f>IF(ISNUMBER(E143),E143*$D143,"")</f>
        <v/>
      </c>
      <c r="G143" s="35"/>
      <c r="H143" s="31"/>
      <c r="I143" s="156">
        <v>0</v>
      </c>
    </row>
    <row r="144" spans="1:9" ht="25.5" hidden="1" x14ac:dyDescent="0.25">
      <c r="A144" s="209"/>
      <c r="B144" s="36" t="s">
        <v>1521</v>
      </c>
      <c r="C144" s="36" t="s">
        <v>292</v>
      </c>
      <c r="D144" s="37">
        <v>0.33300000000000002</v>
      </c>
      <c r="E144" s="34">
        <v>2.698</v>
      </c>
      <c r="F144" s="34">
        <f>IF(ISNUMBER(E144),E144*$D144,"")</f>
        <v>0.89843400000000007</v>
      </c>
      <c r="G144" s="45">
        <f>SUM(F144:F146)</f>
        <v>2.5443470000000001</v>
      </c>
      <c r="H144" s="46"/>
      <c r="I144" s="156">
        <v>0</v>
      </c>
    </row>
    <row r="145" spans="1:9" ht="25.5" hidden="1" x14ac:dyDescent="0.25">
      <c r="A145" s="209"/>
      <c r="B145" s="36" t="s">
        <v>108</v>
      </c>
      <c r="C145" s="36" t="s">
        <v>742</v>
      </c>
      <c r="D145" s="37">
        <v>8.9999999999999993E-3</v>
      </c>
      <c r="E145" s="31">
        <v>17.3185</v>
      </c>
      <c r="F145" s="34">
        <f>IF(ISNUMBER(E145),E145*$D145,"")</f>
        <v>0.15586649999999999</v>
      </c>
      <c r="G145" s="45"/>
      <c r="H145" s="46"/>
      <c r="I145" s="156">
        <v>0</v>
      </c>
    </row>
    <row r="146" spans="1:9" hidden="1" x14ac:dyDescent="0.25">
      <c r="A146" s="209"/>
      <c r="B146" s="36" t="s">
        <v>1486</v>
      </c>
      <c r="C146" s="36" t="s">
        <v>742</v>
      </c>
      <c r="D146" s="37">
        <v>6.7000000000000004E-2</v>
      </c>
      <c r="E146" s="31">
        <v>22.2395</v>
      </c>
      <c r="F146" s="34">
        <f>IF(ISNUMBER(E146),E146*$D146,"")</f>
        <v>1.4900465000000001</v>
      </c>
      <c r="G146" s="45"/>
      <c r="H146" s="46"/>
      <c r="I146" s="156">
        <v>0</v>
      </c>
    </row>
    <row r="147" spans="1:9" hidden="1" x14ac:dyDescent="0.25">
      <c r="A147" s="209"/>
      <c r="B147" s="36" t="s">
        <v>558</v>
      </c>
      <c r="C147" s="36"/>
      <c r="D147" s="93"/>
      <c r="E147" s="31" t="s">
        <v>558</v>
      </c>
      <c r="F147" s="31" t="str">
        <f>IF(ISNUMBER(E147),E147*$D147,"")</f>
        <v/>
      </c>
      <c r="G147" s="35"/>
      <c r="H147" s="31"/>
      <c r="I147" s="156">
        <v>0</v>
      </c>
    </row>
    <row r="148" spans="1:9" ht="15.75" hidden="1" thickBot="1" x14ac:dyDescent="0.3">
      <c r="A148" s="210" t="s">
        <v>1504</v>
      </c>
      <c r="B148" s="41" t="s">
        <v>558</v>
      </c>
      <c r="C148" s="26" t="s">
        <v>513</v>
      </c>
      <c r="D148" s="94"/>
      <c r="E148" s="42" t="s">
        <v>558</v>
      </c>
      <c r="F148" s="42" t="str">
        <f>IF(ISNUMBER(E148),E148*$D148,"")</f>
        <v/>
      </c>
      <c r="G148" s="29"/>
      <c r="H148" s="30"/>
      <c r="I148" s="156">
        <v>0</v>
      </c>
    </row>
    <row r="149" spans="1:9" hidden="1" x14ac:dyDescent="0.25">
      <c r="A149" s="209"/>
      <c r="B149" s="32" t="s">
        <v>558</v>
      </c>
      <c r="C149" s="32"/>
      <c r="D149" s="92"/>
      <c r="E149" s="43" t="s">
        <v>558</v>
      </c>
      <c r="F149" s="31" t="str">
        <f>IF(ISNUMBER(E149),E149*$D149,"")</f>
        <v/>
      </c>
      <c r="G149" s="35"/>
      <c r="H149" s="31"/>
      <c r="I149" s="156">
        <v>0</v>
      </c>
    </row>
    <row r="150" spans="1:9" ht="25.5" hidden="1" x14ac:dyDescent="0.25">
      <c r="A150" s="209"/>
      <c r="B150" s="36" t="s">
        <v>1505</v>
      </c>
      <c r="C150" s="36" t="s">
        <v>292</v>
      </c>
      <c r="D150" s="37">
        <v>0.33300000000000002</v>
      </c>
      <c r="E150" s="34">
        <v>2.9924999999999997</v>
      </c>
      <c r="F150" s="34">
        <f>IF(ISNUMBER(E150),E150*$D150,"")</f>
        <v>0.99650249999999996</v>
      </c>
      <c r="G150" s="45">
        <f>SUM(F150:F152)</f>
        <v>2.6424155000000003</v>
      </c>
      <c r="H150" s="46"/>
      <c r="I150" s="156">
        <v>0</v>
      </c>
    </row>
    <row r="151" spans="1:9" ht="25.5" hidden="1" x14ac:dyDescent="0.25">
      <c r="A151" s="209"/>
      <c r="B151" s="36" t="s">
        <v>108</v>
      </c>
      <c r="C151" s="36" t="s">
        <v>742</v>
      </c>
      <c r="D151" s="37">
        <v>8.9999999999999993E-3</v>
      </c>
      <c r="E151" s="31">
        <v>17.3185</v>
      </c>
      <c r="F151" s="34">
        <f>IF(ISNUMBER(E151),E151*$D151,"")</f>
        <v>0.15586649999999999</v>
      </c>
      <c r="G151" s="45"/>
      <c r="H151" s="46"/>
      <c r="I151" s="156">
        <v>0</v>
      </c>
    </row>
    <row r="152" spans="1:9" hidden="1" x14ac:dyDescent="0.25">
      <c r="A152" s="209"/>
      <c r="B152" s="36" t="s">
        <v>1486</v>
      </c>
      <c r="C152" s="36" t="s">
        <v>742</v>
      </c>
      <c r="D152" s="37">
        <v>6.7000000000000004E-2</v>
      </c>
      <c r="E152" s="31">
        <v>22.2395</v>
      </c>
      <c r="F152" s="34">
        <f>IF(ISNUMBER(E152),E152*$D152,"")</f>
        <v>1.4900465000000001</v>
      </c>
      <c r="G152" s="45"/>
      <c r="H152" s="46"/>
      <c r="I152" s="156">
        <v>0</v>
      </c>
    </row>
    <row r="153" spans="1:9" hidden="1" x14ac:dyDescent="0.25">
      <c r="A153" s="209"/>
      <c r="B153" s="36" t="s">
        <v>558</v>
      </c>
      <c r="C153" s="36"/>
      <c r="D153" s="93"/>
      <c r="E153" s="31" t="s">
        <v>558</v>
      </c>
      <c r="F153" s="31" t="str">
        <f>IF(ISNUMBER(E153),E153*$D153,"")</f>
        <v/>
      </c>
      <c r="G153" s="35"/>
      <c r="H153" s="31"/>
      <c r="I153" s="156">
        <v>0</v>
      </c>
    </row>
    <row r="154" spans="1:9" ht="26.25" hidden="1" customHeight="1" thickBot="1" x14ac:dyDescent="0.3">
      <c r="A154" s="210" t="s">
        <v>167</v>
      </c>
      <c r="B154" s="41" t="s">
        <v>558</v>
      </c>
      <c r="C154" s="26" t="s">
        <v>122</v>
      </c>
      <c r="D154" s="94"/>
      <c r="E154" s="42" t="s">
        <v>558</v>
      </c>
      <c r="F154" s="42" t="str">
        <f>IF(ISNUMBER(E154),E154*$D154,"")</f>
        <v/>
      </c>
      <c r="G154" s="29"/>
      <c r="H154" s="30"/>
      <c r="I154" s="156">
        <v>0</v>
      </c>
    </row>
    <row r="155" spans="1:9" hidden="1" x14ac:dyDescent="0.25">
      <c r="A155" s="209"/>
      <c r="B155" s="32" t="s">
        <v>558</v>
      </c>
      <c r="C155" s="32"/>
      <c r="D155" s="92"/>
      <c r="E155" s="43" t="s">
        <v>558</v>
      </c>
      <c r="F155" s="31" t="str">
        <f>IF(ISNUMBER(E155),E155*$D155,"")</f>
        <v/>
      </c>
      <c r="G155" s="35"/>
      <c r="H155" s="31"/>
      <c r="I155" s="156">
        <v>0</v>
      </c>
    </row>
    <row r="156" spans="1:9" hidden="1" x14ac:dyDescent="0.25">
      <c r="A156" s="209"/>
      <c r="B156" s="36" t="s">
        <v>115</v>
      </c>
      <c r="C156" s="36" t="s">
        <v>122</v>
      </c>
      <c r="D156" s="37">
        <v>1.18</v>
      </c>
      <c r="E156" s="34">
        <v>85.5</v>
      </c>
      <c r="F156" s="34">
        <f>IF(ISNUMBER(E156),E156*$D156,"")</f>
        <v>100.89</v>
      </c>
      <c r="G156" s="45">
        <f>SUM(F156:F164)</f>
        <v>470.28425017900003</v>
      </c>
      <c r="H156" s="46"/>
      <c r="I156" s="156">
        <v>0</v>
      </c>
    </row>
    <row r="157" spans="1:9" hidden="1" x14ac:dyDescent="0.25">
      <c r="A157" s="209"/>
      <c r="B157" s="36" t="s">
        <v>1492</v>
      </c>
      <c r="C157" s="36" t="s">
        <v>938</v>
      </c>
      <c r="D157" s="37">
        <v>157.44</v>
      </c>
      <c r="E157" s="34">
        <v>0.8929999999999999</v>
      </c>
      <c r="F157" s="34">
        <f>IF(ISNUMBER(E157),E157*$D157,"")</f>
        <v>140.59392</v>
      </c>
      <c r="G157" s="45"/>
      <c r="H157" s="46"/>
      <c r="I157" s="156">
        <v>0</v>
      </c>
    </row>
    <row r="158" spans="1:9" hidden="1" x14ac:dyDescent="0.25">
      <c r="A158" s="209"/>
      <c r="B158" s="36" t="s">
        <v>116</v>
      </c>
      <c r="C158" s="36" t="s">
        <v>938</v>
      </c>
      <c r="D158" s="37">
        <v>177.12</v>
      </c>
      <c r="E158" s="34">
        <v>0.52249999999999996</v>
      </c>
      <c r="F158" s="34">
        <f>IF(ISNUMBER(E158),E158*$D158,"")</f>
        <v>92.545199999999994</v>
      </c>
      <c r="G158" s="45"/>
      <c r="H158" s="46"/>
      <c r="I158" s="156">
        <v>0</v>
      </c>
    </row>
    <row r="159" spans="1:9" hidden="1" x14ac:dyDescent="0.25">
      <c r="A159" s="209"/>
      <c r="B159" s="36" t="s">
        <v>1485</v>
      </c>
      <c r="C159" s="36" t="s">
        <v>742</v>
      </c>
      <c r="D159" s="37">
        <v>0.79</v>
      </c>
      <c r="E159" s="31">
        <v>16.729499999999998</v>
      </c>
      <c r="F159" s="34">
        <f>IF(ISNUMBER(E159),E159*$D159,"")</f>
        <v>13.216304999999998</v>
      </c>
      <c r="G159" s="45"/>
      <c r="H159" s="46"/>
      <c r="I159" s="156">
        <v>0</v>
      </c>
    </row>
    <row r="160" spans="1:9" ht="25.5" hidden="1" x14ac:dyDescent="0.25">
      <c r="A160" s="209"/>
      <c r="B160" s="36" t="s">
        <v>118</v>
      </c>
      <c r="C160" s="36" t="s">
        <v>742</v>
      </c>
      <c r="D160" s="37">
        <v>3.65</v>
      </c>
      <c r="E160" s="31">
        <v>16.928999999999998</v>
      </c>
      <c r="F160" s="34">
        <f>IF(ISNUMBER(E160),E160*$D160,"")</f>
        <v>61.790849999999992</v>
      </c>
      <c r="G160" s="45"/>
      <c r="H160" s="46"/>
      <c r="I160" s="156">
        <v>0</v>
      </c>
    </row>
    <row r="161" spans="1:9" ht="38.25" hidden="1" x14ac:dyDescent="0.25">
      <c r="A161" s="209"/>
      <c r="B161" s="36" t="s">
        <v>1506</v>
      </c>
      <c r="C161" s="36" t="s">
        <v>982</v>
      </c>
      <c r="D161" s="37">
        <v>0.85</v>
      </c>
      <c r="E161" s="31">
        <v>3.9425000000000003</v>
      </c>
      <c r="F161" s="34">
        <f>IF(ISNUMBER(E161),E161*$D161,"")</f>
        <v>3.3511250000000001</v>
      </c>
      <c r="G161" s="45"/>
      <c r="H161" s="46"/>
      <c r="I161" s="156">
        <v>0</v>
      </c>
    </row>
    <row r="162" spans="1:9" ht="38.25" hidden="1" x14ac:dyDescent="0.25">
      <c r="A162" s="209"/>
      <c r="B162" s="36" t="s">
        <v>1507</v>
      </c>
      <c r="C162" s="36" t="s">
        <v>984</v>
      </c>
      <c r="D162" s="37">
        <v>2.8</v>
      </c>
      <c r="E162" s="31">
        <v>1.254</v>
      </c>
      <c r="F162" s="34">
        <f>IF(ISNUMBER(E162),E162*$D162,"")</f>
        <v>3.5111999999999997</v>
      </c>
      <c r="G162" s="45"/>
      <c r="H162" s="46"/>
      <c r="I162" s="156">
        <v>0</v>
      </c>
    </row>
    <row r="163" spans="1:9" ht="51" hidden="1" x14ac:dyDescent="0.25">
      <c r="A163" s="209"/>
      <c r="B163" s="36" t="s">
        <v>3617</v>
      </c>
      <c r="C163" s="36" t="s">
        <v>122</v>
      </c>
      <c r="D163" s="37">
        <f>ROUND(1*D156,4)</f>
        <v>1.18</v>
      </c>
      <c r="E163" s="31">
        <v>6.0919690499999994</v>
      </c>
      <c r="F163" s="34">
        <f>IF(ISNUMBER(E163),E163*$D163,"")</f>
        <v>7.1885234789999988</v>
      </c>
      <c r="G163" s="45"/>
      <c r="H163" s="46"/>
      <c r="I163" s="156">
        <v>0</v>
      </c>
    </row>
    <row r="164" spans="1:9" ht="38.25" hidden="1" x14ac:dyDescent="0.25">
      <c r="A164" s="209"/>
      <c r="B164" s="36" t="s">
        <v>3616</v>
      </c>
      <c r="C164" s="47" t="s">
        <v>124</v>
      </c>
      <c r="D164" s="37">
        <f>ROUND(D156*20,4)</f>
        <v>23.6</v>
      </c>
      <c r="E164" s="31">
        <v>1.9998782499999996</v>
      </c>
      <c r="F164" s="34">
        <f>IF(ISNUMBER(E164),E164*$D164,"")</f>
        <v>47.197126699999991</v>
      </c>
      <c r="G164" s="45"/>
      <c r="H164" s="46"/>
      <c r="I164" s="156">
        <v>0</v>
      </c>
    </row>
    <row r="165" spans="1:9" hidden="1" x14ac:dyDescent="0.25">
      <c r="A165" s="209"/>
      <c r="B165" s="51"/>
      <c r="C165" s="47"/>
      <c r="D165" s="37"/>
      <c r="E165" s="31" t="s">
        <v>558</v>
      </c>
      <c r="F165" s="34" t="str">
        <f>IF(ISNUMBER(E165),E165*$D165,"")</f>
        <v/>
      </c>
      <c r="G165" s="45"/>
      <c r="H165" s="46"/>
      <c r="I165" s="156">
        <v>0</v>
      </c>
    </row>
    <row r="166" spans="1:9" ht="15.75" hidden="1" customHeight="1" x14ac:dyDescent="0.25">
      <c r="A166" s="209"/>
      <c r="B166" s="48" t="s">
        <v>794</v>
      </c>
      <c r="C166" s="47"/>
      <c r="D166" s="37"/>
      <c r="E166" s="31" t="s">
        <v>558</v>
      </c>
      <c r="F166" s="34" t="str">
        <f>IF(ISNUMBER(E166),E166*$D166,"")</f>
        <v/>
      </c>
      <c r="G166" s="45"/>
      <c r="H166" s="46"/>
      <c r="I166" s="156">
        <v>0</v>
      </c>
    </row>
    <row r="167" spans="1:9" hidden="1" x14ac:dyDescent="0.25">
      <c r="A167" s="209"/>
      <c r="B167" s="36"/>
      <c r="C167" s="36"/>
      <c r="D167" s="93"/>
      <c r="E167" s="31" t="s">
        <v>558</v>
      </c>
      <c r="F167" s="31" t="str">
        <f>IF(ISNUMBER(E167),E167*$D167,"")</f>
        <v/>
      </c>
      <c r="G167" s="35"/>
      <c r="H167" s="31"/>
      <c r="I167" s="156">
        <v>0</v>
      </c>
    </row>
    <row r="168" spans="1:9" ht="15.75" hidden="1" thickBot="1" x14ac:dyDescent="0.3">
      <c r="A168" s="210" t="s">
        <v>1411</v>
      </c>
      <c r="B168" s="41" t="s">
        <v>558</v>
      </c>
      <c r="C168" s="26" t="s">
        <v>122</v>
      </c>
      <c r="D168" s="94"/>
      <c r="E168" s="42" t="s">
        <v>558</v>
      </c>
      <c r="F168" s="42" t="str">
        <f>IF(ISNUMBER(E168),E168*$D168,"")</f>
        <v/>
      </c>
      <c r="G168" s="29"/>
      <c r="H168" s="30"/>
      <c r="I168" s="156">
        <v>0</v>
      </c>
    </row>
    <row r="169" spans="1:9" hidden="1" x14ac:dyDescent="0.25">
      <c r="A169" s="209"/>
      <c r="B169" s="32" t="s">
        <v>558</v>
      </c>
      <c r="C169" s="32"/>
      <c r="D169" s="92"/>
      <c r="E169" s="43" t="s">
        <v>558</v>
      </c>
      <c r="F169" s="31" t="str">
        <f>IF(ISNUMBER(E169),E169*$D169,"")</f>
        <v/>
      </c>
      <c r="G169" s="35"/>
      <c r="H169" s="31"/>
      <c r="I169" s="156">
        <v>0</v>
      </c>
    </row>
    <row r="170" spans="1:9" hidden="1" x14ac:dyDescent="0.25">
      <c r="A170" s="209"/>
      <c r="B170" s="36" t="s">
        <v>115</v>
      </c>
      <c r="C170" s="36" t="s">
        <v>122</v>
      </c>
      <c r="D170" s="37">
        <v>1.36</v>
      </c>
      <c r="E170" s="34">
        <v>85.5</v>
      </c>
      <c r="F170" s="34">
        <f>IF(ISNUMBER(E170),E170*$D170,"")</f>
        <v>116.28000000000002</v>
      </c>
      <c r="G170" s="45">
        <f>SUM(F170:F176)</f>
        <v>504.02649630799999</v>
      </c>
      <c r="H170" s="46"/>
      <c r="I170" s="156">
        <v>0</v>
      </c>
    </row>
    <row r="171" spans="1:9" hidden="1" x14ac:dyDescent="0.25">
      <c r="A171" s="209"/>
      <c r="B171" s="36" t="s">
        <v>116</v>
      </c>
      <c r="C171" s="36" t="s">
        <v>938</v>
      </c>
      <c r="D171" s="37">
        <v>459.85</v>
      </c>
      <c r="E171" s="34">
        <v>0.52249999999999996</v>
      </c>
      <c r="F171" s="34">
        <f>IF(ISNUMBER(E171),E171*$D171,"")</f>
        <v>240.271625</v>
      </c>
      <c r="G171" s="45"/>
      <c r="H171" s="46"/>
      <c r="I171" s="156">
        <v>0</v>
      </c>
    </row>
    <row r="172" spans="1:9" ht="15.75" hidden="1" customHeight="1" x14ac:dyDescent="0.25">
      <c r="A172" s="209"/>
      <c r="B172" s="36" t="s">
        <v>118</v>
      </c>
      <c r="C172" s="36" t="s">
        <v>742</v>
      </c>
      <c r="D172" s="37">
        <v>4.8499999999999996</v>
      </c>
      <c r="E172" s="31">
        <v>16.928999999999998</v>
      </c>
      <c r="F172" s="34">
        <f>IF(ISNUMBER(E172),E172*$D172,"")</f>
        <v>82.105649999999983</v>
      </c>
      <c r="G172" s="45"/>
      <c r="H172" s="46"/>
      <c r="I172" s="156">
        <v>0</v>
      </c>
    </row>
    <row r="173" spans="1:9" ht="38.25" hidden="1" x14ac:dyDescent="0.25">
      <c r="A173" s="209"/>
      <c r="B173" s="36" t="s">
        <v>1493</v>
      </c>
      <c r="C173" s="36" t="s">
        <v>982</v>
      </c>
      <c r="D173" s="37">
        <v>1.1299999999999999</v>
      </c>
      <c r="E173" s="31">
        <v>1.3774999999999999</v>
      </c>
      <c r="F173" s="34">
        <f>IF(ISNUMBER(E173),E173*$D173,"")</f>
        <v>1.5565749999999998</v>
      </c>
      <c r="G173" s="45"/>
      <c r="H173" s="46"/>
      <c r="I173" s="156">
        <v>0</v>
      </c>
    </row>
    <row r="174" spans="1:9" ht="38.25" hidden="1" x14ac:dyDescent="0.25">
      <c r="A174" s="209"/>
      <c r="B174" s="36" t="s">
        <v>1494</v>
      </c>
      <c r="C174" s="36" t="s">
        <v>984</v>
      </c>
      <c r="D174" s="37">
        <v>3.72</v>
      </c>
      <c r="E174" s="31">
        <v>0.30399999999999999</v>
      </c>
      <c r="F174" s="34">
        <f>IF(ISNUMBER(E174),E174*$D174,"")</f>
        <v>1.1308800000000001</v>
      </c>
      <c r="G174" s="45"/>
      <c r="H174" s="46"/>
      <c r="I174" s="156">
        <v>0</v>
      </c>
    </row>
    <row r="175" spans="1:9" ht="51" hidden="1" x14ac:dyDescent="0.25">
      <c r="A175" s="209"/>
      <c r="B175" s="36" t="s">
        <v>3617</v>
      </c>
      <c r="C175" s="36" t="s">
        <v>122</v>
      </c>
      <c r="D175" s="37">
        <f>ROUND(1*D170,4)</f>
        <v>1.36</v>
      </c>
      <c r="E175" s="31">
        <v>6.0919690499999994</v>
      </c>
      <c r="F175" s="34">
        <f>IF(ISNUMBER(E175),E175*$D175,"")</f>
        <v>8.2850779079999999</v>
      </c>
      <c r="G175" s="45"/>
      <c r="H175" s="46"/>
      <c r="I175" s="156">
        <v>0</v>
      </c>
    </row>
    <row r="176" spans="1:9" ht="38.25" hidden="1" x14ac:dyDescent="0.25">
      <c r="A176" s="209"/>
      <c r="B176" s="36" t="s">
        <v>3616</v>
      </c>
      <c r="C176" s="47" t="s">
        <v>124</v>
      </c>
      <c r="D176" s="37">
        <f>ROUND(D170*20,4)</f>
        <v>27.2</v>
      </c>
      <c r="E176" s="31">
        <v>1.9998782499999996</v>
      </c>
      <c r="F176" s="34">
        <f>IF(ISNUMBER(E176),E176*$D176,"")</f>
        <v>54.396688399999988</v>
      </c>
      <c r="G176" s="45"/>
      <c r="H176" s="46"/>
      <c r="I176" s="156">
        <v>0</v>
      </c>
    </row>
    <row r="177" spans="1:9" hidden="1" x14ac:dyDescent="0.25">
      <c r="A177" s="209"/>
      <c r="B177" s="51"/>
      <c r="C177" s="47"/>
      <c r="D177" s="37"/>
      <c r="E177" s="31" t="s">
        <v>558</v>
      </c>
      <c r="F177" s="34" t="str">
        <f>IF(ISNUMBER(E177),E177*$D177,"")</f>
        <v/>
      </c>
      <c r="G177" s="45"/>
      <c r="H177" s="46"/>
      <c r="I177" s="156">
        <v>0</v>
      </c>
    </row>
    <row r="178" spans="1:9" ht="15.75" hidden="1" customHeight="1" x14ac:dyDescent="0.25">
      <c r="A178" s="209"/>
      <c r="B178" s="48" t="s">
        <v>794</v>
      </c>
      <c r="C178" s="47"/>
      <c r="D178" s="37"/>
      <c r="E178" s="31" t="s">
        <v>558</v>
      </c>
      <c r="F178" s="34" t="str">
        <f>IF(ISNUMBER(E178),E178*$D178,"")</f>
        <v/>
      </c>
      <c r="G178" s="45"/>
      <c r="H178" s="46"/>
      <c r="I178" s="156">
        <v>0</v>
      </c>
    </row>
    <row r="179" spans="1:9" hidden="1" x14ac:dyDescent="0.25">
      <c r="A179" s="209"/>
      <c r="B179" s="36"/>
      <c r="C179" s="36"/>
      <c r="D179" s="93"/>
      <c r="E179" s="31" t="s">
        <v>558</v>
      </c>
      <c r="F179" s="31" t="str">
        <f>IF(ISNUMBER(E179),E179*$D179,"")</f>
        <v/>
      </c>
      <c r="G179" s="35"/>
      <c r="H179" s="31"/>
      <c r="I179" s="156">
        <v>0</v>
      </c>
    </row>
    <row r="180" spans="1:9" ht="15.75" hidden="1" thickBot="1" x14ac:dyDescent="0.3">
      <c r="A180" s="210" t="s">
        <v>985</v>
      </c>
      <c r="B180" s="41" t="s">
        <v>558</v>
      </c>
      <c r="C180" s="26" t="s">
        <v>122</v>
      </c>
      <c r="D180" s="94"/>
      <c r="E180" s="42" t="s">
        <v>558</v>
      </c>
      <c r="F180" s="42" t="str">
        <f>IF(ISNUMBER(E180),E180*$D180,"")</f>
        <v/>
      </c>
      <c r="G180" s="29"/>
      <c r="H180" s="30"/>
      <c r="I180" s="156">
        <v>0</v>
      </c>
    </row>
    <row r="181" spans="1:9" hidden="1" x14ac:dyDescent="0.25">
      <c r="A181" s="209"/>
      <c r="B181" s="32" t="s">
        <v>558</v>
      </c>
      <c r="C181" s="32"/>
      <c r="D181" s="92"/>
      <c r="E181" s="43" t="s">
        <v>558</v>
      </c>
      <c r="F181" s="31" t="str">
        <f>IF(ISNUMBER(E181),E181*$D181,"")</f>
        <v/>
      </c>
      <c r="G181" s="35"/>
      <c r="H181" s="31"/>
      <c r="I181" s="156">
        <v>0</v>
      </c>
    </row>
    <row r="182" spans="1:9" ht="51" hidden="1" x14ac:dyDescent="0.25">
      <c r="A182" s="209"/>
      <c r="B182" s="36" t="s">
        <v>987</v>
      </c>
      <c r="C182" s="36" t="s">
        <v>982</v>
      </c>
      <c r="D182" s="37">
        <v>6.0000000000000001E-3</v>
      </c>
      <c r="E182" s="34">
        <v>214.0445</v>
      </c>
      <c r="F182" s="34">
        <f>IF(ISNUMBER(E182),E182*$D182,"")</f>
        <v>1.284267</v>
      </c>
      <c r="G182" s="45">
        <f>SUM(F182:F184)</f>
        <v>1.5531074999999999</v>
      </c>
      <c r="H182" s="46"/>
      <c r="I182" s="156">
        <v>0</v>
      </c>
    </row>
    <row r="183" spans="1:9" ht="51" hidden="1" x14ac:dyDescent="0.25">
      <c r="A183" s="209"/>
      <c r="B183" s="36" t="s">
        <v>988</v>
      </c>
      <c r="C183" s="36" t="s">
        <v>984</v>
      </c>
      <c r="D183" s="37">
        <v>3.0000000000000001E-3</v>
      </c>
      <c r="E183" s="34">
        <v>39.424999999999997</v>
      </c>
      <c r="F183" s="34">
        <f>IF(ISNUMBER(E183),E183*$D183,"")</f>
        <v>0.11827499999999999</v>
      </c>
      <c r="G183" s="45"/>
      <c r="H183" s="46"/>
      <c r="I183" s="156">
        <v>0</v>
      </c>
    </row>
    <row r="184" spans="1:9" ht="15.75" hidden="1" customHeight="1" x14ac:dyDescent="0.25">
      <c r="A184" s="209"/>
      <c r="B184" s="36" t="s">
        <v>743</v>
      </c>
      <c r="C184" s="36" t="s">
        <v>742</v>
      </c>
      <c r="D184" s="37">
        <v>8.9999999999999993E-3</v>
      </c>
      <c r="E184" s="34">
        <v>16.729499999999998</v>
      </c>
      <c r="F184" s="34">
        <f>IF(ISNUMBER(E184),E184*$D184,"")</f>
        <v>0.15056549999999996</v>
      </c>
      <c r="G184" s="45"/>
      <c r="H184" s="46"/>
      <c r="I184" s="156">
        <v>0</v>
      </c>
    </row>
    <row r="185" spans="1:9" hidden="1" x14ac:dyDescent="0.25">
      <c r="A185" s="209"/>
      <c r="B185" s="36"/>
      <c r="C185" s="36"/>
      <c r="D185" s="93"/>
      <c r="E185" s="31" t="s">
        <v>558</v>
      </c>
      <c r="F185" s="31" t="str">
        <f>IF(ISNUMBER(E185),E185*$D185,"")</f>
        <v/>
      </c>
      <c r="G185" s="35"/>
      <c r="H185" s="31"/>
      <c r="I185" s="156">
        <v>0</v>
      </c>
    </row>
    <row r="186" spans="1:9" ht="15.75" hidden="1" thickBot="1" x14ac:dyDescent="0.3">
      <c r="A186" s="210" t="s">
        <v>942</v>
      </c>
      <c r="B186" s="41" t="s">
        <v>558</v>
      </c>
      <c r="C186" s="26" t="s">
        <v>938</v>
      </c>
      <c r="D186" s="94"/>
      <c r="E186" s="42" t="s">
        <v>558</v>
      </c>
      <c r="F186" s="42" t="str">
        <f>IF(ISNUMBER(E186),E186*$D186,"")</f>
        <v/>
      </c>
      <c r="G186" s="29"/>
      <c r="H186" s="30"/>
      <c r="I186" s="156">
        <v>0</v>
      </c>
    </row>
    <row r="187" spans="1:9" hidden="1" x14ac:dyDescent="0.25">
      <c r="A187" s="209"/>
      <c r="B187" s="32" t="s">
        <v>558</v>
      </c>
      <c r="C187" s="32"/>
      <c r="D187" s="92"/>
      <c r="E187" s="43" t="s">
        <v>558</v>
      </c>
      <c r="F187" s="31" t="str">
        <f>IF(ISNUMBER(E187),E187*$D187,"")</f>
        <v/>
      </c>
      <c r="G187" s="35"/>
      <c r="H187" s="31"/>
      <c r="I187" s="156">
        <v>0</v>
      </c>
    </row>
    <row r="188" spans="1:9" hidden="1" x14ac:dyDescent="0.25">
      <c r="A188" s="209"/>
      <c r="B188" s="36" t="s">
        <v>808</v>
      </c>
      <c r="C188" s="36" t="s">
        <v>938</v>
      </c>
      <c r="D188" s="37">
        <v>1.1100000000000001</v>
      </c>
      <c r="E188" s="34">
        <v>12.2645</v>
      </c>
      <c r="F188" s="34">
        <f>IF(ISNUMBER(E188),E188*$D188,"")</f>
        <v>13.613595000000002</v>
      </c>
      <c r="G188" s="45">
        <f>SUM(F188:F190)</f>
        <v>14.175691000000002</v>
      </c>
      <c r="H188" s="46"/>
      <c r="I188" s="156">
        <v>0</v>
      </c>
    </row>
    <row r="189" spans="1:9" ht="15.75" hidden="1" customHeight="1" x14ac:dyDescent="0.25">
      <c r="A189" s="209"/>
      <c r="B189" s="36" t="s">
        <v>940</v>
      </c>
      <c r="C189" s="36" t="s">
        <v>742</v>
      </c>
      <c r="D189" s="37">
        <v>3.2000000000000002E-3</v>
      </c>
      <c r="E189" s="34">
        <v>17.518000000000001</v>
      </c>
      <c r="F189" s="34">
        <f>IF(ISNUMBER(E189),E189*$D189,"")</f>
        <v>5.6057600000000006E-2</v>
      </c>
      <c r="G189" s="45"/>
      <c r="H189" s="46"/>
      <c r="I189" s="156">
        <v>0</v>
      </c>
    </row>
    <row r="190" spans="1:9" hidden="1" x14ac:dyDescent="0.25">
      <c r="A190" s="209"/>
      <c r="B190" s="36" t="s">
        <v>941</v>
      </c>
      <c r="C190" s="36" t="s">
        <v>742</v>
      </c>
      <c r="D190" s="37">
        <v>2.24E-2</v>
      </c>
      <c r="E190" s="34">
        <v>22.591000000000001</v>
      </c>
      <c r="F190" s="34">
        <f>IF(ISNUMBER(E190),E190*$D190,"")</f>
        <v>0.5060384</v>
      </c>
      <c r="G190" s="45"/>
      <c r="H190" s="46"/>
      <c r="I190" s="156">
        <v>0</v>
      </c>
    </row>
    <row r="191" spans="1:9" hidden="1" x14ac:dyDescent="0.25">
      <c r="A191" s="209"/>
      <c r="B191" s="36" t="s">
        <v>558</v>
      </c>
      <c r="C191" s="36"/>
      <c r="D191" s="93"/>
      <c r="E191" s="31" t="s">
        <v>558</v>
      </c>
      <c r="F191" s="31" t="str">
        <f>IF(ISNUMBER(E191),E191*$D191,"")</f>
        <v/>
      </c>
      <c r="G191" s="35"/>
      <c r="H191" s="31"/>
      <c r="I191" s="156">
        <v>0</v>
      </c>
    </row>
    <row r="192" spans="1:9" ht="15.75" hidden="1" thickBot="1" x14ac:dyDescent="0.3">
      <c r="A192" s="210" t="s">
        <v>975</v>
      </c>
      <c r="B192" s="41" t="s">
        <v>558</v>
      </c>
      <c r="C192" s="26" t="s">
        <v>938</v>
      </c>
      <c r="D192" s="94"/>
      <c r="E192" s="42" t="s">
        <v>558</v>
      </c>
      <c r="F192" s="42" t="str">
        <f>IF(ISNUMBER(E192),E192*$D192,"")</f>
        <v/>
      </c>
      <c r="G192" s="29"/>
      <c r="H192" s="30"/>
      <c r="I192" s="156">
        <v>0</v>
      </c>
    </row>
    <row r="193" spans="1:9" ht="15.75" hidden="1" customHeight="1" x14ac:dyDescent="0.25">
      <c r="A193" s="209"/>
      <c r="B193" s="32" t="s">
        <v>558</v>
      </c>
      <c r="C193" s="32"/>
      <c r="D193" s="92"/>
      <c r="E193" s="43" t="s">
        <v>558</v>
      </c>
      <c r="F193" s="31" t="str">
        <f>IF(ISNUMBER(E193),E193*$D193,"")</f>
        <v/>
      </c>
      <c r="G193" s="35"/>
      <c r="H193" s="31"/>
      <c r="I193" s="156">
        <v>0</v>
      </c>
    </row>
    <row r="194" spans="1:9" hidden="1" x14ac:dyDescent="0.25">
      <c r="A194" s="209"/>
      <c r="B194" s="36" t="s">
        <v>812</v>
      </c>
      <c r="C194" s="36" t="s">
        <v>938</v>
      </c>
      <c r="D194" s="37">
        <v>1.1100000000000001</v>
      </c>
      <c r="E194" s="34">
        <v>10.012999999999998</v>
      </c>
      <c r="F194" s="34">
        <f>IF(ISNUMBER(E194),E194*$D194,"")</f>
        <v>11.114429999999999</v>
      </c>
      <c r="G194" s="45">
        <f>SUM(F194:F196)</f>
        <v>11.290084999999999</v>
      </c>
      <c r="H194" s="46"/>
      <c r="I194" s="156">
        <v>0</v>
      </c>
    </row>
    <row r="195" spans="1:9" hidden="1" x14ac:dyDescent="0.25">
      <c r="A195" s="209"/>
      <c r="B195" s="36" t="s">
        <v>940</v>
      </c>
      <c r="C195" s="36" t="s">
        <v>742</v>
      </c>
      <c r="D195" s="37">
        <v>1E-3</v>
      </c>
      <c r="E195" s="34">
        <v>17.518000000000001</v>
      </c>
      <c r="F195" s="34">
        <f>IF(ISNUMBER(E195),E195*$D195,"")</f>
        <v>1.7518000000000002E-2</v>
      </c>
      <c r="G195" s="45"/>
      <c r="H195" s="46"/>
      <c r="I195" s="156">
        <v>0</v>
      </c>
    </row>
    <row r="196" spans="1:9" hidden="1" x14ac:dyDescent="0.25">
      <c r="A196" s="209"/>
      <c r="B196" s="36" t="s">
        <v>941</v>
      </c>
      <c r="C196" s="36" t="s">
        <v>742</v>
      </c>
      <c r="D196" s="37">
        <v>7.0000000000000001E-3</v>
      </c>
      <c r="E196" s="34">
        <v>22.591000000000001</v>
      </c>
      <c r="F196" s="34">
        <f>IF(ISNUMBER(E196),E196*$D196,"")</f>
        <v>0.158137</v>
      </c>
      <c r="G196" s="45"/>
      <c r="H196" s="46"/>
      <c r="I196" s="156">
        <v>0</v>
      </c>
    </row>
    <row r="197" spans="1:9" hidden="1" x14ac:dyDescent="0.25">
      <c r="A197" s="209"/>
      <c r="B197" s="36" t="s">
        <v>558</v>
      </c>
      <c r="C197" s="36"/>
      <c r="D197" s="93"/>
      <c r="E197" s="31" t="s">
        <v>558</v>
      </c>
      <c r="F197" s="31" t="str">
        <f>IF(ISNUMBER(E197),E197*$D197,"")</f>
        <v/>
      </c>
      <c r="G197" s="35"/>
      <c r="H197" s="31"/>
      <c r="I197" s="156">
        <v>0</v>
      </c>
    </row>
    <row r="198" spans="1:9" ht="15.75" hidden="1" thickBot="1" x14ac:dyDescent="0.3">
      <c r="A198" s="210" t="s">
        <v>977</v>
      </c>
      <c r="B198" s="41" t="s">
        <v>558</v>
      </c>
      <c r="C198" s="26" t="s">
        <v>938</v>
      </c>
      <c r="D198" s="94"/>
      <c r="E198" s="42" t="s">
        <v>558</v>
      </c>
      <c r="F198" s="42" t="str">
        <f>IF(ISNUMBER(E198),E198*$D198,"")</f>
        <v/>
      </c>
      <c r="G198" s="29"/>
      <c r="H198" s="30"/>
      <c r="I198" s="156">
        <v>0</v>
      </c>
    </row>
    <row r="199" spans="1:9" hidden="1" x14ac:dyDescent="0.25">
      <c r="A199" s="209"/>
      <c r="B199" s="32" t="s">
        <v>558</v>
      </c>
      <c r="C199" s="32"/>
      <c r="D199" s="92"/>
      <c r="E199" s="43" t="s">
        <v>558</v>
      </c>
      <c r="F199" s="31" t="str">
        <f>IF(ISNUMBER(E199),E199*$D199,"")</f>
        <v/>
      </c>
      <c r="G199" s="35"/>
      <c r="H199" s="31"/>
      <c r="I199" s="156">
        <v>0</v>
      </c>
    </row>
    <row r="200" spans="1:9" hidden="1" x14ac:dyDescent="0.25">
      <c r="A200" s="209"/>
      <c r="B200" s="36" t="s">
        <v>1508</v>
      </c>
      <c r="C200" s="36" t="s">
        <v>938</v>
      </c>
      <c r="D200" s="37">
        <v>1.1399999999999999</v>
      </c>
      <c r="E200" s="34">
        <v>11.5425</v>
      </c>
      <c r="F200" s="34">
        <f>IF(ISNUMBER(E200),E200*$D200,"")</f>
        <v>13.15845</v>
      </c>
      <c r="G200" s="45">
        <f>SUM(F200:F201)</f>
        <v>13.203632000000001</v>
      </c>
      <c r="H200" s="46"/>
      <c r="I200" s="156">
        <v>0</v>
      </c>
    </row>
    <row r="201" spans="1:9" ht="15.75" hidden="1" customHeight="1" x14ac:dyDescent="0.25">
      <c r="A201" s="209"/>
      <c r="B201" s="36" t="s">
        <v>941</v>
      </c>
      <c r="C201" s="36" t="s">
        <v>742</v>
      </c>
      <c r="D201" s="37">
        <v>2E-3</v>
      </c>
      <c r="E201" s="34">
        <v>22.591000000000001</v>
      </c>
      <c r="F201" s="34">
        <f>IF(ISNUMBER(E201),E201*$D201,"")</f>
        <v>4.5182E-2</v>
      </c>
      <c r="G201" s="45"/>
      <c r="H201" s="46"/>
      <c r="I201" s="156">
        <v>0</v>
      </c>
    </row>
    <row r="202" spans="1:9" hidden="1" x14ac:dyDescent="0.25">
      <c r="A202" s="209"/>
      <c r="B202" s="36" t="s">
        <v>558</v>
      </c>
      <c r="C202" s="36"/>
      <c r="D202" s="93"/>
      <c r="E202" s="31" t="s">
        <v>558</v>
      </c>
      <c r="F202" s="31" t="str">
        <f>IF(ISNUMBER(E202),E202*$D202,"")</f>
        <v/>
      </c>
      <c r="G202" s="35"/>
      <c r="H202" s="31"/>
      <c r="I202" s="156">
        <v>0</v>
      </c>
    </row>
    <row r="203" spans="1:9" ht="15.75" hidden="1" thickBot="1" x14ac:dyDescent="0.3">
      <c r="A203" s="210" t="s">
        <v>1028</v>
      </c>
      <c r="B203" s="41" t="s">
        <v>558</v>
      </c>
      <c r="C203" s="26" t="s">
        <v>1029</v>
      </c>
      <c r="D203" s="94"/>
      <c r="E203" s="42" t="s">
        <v>558</v>
      </c>
      <c r="F203" s="42" t="str">
        <f>IF(ISNUMBER(E203),E203*$D203,"")</f>
        <v/>
      </c>
      <c r="G203" s="29"/>
      <c r="H203" s="30"/>
      <c r="I203" s="156">
        <v>0</v>
      </c>
    </row>
    <row r="204" spans="1:9" hidden="1" x14ac:dyDescent="0.25">
      <c r="A204" s="209"/>
      <c r="B204" s="32" t="s">
        <v>558</v>
      </c>
      <c r="C204" s="32"/>
      <c r="D204" s="92"/>
      <c r="E204" s="43" t="s">
        <v>558</v>
      </c>
      <c r="F204" s="31" t="str">
        <f>IF(ISNUMBER(E204),E204*$D204,"")</f>
        <v/>
      </c>
      <c r="G204" s="35"/>
      <c r="H204" s="31"/>
      <c r="I204" s="156">
        <v>0</v>
      </c>
    </row>
    <row r="205" spans="1:9" hidden="1" x14ac:dyDescent="0.25">
      <c r="A205" s="209"/>
      <c r="B205" s="36" t="s">
        <v>743</v>
      </c>
      <c r="C205" s="36" t="s">
        <v>742</v>
      </c>
      <c r="D205" s="37">
        <v>0.61180000000000001</v>
      </c>
      <c r="E205" s="34">
        <v>16.729499999999998</v>
      </c>
      <c r="F205" s="34">
        <f>IF(ISNUMBER(E205),E205*$D205,"")</f>
        <v>10.2351081</v>
      </c>
      <c r="G205" s="45">
        <f>SUM(F205:F205)</f>
        <v>10.2351081</v>
      </c>
      <c r="H205" s="46"/>
      <c r="I205" s="156">
        <v>0</v>
      </c>
    </row>
    <row r="206" spans="1:9" ht="15.75" hidden="1" customHeight="1" thickBot="1" x14ac:dyDescent="0.3">
      <c r="A206" s="211"/>
      <c r="B206" s="55" t="s">
        <v>558</v>
      </c>
      <c r="C206" s="55"/>
      <c r="D206" s="96"/>
      <c r="E206" s="67" t="s">
        <v>558</v>
      </c>
      <c r="F206" s="67" t="str">
        <f>IF(ISNUMBER(E206),E206*$D206,"")</f>
        <v/>
      </c>
      <c r="G206" s="69"/>
      <c r="H206" s="31"/>
      <c r="I206" s="156">
        <v>0</v>
      </c>
    </row>
    <row r="207" spans="1:9" ht="15.75" hidden="1" thickBot="1" x14ac:dyDescent="0.3">
      <c r="A207" s="210" t="s">
        <v>114</v>
      </c>
      <c r="B207" s="41" t="s">
        <v>558</v>
      </c>
      <c r="C207" s="26" t="s">
        <v>122</v>
      </c>
      <c r="D207" s="94"/>
      <c r="E207" s="42" t="s">
        <v>558</v>
      </c>
      <c r="F207" s="42" t="str">
        <f>IF(ISNUMBER(E207),E207*$D207,"")</f>
        <v/>
      </c>
      <c r="G207" s="29"/>
      <c r="H207" s="30"/>
      <c r="I207" s="156">
        <v>0</v>
      </c>
    </row>
    <row r="208" spans="1:9" hidden="1" x14ac:dyDescent="0.25">
      <c r="A208" s="209"/>
      <c r="B208" s="32" t="s">
        <v>558</v>
      </c>
      <c r="C208" s="32"/>
      <c r="D208" s="92"/>
      <c r="E208" s="43" t="s">
        <v>558</v>
      </c>
      <c r="F208" s="31" t="str">
        <f>IF(ISNUMBER(E208),E208*$D208,"")</f>
        <v/>
      </c>
      <c r="G208" s="35"/>
      <c r="H208" s="31"/>
      <c r="I208" s="156">
        <v>0</v>
      </c>
    </row>
    <row r="209" spans="1:9" hidden="1" x14ac:dyDescent="0.25">
      <c r="A209" s="209"/>
      <c r="B209" s="36" t="s">
        <v>78</v>
      </c>
      <c r="C209" s="36" t="s">
        <v>12</v>
      </c>
      <c r="D209" s="37">
        <v>1.8460000000000001</v>
      </c>
      <c r="E209" s="34">
        <v>22.495999999999999</v>
      </c>
      <c r="F209" s="34">
        <f>IF(ISNUMBER(E209),E209*$D209,"")</f>
        <v>41.527616000000002</v>
      </c>
      <c r="G209" s="45">
        <f>SUM(F209:F213)</f>
        <v>177.566115</v>
      </c>
      <c r="H209" s="46"/>
      <c r="I209" s="156">
        <v>0</v>
      </c>
    </row>
    <row r="210" spans="1:9" hidden="1" x14ac:dyDescent="0.25">
      <c r="A210" s="209"/>
      <c r="B210" s="36" t="s">
        <v>22</v>
      </c>
      <c r="C210" s="36" t="s">
        <v>12</v>
      </c>
      <c r="D210" s="37">
        <v>1.8460000000000001</v>
      </c>
      <c r="E210" s="34">
        <v>22.704999999999998</v>
      </c>
      <c r="F210" s="34">
        <f>IF(ISNUMBER(E210),E210*$D210,"")</f>
        <v>41.913429999999998</v>
      </c>
      <c r="G210" s="45"/>
      <c r="H210" s="46"/>
      <c r="I210" s="156">
        <v>0</v>
      </c>
    </row>
    <row r="211" spans="1:9" ht="15.75" hidden="1" customHeight="1" x14ac:dyDescent="0.25">
      <c r="A211" s="209"/>
      <c r="B211" s="36" t="s">
        <v>23</v>
      </c>
      <c r="C211" s="36" t="s">
        <v>12</v>
      </c>
      <c r="D211" s="37">
        <f>5.538</f>
        <v>5.5380000000000003</v>
      </c>
      <c r="E211" s="31">
        <v>16.729499999999998</v>
      </c>
      <c r="F211" s="34">
        <f>IF(ISNUMBER(E211),E211*$D211,"")</f>
        <v>92.647970999999998</v>
      </c>
      <c r="G211" s="45"/>
      <c r="H211" s="46"/>
      <c r="I211" s="156">
        <v>0</v>
      </c>
    </row>
    <row r="212" spans="1:9" ht="25.5" hidden="1" x14ac:dyDescent="0.25">
      <c r="A212" s="209"/>
      <c r="B212" s="36" t="s">
        <v>1509</v>
      </c>
      <c r="C212" s="47" t="s">
        <v>33</v>
      </c>
      <c r="D212" s="37">
        <v>0.67200000000000004</v>
      </c>
      <c r="E212" s="31">
        <v>1.5009999999999999</v>
      </c>
      <c r="F212" s="95">
        <f>IF(ISNUMBER(E212),E212*$D212,"")</f>
        <v>1.008672</v>
      </c>
      <c r="G212" s="45"/>
      <c r="H212" s="46"/>
      <c r="I212" s="156">
        <v>0</v>
      </c>
    </row>
    <row r="213" spans="1:9" ht="25.5" hidden="1" x14ac:dyDescent="0.25">
      <c r="A213" s="209"/>
      <c r="B213" s="36" t="s">
        <v>1510</v>
      </c>
      <c r="C213" s="47" t="s">
        <v>35</v>
      </c>
      <c r="D213" s="37">
        <v>1.1739999999999999</v>
      </c>
      <c r="E213" s="31">
        <v>0.39899999999999997</v>
      </c>
      <c r="F213" s="95">
        <f>IF(ISNUMBER(E213),E213*$D213,"")</f>
        <v>0.46842599999999995</v>
      </c>
      <c r="G213" s="45"/>
      <c r="H213" s="46"/>
      <c r="I213" s="156">
        <v>0</v>
      </c>
    </row>
    <row r="214" spans="1:9" hidden="1" x14ac:dyDescent="0.25">
      <c r="A214" s="209"/>
      <c r="B214" s="36"/>
      <c r="C214" s="36"/>
      <c r="D214" s="93"/>
      <c r="E214" s="31" t="s">
        <v>558</v>
      </c>
      <c r="F214" s="31" t="str">
        <f>IF(ISNUMBER(E214),E214*$D214,"")</f>
        <v/>
      </c>
      <c r="G214" s="35"/>
      <c r="H214" s="31"/>
      <c r="I214" s="156">
        <v>0</v>
      </c>
    </row>
    <row r="215" spans="1:9" ht="15.75" hidden="1" thickBot="1" x14ac:dyDescent="0.3">
      <c r="A215" s="210" t="s">
        <v>3616</v>
      </c>
      <c r="B215" s="41" t="s">
        <v>558</v>
      </c>
      <c r="C215" s="26" t="s">
        <v>124</v>
      </c>
      <c r="D215" s="94"/>
      <c r="E215" s="42" t="s">
        <v>558</v>
      </c>
      <c r="F215" s="42" t="str">
        <f>IF(ISNUMBER(E215),E215*$D215,"")</f>
        <v/>
      </c>
      <c r="G215" s="29"/>
      <c r="H215" s="30"/>
      <c r="I215" s="156">
        <v>0</v>
      </c>
    </row>
    <row r="216" spans="1:9" hidden="1" x14ac:dyDescent="0.25">
      <c r="A216" s="209"/>
      <c r="B216" s="32" t="s">
        <v>558</v>
      </c>
      <c r="C216" s="32"/>
      <c r="D216" s="92"/>
      <c r="E216" s="43" t="s">
        <v>558</v>
      </c>
      <c r="F216" s="31" t="str">
        <f>IF(ISNUMBER(E216),E216*$D216,"")</f>
        <v/>
      </c>
      <c r="G216" s="35"/>
      <c r="H216" s="31"/>
      <c r="I216" s="156">
        <v>0</v>
      </c>
    </row>
    <row r="217" spans="1:9" ht="51" hidden="1" x14ac:dyDescent="0.25">
      <c r="A217" s="209"/>
      <c r="B217" s="36" t="s">
        <v>1119</v>
      </c>
      <c r="C217" s="36" t="s">
        <v>982</v>
      </c>
      <c r="D217" s="37">
        <v>1.3899999999999999E-2</v>
      </c>
      <c r="E217" s="34">
        <v>127.72749999999998</v>
      </c>
      <c r="F217" s="34">
        <f>IF(ISNUMBER(E217),E217*$D217,"")</f>
        <v>1.7754122499999996</v>
      </c>
      <c r="G217" s="45">
        <f>SUM(F217:F218)</f>
        <v>1.9998782499999996</v>
      </c>
      <c r="H217" s="46"/>
      <c r="I217" s="156">
        <v>0</v>
      </c>
    </row>
    <row r="218" spans="1:9" ht="51" hidden="1" x14ac:dyDescent="0.25">
      <c r="A218" s="209"/>
      <c r="B218" s="36" t="s">
        <v>1120</v>
      </c>
      <c r="C218" s="36" t="s">
        <v>984</v>
      </c>
      <c r="D218" s="37">
        <v>6.0000000000000001E-3</v>
      </c>
      <c r="E218" s="34">
        <v>37.411000000000001</v>
      </c>
      <c r="F218" s="34">
        <f>IF(ISNUMBER(E218),E218*$D218,"")</f>
        <v>0.22446600000000003</v>
      </c>
      <c r="G218" s="45"/>
      <c r="H218" s="46"/>
      <c r="I218" s="156">
        <v>0</v>
      </c>
    </row>
    <row r="219" spans="1:9" ht="15.75" hidden="1" thickBot="1" x14ac:dyDescent="0.3">
      <c r="A219" s="211"/>
      <c r="B219" s="55" t="s">
        <v>558</v>
      </c>
      <c r="C219" s="55"/>
      <c r="D219" s="96"/>
      <c r="E219" s="67" t="s">
        <v>558</v>
      </c>
      <c r="F219" s="67" t="str">
        <f>IF(ISNUMBER(E219),E219*$D219,"")</f>
        <v/>
      </c>
      <c r="G219" s="69"/>
      <c r="H219" s="31"/>
      <c r="I219" s="156">
        <v>0</v>
      </c>
    </row>
    <row r="220" spans="1:9" ht="15.75" hidden="1" thickBot="1" x14ac:dyDescent="0.3">
      <c r="A220" s="210" t="s">
        <v>3614</v>
      </c>
      <c r="B220" s="41" t="s">
        <v>558</v>
      </c>
      <c r="C220" s="26" t="s">
        <v>793</v>
      </c>
      <c r="D220" s="94"/>
      <c r="E220" s="42" t="s">
        <v>558</v>
      </c>
      <c r="F220" s="42" t="str">
        <f>IF(ISNUMBER(E220),E220*$D220,"")</f>
        <v/>
      </c>
      <c r="G220" s="29"/>
      <c r="H220" s="30"/>
      <c r="I220" s="156">
        <v>0</v>
      </c>
    </row>
    <row r="221" spans="1:9" hidden="1" x14ac:dyDescent="0.25">
      <c r="A221" s="209"/>
      <c r="B221" s="32" t="s">
        <v>558</v>
      </c>
      <c r="C221" s="32"/>
      <c r="D221" s="92"/>
      <c r="E221" s="43" t="s">
        <v>558</v>
      </c>
      <c r="F221" s="31" t="str">
        <f>IF(ISNUMBER(E221),E221*$D221,"")</f>
        <v/>
      </c>
      <c r="G221" s="35"/>
      <c r="H221" s="31"/>
      <c r="I221" s="156">
        <v>0</v>
      </c>
    </row>
    <row r="222" spans="1:9" ht="51" hidden="1" x14ac:dyDescent="0.25">
      <c r="A222" s="209"/>
      <c r="B222" s="36" t="s">
        <v>1119</v>
      </c>
      <c r="C222" s="36" t="s">
        <v>982</v>
      </c>
      <c r="D222" s="37">
        <v>9.2999999999999992E-3</v>
      </c>
      <c r="E222" s="34">
        <v>127.72749999999998</v>
      </c>
      <c r="F222" s="34">
        <f>IF(ISNUMBER(E222),E222*$D222,"")</f>
        <v>1.1878657499999996</v>
      </c>
      <c r="G222" s="45">
        <f>SUM(F222:F223)</f>
        <v>1.3375097499999997</v>
      </c>
      <c r="H222" s="46"/>
      <c r="I222" s="156">
        <v>0</v>
      </c>
    </row>
    <row r="223" spans="1:9" ht="51" hidden="1" x14ac:dyDescent="0.25">
      <c r="A223" s="209"/>
      <c r="B223" s="36" t="s">
        <v>1120</v>
      </c>
      <c r="C223" s="36" t="s">
        <v>984</v>
      </c>
      <c r="D223" s="37">
        <v>4.0000000000000001E-3</v>
      </c>
      <c r="E223" s="34">
        <v>37.411000000000001</v>
      </c>
      <c r="F223" s="34">
        <f>IF(ISNUMBER(E223),E223*$D223,"")</f>
        <v>0.149644</v>
      </c>
      <c r="G223" s="45"/>
      <c r="H223" s="46"/>
      <c r="I223" s="156">
        <v>0</v>
      </c>
    </row>
    <row r="224" spans="1:9" ht="15.75" hidden="1" thickBot="1" x14ac:dyDescent="0.3">
      <c r="A224" s="211"/>
      <c r="B224" s="55" t="s">
        <v>558</v>
      </c>
      <c r="C224" s="55"/>
      <c r="D224" s="96"/>
      <c r="E224" s="67" t="s">
        <v>558</v>
      </c>
      <c r="F224" s="67" t="str">
        <f>IF(ISNUMBER(E224),E224*$D224,"")</f>
        <v/>
      </c>
      <c r="G224" s="69"/>
      <c r="H224" s="31"/>
      <c r="I224" s="156">
        <v>0</v>
      </c>
    </row>
    <row r="225" spans="1:9" ht="15.75" hidden="1" customHeight="1" thickBot="1" x14ac:dyDescent="0.3">
      <c r="A225" s="210" t="s">
        <v>1115</v>
      </c>
      <c r="B225" s="41" t="s">
        <v>558</v>
      </c>
      <c r="C225" s="26" t="s">
        <v>122</v>
      </c>
      <c r="D225" s="94"/>
      <c r="E225" s="42" t="s">
        <v>558</v>
      </c>
      <c r="F225" s="42" t="str">
        <f>IF(ISNUMBER(E225),E225*$D225,"")</f>
        <v/>
      </c>
      <c r="G225" s="29"/>
      <c r="H225" s="30"/>
      <c r="I225" s="156">
        <v>0</v>
      </c>
    </row>
    <row r="226" spans="1:9" hidden="1" x14ac:dyDescent="0.25">
      <c r="A226" s="209"/>
      <c r="B226" s="32" t="s">
        <v>558</v>
      </c>
      <c r="C226" s="32"/>
      <c r="D226" s="92"/>
      <c r="E226" s="43" t="s">
        <v>558</v>
      </c>
      <c r="F226" s="31" t="str">
        <f>IF(ISNUMBER(E226),E226*$D226,"")</f>
        <v/>
      </c>
      <c r="G226" s="35"/>
      <c r="H226" s="31"/>
      <c r="I226" s="156">
        <v>0</v>
      </c>
    </row>
    <row r="227" spans="1:9" ht="25.5" hidden="1" x14ac:dyDescent="0.25">
      <c r="A227" s="209"/>
      <c r="B227" s="36" t="s">
        <v>791</v>
      </c>
      <c r="C227" s="36" t="s">
        <v>122</v>
      </c>
      <c r="D227" s="37">
        <v>0.76100000000000001</v>
      </c>
      <c r="E227" s="34">
        <v>85.5</v>
      </c>
      <c r="F227" s="34">
        <f>IF(ISNUMBER(E227),E227*$D227,"")</f>
        <v>65.0655</v>
      </c>
      <c r="G227" s="45">
        <f>SUM(F227:F235)</f>
        <v>430.14854703560002</v>
      </c>
      <c r="H227" s="46"/>
      <c r="I227" s="156">
        <v>0</v>
      </c>
    </row>
    <row r="228" spans="1:9" hidden="1" x14ac:dyDescent="0.25">
      <c r="A228" s="209"/>
      <c r="B228" s="36" t="s">
        <v>787</v>
      </c>
      <c r="C228" s="36" t="s">
        <v>938</v>
      </c>
      <c r="D228" s="37">
        <v>325.16000000000003</v>
      </c>
      <c r="E228" s="34">
        <v>0.52249999999999996</v>
      </c>
      <c r="F228" s="34">
        <f>IF(ISNUMBER(E228),E228*$D228,"")</f>
        <v>169.89609999999999</v>
      </c>
      <c r="G228" s="45"/>
      <c r="H228" s="46"/>
      <c r="I228" s="156">
        <v>0</v>
      </c>
    </row>
    <row r="229" spans="1:9" ht="25.5" hidden="1" x14ac:dyDescent="0.25">
      <c r="A229" s="209"/>
      <c r="B229" s="36" t="s">
        <v>799</v>
      </c>
      <c r="C229" s="36" t="s">
        <v>122</v>
      </c>
      <c r="D229" s="37">
        <v>0.59099999999999997</v>
      </c>
      <c r="E229" s="34">
        <v>124.982</v>
      </c>
      <c r="F229" s="34">
        <f>IF(ISNUMBER(E229),E229*$D229,"")</f>
        <v>73.864362</v>
      </c>
      <c r="G229" s="45"/>
      <c r="H229" s="46"/>
      <c r="I229" s="156">
        <v>0</v>
      </c>
    </row>
    <row r="230" spans="1:9" hidden="1" x14ac:dyDescent="0.25">
      <c r="A230" s="209"/>
      <c r="B230" s="36" t="s">
        <v>743</v>
      </c>
      <c r="C230" s="36" t="s">
        <v>742</v>
      </c>
      <c r="D230" s="37">
        <v>2.0299999999999998</v>
      </c>
      <c r="E230" s="31">
        <v>16.729499999999998</v>
      </c>
      <c r="F230" s="34">
        <f>IF(ISNUMBER(E230),E230*$D230,"")</f>
        <v>33.96088499999999</v>
      </c>
      <c r="G230" s="45"/>
      <c r="H230" s="46"/>
      <c r="I230" s="156">
        <v>0</v>
      </c>
    </row>
    <row r="231" spans="1:9" ht="25.5" hidden="1" x14ac:dyDescent="0.25">
      <c r="A231" s="209"/>
      <c r="B231" s="36" t="s">
        <v>1512</v>
      </c>
      <c r="C231" s="36" t="s">
        <v>742</v>
      </c>
      <c r="D231" s="37">
        <v>1.28</v>
      </c>
      <c r="E231" s="31">
        <v>16.928999999999998</v>
      </c>
      <c r="F231" s="95">
        <f>IF(ISNUMBER(E231),E231*$D231,"")</f>
        <v>21.669119999999999</v>
      </c>
      <c r="G231" s="45"/>
      <c r="H231" s="46"/>
      <c r="I231" s="156">
        <v>0</v>
      </c>
    </row>
    <row r="232" spans="1:9" ht="38.25" hidden="1" x14ac:dyDescent="0.25">
      <c r="A232" s="209"/>
      <c r="B232" s="36" t="s">
        <v>1433</v>
      </c>
      <c r="C232" s="36" t="s">
        <v>982</v>
      </c>
      <c r="D232" s="37">
        <v>0.66</v>
      </c>
      <c r="E232" s="31">
        <v>3.9425000000000003</v>
      </c>
      <c r="F232" s="95">
        <f>IF(ISNUMBER(E232),E232*$D232,"")</f>
        <v>2.6020500000000002</v>
      </c>
      <c r="G232" s="45"/>
      <c r="H232" s="46"/>
      <c r="I232" s="156">
        <v>0</v>
      </c>
    </row>
    <row r="233" spans="1:9" ht="38.25" hidden="1" x14ac:dyDescent="0.25">
      <c r="A233" s="209"/>
      <c r="B233" s="36" t="s">
        <v>1513</v>
      </c>
      <c r="C233" s="47" t="s">
        <v>984</v>
      </c>
      <c r="D233" s="37">
        <v>0.62</v>
      </c>
      <c r="E233" s="31">
        <v>1.254</v>
      </c>
      <c r="F233" s="34">
        <f>IF(ISNUMBER(E233),E233*$D233,"")</f>
        <v>0.77747999999999995</v>
      </c>
      <c r="G233" s="45"/>
      <c r="H233" s="46"/>
      <c r="I233" s="156">
        <v>0</v>
      </c>
    </row>
    <row r="234" spans="1:9" ht="51" hidden="1" x14ac:dyDescent="0.25">
      <c r="A234" s="209"/>
      <c r="B234" s="36" t="s">
        <v>3617</v>
      </c>
      <c r="C234" s="36" t="s">
        <v>122</v>
      </c>
      <c r="D234" s="37">
        <f>ROUND(1*(D227+D229),4)</f>
        <v>1.3520000000000001</v>
      </c>
      <c r="E234" s="31">
        <v>6.0919690499999994</v>
      </c>
      <c r="F234" s="34">
        <f>IF(ISNUMBER(E234),E234*$D234,"")</f>
        <v>8.2363421555999992</v>
      </c>
      <c r="G234" s="45"/>
      <c r="H234" s="46"/>
      <c r="I234" s="156">
        <v>0</v>
      </c>
    </row>
    <row r="235" spans="1:9" ht="38.25" hidden="1" x14ac:dyDescent="0.25">
      <c r="A235" s="209"/>
      <c r="B235" s="36" t="s">
        <v>3616</v>
      </c>
      <c r="C235" s="47" t="s">
        <v>124</v>
      </c>
      <c r="D235" s="37">
        <f>ROUND((D227+D229)*20,4)</f>
        <v>27.04</v>
      </c>
      <c r="E235" s="31">
        <v>1.9998782499999996</v>
      </c>
      <c r="F235" s="34">
        <f>IF(ISNUMBER(E235),E235*$D235,"")</f>
        <v>54.076707879999987</v>
      </c>
      <c r="G235" s="45"/>
      <c r="H235" s="46"/>
      <c r="I235" s="156">
        <v>0</v>
      </c>
    </row>
    <row r="236" spans="1:9" hidden="1" x14ac:dyDescent="0.25">
      <c r="A236" s="209"/>
      <c r="B236" s="51"/>
      <c r="C236" s="47"/>
      <c r="D236" s="37"/>
      <c r="E236" s="31" t="s">
        <v>558</v>
      </c>
      <c r="F236" s="34" t="str">
        <f>IF(ISNUMBER(E236),E236*$D236,"")</f>
        <v/>
      </c>
      <c r="G236" s="45"/>
      <c r="H236" s="46"/>
      <c r="I236" s="156">
        <v>0</v>
      </c>
    </row>
    <row r="237" spans="1:9" ht="25.5" hidden="1" x14ac:dyDescent="0.25">
      <c r="A237" s="209"/>
      <c r="B237" s="48" t="s">
        <v>125</v>
      </c>
      <c r="C237" s="47"/>
      <c r="D237" s="37"/>
      <c r="E237" s="31" t="s">
        <v>558</v>
      </c>
      <c r="F237" s="34" t="str">
        <f>IF(ISNUMBER(E237),E237*$D237,"")</f>
        <v/>
      </c>
      <c r="G237" s="45"/>
      <c r="H237" s="46"/>
      <c r="I237" s="156">
        <v>0</v>
      </c>
    </row>
    <row r="238" spans="1:9" hidden="1" x14ac:dyDescent="0.25">
      <c r="A238" s="209"/>
      <c r="B238" s="36" t="s">
        <v>558</v>
      </c>
      <c r="C238" s="36"/>
      <c r="D238" s="93"/>
      <c r="E238" s="31" t="s">
        <v>558</v>
      </c>
      <c r="F238" s="31" t="str">
        <f>IF(ISNUMBER(E238),E238*$D238,"")</f>
        <v/>
      </c>
      <c r="G238" s="35"/>
      <c r="H238" s="31"/>
      <c r="I238" s="156">
        <v>0</v>
      </c>
    </row>
    <row r="239" spans="1:9" ht="26.25" hidden="1" customHeight="1" thickBot="1" x14ac:dyDescent="0.3">
      <c r="A239" s="210" t="s">
        <v>1522</v>
      </c>
      <c r="B239" s="41" t="s">
        <v>558</v>
      </c>
      <c r="C239" s="26" t="s">
        <v>122</v>
      </c>
      <c r="D239" s="94"/>
      <c r="E239" s="42" t="s">
        <v>558</v>
      </c>
      <c r="F239" s="42" t="str">
        <f>IF(ISNUMBER(E239),E239*$D239,"")</f>
        <v/>
      </c>
      <c r="G239" s="29"/>
      <c r="H239" s="30"/>
      <c r="I239" s="156">
        <v>0</v>
      </c>
    </row>
    <row r="240" spans="1:9" hidden="1" x14ac:dyDescent="0.25">
      <c r="A240" s="209"/>
      <c r="B240" s="32" t="s">
        <v>558</v>
      </c>
      <c r="C240" s="32"/>
      <c r="D240" s="92"/>
      <c r="E240" s="98" t="s">
        <v>558</v>
      </c>
      <c r="F240" s="99" t="str">
        <f>IF(ISNUMBER(E240),E240*$D240,"")</f>
        <v/>
      </c>
      <c r="G240" s="35"/>
      <c r="H240" s="31"/>
      <c r="I240" s="156">
        <v>0</v>
      </c>
    </row>
    <row r="241" spans="1:9" ht="25.5" hidden="1" x14ac:dyDescent="0.25">
      <c r="A241" s="209"/>
      <c r="B241" s="36" t="s">
        <v>791</v>
      </c>
      <c r="C241" s="36" t="s">
        <v>122</v>
      </c>
      <c r="D241" s="37">
        <v>0.82699999999999996</v>
      </c>
      <c r="E241" s="34">
        <v>85.5</v>
      </c>
      <c r="F241" s="34">
        <f>IF(ISNUMBER(E241),E241*$D241,"")</f>
        <v>70.708500000000001</v>
      </c>
      <c r="G241" s="45">
        <f>SUM(F241:F249)</f>
        <v>383.95207134024997</v>
      </c>
      <c r="H241" s="46"/>
      <c r="I241" s="156">
        <v>0</v>
      </c>
    </row>
    <row r="242" spans="1:9" hidden="1" x14ac:dyDescent="0.25">
      <c r="A242" s="209"/>
      <c r="B242" s="36" t="s">
        <v>787</v>
      </c>
      <c r="C242" s="36" t="s">
        <v>938</v>
      </c>
      <c r="D242" s="37">
        <v>212.02</v>
      </c>
      <c r="E242" s="34">
        <v>0.52249999999999996</v>
      </c>
      <c r="F242" s="34">
        <f>IF(ISNUMBER(E242),E242*$D242,"")</f>
        <v>110.78045</v>
      </c>
      <c r="G242" s="45"/>
      <c r="H242" s="46"/>
      <c r="I242" s="156">
        <v>0</v>
      </c>
    </row>
    <row r="243" spans="1:9" ht="25.5" hidden="1" x14ac:dyDescent="0.25">
      <c r="A243" s="209"/>
      <c r="B243" s="36" t="s">
        <v>799</v>
      </c>
      <c r="C243" s="36" t="s">
        <v>122</v>
      </c>
      <c r="D243" s="37">
        <v>0.57799999999999996</v>
      </c>
      <c r="E243" s="34">
        <v>124.982</v>
      </c>
      <c r="F243" s="34">
        <f>IF(ISNUMBER(E243),E243*$D243,"")</f>
        <v>72.239595999999992</v>
      </c>
      <c r="G243" s="45"/>
      <c r="H243" s="46"/>
      <c r="I243" s="156">
        <v>0</v>
      </c>
    </row>
    <row r="244" spans="1:9" hidden="1" x14ac:dyDescent="0.25">
      <c r="A244" s="209"/>
      <c r="B244" s="36" t="s">
        <v>743</v>
      </c>
      <c r="C244" s="36" t="s">
        <v>742</v>
      </c>
      <c r="D244" s="37">
        <v>2.34</v>
      </c>
      <c r="E244" s="31">
        <v>16.729499999999998</v>
      </c>
      <c r="F244" s="34">
        <f>IF(ISNUMBER(E244),E244*$D244,"")</f>
        <v>39.147029999999994</v>
      </c>
      <c r="G244" s="45"/>
      <c r="H244" s="46"/>
      <c r="I244" s="156">
        <v>0</v>
      </c>
    </row>
    <row r="245" spans="1:9" ht="25.5" hidden="1" x14ac:dyDescent="0.25">
      <c r="A245" s="209"/>
      <c r="B245" s="36" t="s">
        <v>1512</v>
      </c>
      <c r="C245" s="36" t="s">
        <v>742</v>
      </c>
      <c r="D245" s="37">
        <v>1.48</v>
      </c>
      <c r="E245" s="31">
        <v>16.928999999999998</v>
      </c>
      <c r="F245" s="100">
        <f>IF(ISNUMBER(E245),E245*$D245,"")</f>
        <v>25.054919999999999</v>
      </c>
      <c r="G245" s="45"/>
      <c r="H245" s="46"/>
      <c r="I245" s="156">
        <v>0</v>
      </c>
    </row>
    <row r="246" spans="1:9" ht="38.25" hidden="1" x14ac:dyDescent="0.25">
      <c r="A246" s="209"/>
      <c r="B246" s="36" t="s">
        <v>119</v>
      </c>
      <c r="C246" s="36" t="s">
        <v>982</v>
      </c>
      <c r="D246" s="37">
        <v>0.76</v>
      </c>
      <c r="E246" s="31">
        <v>1.3774999999999999</v>
      </c>
      <c r="F246" s="100">
        <f>IF(ISNUMBER(E246),E246*$D246,"")</f>
        <v>1.0468999999999999</v>
      </c>
      <c r="G246" s="45"/>
      <c r="H246" s="46"/>
      <c r="I246" s="156">
        <v>0</v>
      </c>
    </row>
    <row r="247" spans="1:9" ht="38.25" hidden="1" x14ac:dyDescent="0.25">
      <c r="A247" s="209"/>
      <c r="B247" s="36" t="s">
        <v>120</v>
      </c>
      <c r="C247" s="47" t="s">
        <v>984</v>
      </c>
      <c r="D247" s="37">
        <v>0.72</v>
      </c>
      <c r="E247" s="31">
        <v>0.30399999999999999</v>
      </c>
      <c r="F247" s="34">
        <f>IF(ISNUMBER(E247),E247*$D247,"")</f>
        <v>0.21887999999999999</v>
      </c>
      <c r="G247" s="45"/>
      <c r="H247" s="46"/>
      <c r="I247" s="156">
        <v>0</v>
      </c>
    </row>
    <row r="248" spans="1:9" ht="51" hidden="1" x14ac:dyDescent="0.25">
      <c r="A248" s="209"/>
      <c r="B248" s="36" t="s">
        <v>3617</v>
      </c>
      <c r="C248" s="36" t="s">
        <v>122</v>
      </c>
      <c r="D248" s="37">
        <f>ROUND(1*(D241+D243),4)</f>
        <v>1.405</v>
      </c>
      <c r="E248" s="31">
        <v>6.0919690499999994</v>
      </c>
      <c r="F248" s="34">
        <f>IF(ISNUMBER(E248),E248*$D248,"")</f>
        <v>8.5592165152500002</v>
      </c>
      <c r="G248" s="45"/>
      <c r="H248" s="46"/>
      <c r="I248" s="156">
        <v>0</v>
      </c>
    </row>
    <row r="249" spans="1:9" ht="15.75" hidden="1" customHeight="1" x14ac:dyDescent="0.25">
      <c r="A249" s="209"/>
      <c r="B249" s="36" t="s">
        <v>3616</v>
      </c>
      <c r="C249" s="47" t="s">
        <v>124</v>
      </c>
      <c r="D249" s="37">
        <f>ROUND((D241+D243)*20,4)</f>
        <v>28.1</v>
      </c>
      <c r="E249" s="31">
        <v>1.9998782499999996</v>
      </c>
      <c r="F249" s="34">
        <f>IF(ISNUMBER(E249),E249*$D249,"")</f>
        <v>56.196578824999996</v>
      </c>
      <c r="G249" s="45"/>
      <c r="H249" s="46"/>
      <c r="I249" s="156">
        <v>0</v>
      </c>
    </row>
    <row r="250" spans="1:9" hidden="1" x14ac:dyDescent="0.25">
      <c r="A250" s="209"/>
      <c r="B250" s="51"/>
      <c r="C250" s="47"/>
      <c r="D250" s="37"/>
      <c r="E250" s="31" t="s">
        <v>558</v>
      </c>
      <c r="F250" s="34" t="str">
        <f>IF(ISNUMBER(E250),E250*$D250,"")</f>
        <v/>
      </c>
      <c r="G250" s="45"/>
      <c r="H250" s="46"/>
      <c r="I250" s="156">
        <v>0</v>
      </c>
    </row>
    <row r="251" spans="1:9" ht="25.5" hidden="1" x14ac:dyDescent="0.25">
      <c r="A251" s="209"/>
      <c r="B251" s="48" t="s">
        <v>125</v>
      </c>
      <c r="C251" s="47"/>
      <c r="D251" s="37"/>
      <c r="E251" s="31" t="s">
        <v>558</v>
      </c>
      <c r="F251" s="34" t="str">
        <f>IF(ISNUMBER(E251),E251*$D251,"")</f>
        <v/>
      </c>
      <c r="G251" s="45"/>
      <c r="H251" s="46"/>
      <c r="I251" s="156">
        <v>0</v>
      </c>
    </row>
    <row r="252" spans="1:9" hidden="1" x14ac:dyDescent="0.25">
      <c r="A252" s="209"/>
      <c r="B252" s="36" t="s">
        <v>558</v>
      </c>
      <c r="C252" s="36"/>
      <c r="D252" s="93"/>
      <c r="E252" s="31" t="s">
        <v>558</v>
      </c>
      <c r="F252" s="31" t="str">
        <f>IF(ISNUMBER(E252),E252*$D252,"")</f>
        <v/>
      </c>
      <c r="G252" s="35"/>
      <c r="H252" s="31"/>
      <c r="I252" s="156">
        <v>0</v>
      </c>
    </row>
    <row r="253" spans="1:9" ht="15.75" hidden="1" thickBot="1" x14ac:dyDescent="0.3">
      <c r="A253" s="210" t="s">
        <v>1072</v>
      </c>
      <c r="B253" s="41" t="s">
        <v>558</v>
      </c>
      <c r="C253" s="26" t="s">
        <v>122</v>
      </c>
      <c r="D253" s="94"/>
      <c r="E253" s="42" t="s">
        <v>558</v>
      </c>
      <c r="F253" s="49" t="str">
        <f>IF(ISNUMBER(E253),E253*$D253,"")</f>
        <v/>
      </c>
      <c r="G253" s="29"/>
      <c r="H253" s="30"/>
      <c r="I253" s="156">
        <v>0</v>
      </c>
    </row>
    <row r="254" spans="1:9" hidden="1" x14ac:dyDescent="0.25">
      <c r="A254" s="209"/>
      <c r="B254" s="32" t="s">
        <v>558</v>
      </c>
      <c r="C254" s="32"/>
      <c r="D254" s="92"/>
      <c r="E254" s="43" t="s">
        <v>558</v>
      </c>
      <c r="F254" s="31" t="str">
        <f>IF(ISNUMBER(E254),E254*$D254,"")</f>
        <v/>
      </c>
      <c r="G254" s="35"/>
      <c r="H254" s="31"/>
      <c r="I254" s="156">
        <v>0</v>
      </c>
    </row>
    <row r="255" spans="1:9" ht="25.5" hidden="1" x14ac:dyDescent="0.25">
      <c r="A255" s="209"/>
      <c r="B255" s="36" t="s">
        <v>1349</v>
      </c>
      <c r="C255" s="36" t="s">
        <v>122</v>
      </c>
      <c r="D255" s="37">
        <v>0.51</v>
      </c>
      <c r="E255" s="34">
        <v>133.38</v>
      </c>
      <c r="F255" s="34">
        <f>IF(ISNUMBER(E255),E255*$D255,"")</f>
        <v>68.023799999999994</v>
      </c>
      <c r="G255" s="45">
        <f>SUM(F255:F263)</f>
        <v>483.73170075249999</v>
      </c>
      <c r="H255" s="46"/>
      <c r="I255" s="156">
        <v>0</v>
      </c>
    </row>
    <row r="256" spans="1:9" hidden="1" x14ac:dyDescent="0.25">
      <c r="A256" s="209"/>
      <c r="B256" s="36" t="s">
        <v>1514</v>
      </c>
      <c r="C256" s="36" t="s">
        <v>938</v>
      </c>
      <c r="D256" s="37">
        <v>10.35</v>
      </c>
      <c r="E256" s="34">
        <v>0.8929999999999999</v>
      </c>
      <c r="F256" s="34">
        <f>IF(ISNUMBER(E256),E256*$D256,"")</f>
        <v>9.2425499999999978</v>
      </c>
      <c r="G256" s="45"/>
      <c r="H256" s="46"/>
      <c r="I256" s="156">
        <v>0</v>
      </c>
    </row>
    <row r="257" spans="1:9" ht="15.75" hidden="1" customHeight="1" x14ac:dyDescent="0.25">
      <c r="A257" s="209"/>
      <c r="B257" s="36" t="s">
        <v>787</v>
      </c>
      <c r="C257" s="36" t="s">
        <v>938</v>
      </c>
      <c r="D257" s="37">
        <v>431.3</v>
      </c>
      <c r="E257" s="34">
        <v>0.52249999999999996</v>
      </c>
      <c r="F257" s="34">
        <f>IF(ISNUMBER(E257),E257*$D257,"")</f>
        <v>225.35424999999998</v>
      </c>
      <c r="G257" s="45"/>
      <c r="H257" s="46"/>
      <c r="I257" s="156">
        <v>0</v>
      </c>
    </row>
    <row r="258" spans="1:9" ht="25.5" hidden="1" x14ac:dyDescent="0.25">
      <c r="A258" s="209"/>
      <c r="B258" s="36" t="s">
        <v>796</v>
      </c>
      <c r="C258" s="36" t="s">
        <v>122</v>
      </c>
      <c r="D258" s="37">
        <v>0.54</v>
      </c>
      <c r="E258" s="31">
        <v>144.29549999999998</v>
      </c>
      <c r="F258" s="34">
        <f>IF(ISNUMBER(E258),E258*$D258,"")</f>
        <v>77.919569999999993</v>
      </c>
      <c r="G258" s="45"/>
      <c r="H258" s="46"/>
      <c r="I258" s="156">
        <v>0</v>
      </c>
    </row>
    <row r="259" spans="1:9" ht="25.5" hidden="1" x14ac:dyDescent="0.25">
      <c r="A259" s="209"/>
      <c r="B259" s="36" t="s">
        <v>1512</v>
      </c>
      <c r="C259" s="36" t="s">
        <v>742</v>
      </c>
      <c r="D259" s="37">
        <v>3.12</v>
      </c>
      <c r="E259" s="31">
        <v>16.928999999999998</v>
      </c>
      <c r="F259" s="34">
        <f>IF(ISNUMBER(E259),E259*$D259,"")</f>
        <v>52.818479999999994</v>
      </c>
      <c r="G259" s="45"/>
      <c r="H259" s="46"/>
      <c r="I259" s="156">
        <v>0</v>
      </c>
    </row>
    <row r="260" spans="1:9" ht="38.25" hidden="1" x14ac:dyDescent="0.25">
      <c r="A260" s="209"/>
      <c r="B260" s="36" t="s">
        <v>119</v>
      </c>
      <c r="C260" s="36" t="s">
        <v>982</v>
      </c>
      <c r="D260" s="37">
        <v>0.96</v>
      </c>
      <c r="E260" s="31">
        <v>1.3774999999999999</v>
      </c>
      <c r="F260" s="97">
        <f>IF(ISNUMBER(E260),E260*$D260,"")</f>
        <v>1.3223999999999998</v>
      </c>
      <c r="G260" s="45"/>
      <c r="H260" s="46"/>
      <c r="I260" s="156">
        <v>0</v>
      </c>
    </row>
    <row r="261" spans="1:9" ht="38.25" hidden="1" x14ac:dyDescent="0.25">
      <c r="A261" s="209"/>
      <c r="B261" s="36" t="s">
        <v>120</v>
      </c>
      <c r="C261" s="36" t="s">
        <v>984</v>
      </c>
      <c r="D261" s="37">
        <v>2.16</v>
      </c>
      <c r="E261" s="31">
        <v>0.30399999999999999</v>
      </c>
      <c r="F261" s="97">
        <f>IF(ISNUMBER(E261),E261*$D261,"")</f>
        <v>0.65664</v>
      </c>
      <c r="G261" s="45"/>
      <c r="H261" s="46"/>
      <c r="I261" s="156">
        <v>0</v>
      </c>
    </row>
    <row r="262" spans="1:9" ht="51" hidden="1" x14ac:dyDescent="0.25">
      <c r="A262" s="209"/>
      <c r="B262" s="36" t="s">
        <v>3617</v>
      </c>
      <c r="C262" s="36" t="s">
        <v>122</v>
      </c>
      <c r="D262" s="37">
        <f>ROUND(1*(D255+D258),4)</f>
        <v>1.05</v>
      </c>
      <c r="E262" s="31">
        <v>6.0919690499999994</v>
      </c>
      <c r="F262" s="34">
        <f>IF(ISNUMBER(E262),E262*$D262,"")</f>
        <v>6.3965675024999999</v>
      </c>
      <c r="G262" s="45"/>
      <c r="H262" s="46"/>
      <c r="I262" s="156">
        <v>0</v>
      </c>
    </row>
    <row r="263" spans="1:9" ht="38.25" hidden="1" x14ac:dyDescent="0.25">
      <c r="A263" s="209"/>
      <c r="B263" s="36" t="s">
        <v>3616</v>
      </c>
      <c r="C263" s="47" t="s">
        <v>124</v>
      </c>
      <c r="D263" s="37">
        <f>ROUND((D255+D258)*20,4)</f>
        <v>21</v>
      </c>
      <c r="E263" s="31">
        <v>1.9998782499999996</v>
      </c>
      <c r="F263" s="34">
        <f>IF(ISNUMBER(E263),E263*$D263,"")</f>
        <v>41.997443249999989</v>
      </c>
      <c r="G263" s="45"/>
      <c r="H263" s="46"/>
      <c r="I263" s="156">
        <v>0</v>
      </c>
    </row>
    <row r="264" spans="1:9" hidden="1" x14ac:dyDescent="0.25">
      <c r="A264" s="209"/>
      <c r="B264" s="51"/>
      <c r="C264" s="47"/>
      <c r="D264" s="37"/>
      <c r="E264" s="31" t="s">
        <v>558</v>
      </c>
      <c r="F264" s="34" t="str">
        <f>IF(ISNUMBER(E264),E264*$D264,"")</f>
        <v/>
      </c>
      <c r="G264" s="45"/>
      <c r="H264" s="46"/>
      <c r="I264" s="156">
        <v>0</v>
      </c>
    </row>
    <row r="265" spans="1:9" ht="15.75" hidden="1" customHeight="1" x14ac:dyDescent="0.25">
      <c r="A265" s="209"/>
      <c r="B265" s="48" t="s">
        <v>125</v>
      </c>
      <c r="C265" s="47"/>
      <c r="D265" s="37"/>
      <c r="E265" s="31" t="s">
        <v>558</v>
      </c>
      <c r="F265" s="34" t="str">
        <f>IF(ISNUMBER(E265),E265*$D265,"")</f>
        <v/>
      </c>
      <c r="G265" s="45"/>
      <c r="H265" s="46"/>
      <c r="I265" s="156">
        <v>0</v>
      </c>
    </row>
    <row r="266" spans="1:9" hidden="1" x14ac:dyDescent="0.25">
      <c r="A266" s="209"/>
      <c r="B266" s="36"/>
      <c r="C266" s="36"/>
      <c r="D266" s="93"/>
      <c r="E266" s="31" t="s">
        <v>558</v>
      </c>
      <c r="F266" s="31" t="str">
        <f>IF(ISNUMBER(E266),E266*$D266,"")</f>
        <v/>
      </c>
      <c r="G266" s="35"/>
      <c r="H266" s="31"/>
      <c r="I266" s="156">
        <v>0</v>
      </c>
    </row>
    <row r="267" spans="1:9" ht="15.75" hidden="1" thickBot="1" x14ac:dyDescent="0.3">
      <c r="A267" s="209" t="s">
        <v>1059</v>
      </c>
      <c r="B267" s="41" t="s">
        <v>558</v>
      </c>
      <c r="C267" s="26" t="s">
        <v>122</v>
      </c>
      <c r="D267" s="94"/>
      <c r="E267" s="28" t="s">
        <v>558</v>
      </c>
      <c r="F267" s="26" t="str">
        <f>IF(ISNUMBER(E267),E267*$D267,"")</f>
        <v/>
      </c>
      <c r="G267" s="29"/>
      <c r="H267" s="30"/>
      <c r="I267" s="156">
        <v>0</v>
      </c>
    </row>
    <row r="268" spans="1:9" hidden="1" x14ac:dyDescent="0.25">
      <c r="A268" s="209"/>
      <c r="B268" s="32" t="s">
        <v>558</v>
      </c>
      <c r="C268" s="32"/>
      <c r="D268" s="92"/>
      <c r="E268" s="31" t="s">
        <v>558</v>
      </c>
      <c r="F268" s="31" t="str">
        <f>IF(ISNUMBER(E268),E268*$D268,"")</f>
        <v/>
      </c>
      <c r="G268" s="35"/>
      <c r="H268" s="31"/>
      <c r="I268" s="156">
        <v>0</v>
      </c>
    </row>
    <row r="269" spans="1:9" hidden="1" x14ac:dyDescent="0.25">
      <c r="A269" s="209"/>
      <c r="B269" s="36" t="s">
        <v>115</v>
      </c>
      <c r="C269" s="36" t="s">
        <v>122</v>
      </c>
      <c r="D269" s="37">
        <v>1.25</v>
      </c>
      <c r="E269" s="31">
        <v>85.5</v>
      </c>
      <c r="F269" s="34">
        <f>IF(ISNUMBER(E269),E269*$D269,"")</f>
        <v>106.875</v>
      </c>
      <c r="G269" s="45">
        <f>SUM(F269:F273)</f>
        <v>653.86136756250005</v>
      </c>
      <c r="H269" s="46"/>
      <c r="I269" s="156">
        <v>0</v>
      </c>
    </row>
    <row r="270" spans="1:9" hidden="1" x14ac:dyDescent="0.25">
      <c r="A270" s="209"/>
      <c r="B270" s="36" t="s">
        <v>116</v>
      </c>
      <c r="C270" s="36" t="s">
        <v>938</v>
      </c>
      <c r="D270" s="37">
        <v>563.59</v>
      </c>
      <c r="E270" s="34">
        <v>0.52249999999999996</v>
      </c>
      <c r="F270" s="34">
        <f>IF(ISNUMBER(E270),E270*$D270,"")</f>
        <v>294.475775</v>
      </c>
      <c r="G270" s="45"/>
      <c r="H270" s="46"/>
      <c r="I270" s="156">
        <v>0</v>
      </c>
    </row>
    <row r="271" spans="1:9" hidden="1" x14ac:dyDescent="0.25">
      <c r="A271" s="209"/>
      <c r="B271" s="36" t="s">
        <v>1485</v>
      </c>
      <c r="C271" s="36" t="s">
        <v>742</v>
      </c>
      <c r="D271" s="37">
        <v>11.65</v>
      </c>
      <c r="E271" s="31">
        <v>16.729499999999998</v>
      </c>
      <c r="F271" s="34">
        <f>IF(ISNUMBER(E271),E271*$D271,"")</f>
        <v>194.898675</v>
      </c>
      <c r="G271" s="45"/>
      <c r="H271" s="46"/>
      <c r="I271" s="156">
        <v>0</v>
      </c>
    </row>
    <row r="272" spans="1:9" ht="51" hidden="1" x14ac:dyDescent="0.25">
      <c r="A272" s="209"/>
      <c r="B272" s="36" t="s">
        <v>3617</v>
      </c>
      <c r="C272" s="36" t="s">
        <v>122</v>
      </c>
      <c r="D272" s="37">
        <f>ROUND(1*(D269),4)</f>
        <v>1.25</v>
      </c>
      <c r="E272" s="31">
        <v>6.0919690499999994</v>
      </c>
      <c r="F272" s="34">
        <f>IF(ISNUMBER(E272),E272*$D272,"")</f>
        <v>7.6149613124999993</v>
      </c>
      <c r="G272" s="45"/>
      <c r="H272" s="46"/>
      <c r="I272" s="156">
        <v>0</v>
      </c>
    </row>
    <row r="273" spans="1:9" ht="38.25" hidden="1" x14ac:dyDescent="0.25">
      <c r="A273" s="209"/>
      <c r="B273" s="36" t="s">
        <v>3616</v>
      </c>
      <c r="C273" s="47" t="s">
        <v>124</v>
      </c>
      <c r="D273" s="37">
        <f>ROUND(D269*20,4)</f>
        <v>25</v>
      </c>
      <c r="E273" s="31">
        <v>1.9998782499999996</v>
      </c>
      <c r="F273" s="34">
        <f>IF(ISNUMBER(E273),E273*$D273,"")</f>
        <v>49.99695624999999</v>
      </c>
      <c r="G273" s="45"/>
      <c r="H273" s="46"/>
      <c r="I273" s="156">
        <v>0</v>
      </c>
    </row>
    <row r="274" spans="1:9" hidden="1" x14ac:dyDescent="0.25">
      <c r="A274" s="209"/>
      <c r="B274" s="51"/>
      <c r="C274" s="47"/>
      <c r="D274" s="37"/>
      <c r="E274" s="31" t="s">
        <v>558</v>
      </c>
      <c r="F274" s="34" t="str">
        <f>IF(ISNUMBER(E274),E274*$D274,"")</f>
        <v/>
      </c>
      <c r="G274" s="45"/>
      <c r="H274" s="46"/>
      <c r="I274" s="156">
        <v>0</v>
      </c>
    </row>
    <row r="275" spans="1:9" hidden="1" x14ac:dyDescent="0.25">
      <c r="A275" s="209"/>
      <c r="B275" s="48" t="s">
        <v>794</v>
      </c>
      <c r="C275" s="47"/>
      <c r="D275" s="37"/>
      <c r="E275" s="31" t="s">
        <v>558</v>
      </c>
      <c r="F275" s="34" t="str">
        <f>IF(ISNUMBER(E275),E275*$D275,"")</f>
        <v/>
      </c>
      <c r="G275" s="45"/>
      <c r="H275" s="46"/>
      <c r="I275" s="156">
        <v>0</v>
      </c>
    </row>
    <row r="276" spans="1:9" ht="15.75" hidden="1" thickBot="1" x14ac:dyDescent="0.3">
      <c r="A276" s="211"/>
      <c r="B276" s="36" t="s">
        <v>558</v>
      </c>
      <c r="C276" s="36"/>
      <c r="D276" s="93"/>
      <c r="E276" s="31" t="s">
        <v>558</v>
      </c>
      <c r="F276" s="34" t="str">
        <f>IF(ISNUMBER(E276),E276*$D276,"")</f>
        <v/>
      </c>
      <c r="G276" s="35"/>
      <c r="H276" s="31"/>
      <c r="I276" s="156">
        <v>0</v>
      </c>
    </row>
    <row r="277" spans="1:9" ht="15.75" hidden="1" thickBot="1" x14ac:dyDescent="0.3">
      <c r="A277" s="209" t="s">
        <v>735</v>
      </c>
      <c r="B277" s="41" t="s">
        <v>558</v>
      </c>
      <c r="C277" s="26" t="s">
        <v>20</v>
      </c>
      <c r="D277" s="94"/>
      <c r="E277" s="28" t="s">
        <v>558</v>
      </c>
      <c r="F277" s="26" t="str">
        <f>IF(ISNUMBER(E277),E277*$D277,"")</f>
        <v/>
      </c>
      <c r="G277" s="29"/>
      <c r="H277" s="30"/>
      <c r="I277" s="156">
        <v>0</v>
      </c>
    </row>
    <row r="278" spans="1:9" hidden="1" x14ac:dyDescent="0.25">
      <c r="A278" s="209"/>
      <c r="B278" s="32" t="s">
        <v>558</v>
      </c>
      <c r="C278" s="32"/>
      <c r="D278" s="92"/>
      <c r="E278" s="31" t="s">
        <v>558</v>
      </c>
      <c r="F278" s="31" t="str">
        <f>IF(ISNUMBER(E278),E278*$D278,"")</f>
        <v/>
      </c>
      <c r="G278" s="35"/>
      <c r="H278" s="31"/>
      <c r="I278" s="156">
        <v>0</v>
      </c>
    </row>
    <row r="279" spans="1:9" ht="15.75" hidden="1" customHeight="1" x14ac:dyDescent="0.25">
      <c r="A279" s="209"/>
      <c r="B279" s="36" t="s">
        <v>1515</v>
      </c>
      <c r="C279" s="36" t="s">
        <v>1516</v>
      </c>
      <c r="D279" s="37">
        <v>1</v>
      </c>
      <c r="E279" s="31">
        <v>218.5</v>
      </c>
      <c r="F279" s="34">
        <f>IF(ISNUMBER(E279),E279*$D279,"")</f>
        <v>218.5</v>
      </c>
      <c r="G279" s="45">
        <f>SUM(F279:F283)</f>
        <v>303.70779900000002</v>
      </c>
      <c r="H279" s="46"/>
      <c r="I279" s="156">
        <v>0</v>
      </c>
    </row>
    <row r="280" spans="1:9" hidden="1" x14ac:dyDescent="0.25">
      <c r="A280" s="209"/>
      <c r="B280" s="36" t="s">
        <v>1517</v>
      </c>
      <c r="C280" s="36" t="s">
        <v>938</v>
      </c>
      <c r="D280" s="37">
        <v>1.0999999999999999E-2</v>
      </c>
      <c r="E280" s="34">
        <v>25.336500000000001</v>
      </c>
      <c r="F280" s="34">
        <f>IF(ISNUMBER(E280),E280*$D280,"")</f>
        <v>0.27870149999999999</v>
      </c>
      <c r="G280" s="45"/>
      <c r="H280" s="46"/>
      <c r="I280" s="156">
        <v>0</v>
      </c>
    </row>
    <row r="281" spans="1:9" hidden="1" x14ac:dyDescent="0.25">
      <c r="A281" s="209"/>
      <c r="B281" s="36" t="s">
        <v>99</v>
      </c>
      <c r="C281" s="36" t="s">
        <v>938</v>
      </c>
      <c r="D281" s="37">
        <v>2.4E-2</v>
      </c>
      <c r="E281" s="31">
        <v>19.227999999999998</v>
      </c>
      <c r="F281" s="34">
        <f>IF(ISNUMBER(E281),E281*$D281,"")</f>
        <v>0.46147199999999994</v>
      </c>
      <c r="G281" s="45"/>
      <c r="H281" s="46"/>
      <c r="I281" s="156">
        <v>0</v>
      </c>
    </row>
    <row r="282" spans="1:9" hidden="1" x14ac:dyDescent="0.25">
      <c r="A282" s="209"/>
      <c r="B282" s="36" t="s">
        <v>741</v>
      </c>
      <c r="C282" s="36" t="s">
        <v>742</v>
      </c>
      <c r="D282" s="37">
        <v>2.7410000000000001</v>
      </c>
      <c r="E282" s="31">
        <v>22.533999999999999</v>
      </c>
      <c r="F282" s="34">
        <f>IF(ISNUMBER(E282),E282*$D282,"")</f>
        <v>61.765693999999996</v>
      </c>
      <c r="G282" s="45"/>
      <c r="H282" s="46"/>
      <c r="I282" s="156">
        <v>0</v>
      </c>
    </row>
    <row r="283" spans="1:9" hidden="1" x14ac:dyDescent="0.25">
      <c r="A283" s="209"/>
      <c r="B283" s="36" t="s">
        <v>743</v>
      </c>
      <c r="C283" s="47" t="s">
        <v>742</v>
      </c>
      <c r="D283" s="37">
        <v>1.357</v>
      </c>
      <c r="E283" s="31">
        <v>16.729499999999998</v>
      </c>
      <c r="F283" s="34">
        <f>IF(ISNUMBER(E283),E283*$D283,"")</f>
        <v>22.701931499999997</v>
      </c>
      <c r="G283" s="45"/>
      <c r="H283" s="46"/>
      <c r="I283" s="156">
        <v>0</v>
      </c>
    </row>
    <row r="284" spans="1:9" hidden="1" x14ac:dyDescent="0.25">
      <c r="A284" s="209"/>
      <c r="B284" s="51"/>
      <c r="C284" s="47"/>
      <c r="D284" s="37"/>
      <c r="E284" s="31" t="s">
        <v>558</v>
      </c>
      <c r="F284" s="34" t="str">
        <f>IF(ISNUMBER(E284),E284*$D284,"")</f>
        <v/>
      </c>
      <c r="G284" s="45"/>
      <c r="H284" s="46"/>
      <c r="I284" s="156">
        <v>0</v>
      </c>
    </row>
    <row r="285" spans="1:9" ht="15.75" hidden="1" thickBot="1" x14ac:dyDescent="0.3">
      <c r="A285" s="210" t="s">
        <v>1523</v>
      </c>
      <c r="B285" s="41" t="s">
        <v>558</v>
      </c>
      <c r="C285" s="26" t="s">
        <v>122</v>
      </c>
      <c r="D285" s="94"/>
      <c r="E285" s="28" t="s">
        <v>558</v>
      </c>
      <c r="F285" s="28" t="str">
        <f>IF(ISNUMBER(E285),E285*$D285,"")</f>
        <v/>
      </c>
      <c r="G285" s="29"/>
      <c r="H285" s="30"/>
      <c r="I285" s="156">
        <v>0</v>
      </c>
    </row>
    <row r="286" spans="1:9" hidden="1" x14ac:dyDescent="0.25">
      <c r="A286" s="209"/>
      <c r="B286" s="32" t="s">
        <v>558</v>
      </c>
      <c r="C286" s="32"/>
      <c r="D286" s="92"/>
      <c r="E286" s="31" t="s">
        <v>558</v>
      </c>
      <c r="F286" s="99" t="str">
        <f>IF(ISNUMBER(E286),E286*$D286,"")</f>
        <v/>
      </c>
      <c r="G286" s="101"/>
      <c r="H286" s="99"/>
      <c r="I286" s="156">
        <v>0</v>
      </c>
    </row>
    <row r="287" spans="1:9" hidden="1" x14ac:dyDescent="0.25">
      <c r="A287" s="209"/>
      <c r="B287" s="36" t="s">
        <v>115</v>
      </c>
      <c r="C287" s="36" t="s">
        <v>122</v>
      </c>
      <c r="D287" s="37">
        <v>1.07</v>
      </c>
      <c r="E287" s="31">
        <v>85.5</v>
      </c>
      <c r="F287" s="34">
        <f>IF(ISNUMBER(E287),E287*$D287,"")</f>
        <v>91.484999999999999</v>
      </c>
      <c r="G287" s="45">
        <f>SUM(F287:F292)</f>
        <v>603.91392643350002</v>
      </c>
      <c r="H287" s="46"/>
      <c r="I287" s="156">
        <v>0</v>
      </c>
    </row>
    <row r="288" spans="1:9" hidden="1" x14ac:dyDescent="0.25">
      <c r="A288" s="209"/>
      <c r="B288" s="36" t="s">
        <v>1514</v>
      </c>
      <c r="C288" s="36" t="s">
        <v>938</v>
      </c>
      <c r="D288" s="37">
        <v>75.47</v>
      </c>
      <c r="E288" s="31">
        <v>0.8929999999999999</v>
      </c>
      <c r="F288" s="34">
        <f>IF(ISNUMBER(E288),E288*$D288,"")</f>
        <v>67.394709999999989</v>
      </c>
      <c r="G288" s="45"/>
      <c r="H288" s="46"/>
      <c r="I288" s="156">
        <v>0</v>
      </c>
    </row>
    <row r="289" spans="1:9" ht="15.75" hidden="1" customHeight="1" x14ac:dyDescent="0.25">
      <c r="A289" s="209"/>
      <c r="B289" s="36" t="s">
        <v>116</v>
      </c>
      <c r="C289" s="36" t="s">
        <v>938</v>
      </c>
      <c r="D289" s="37">
        <v>482.96</v>
      </c>
      <c r="E289" s="34">
        <v>0.52249999999999996</v>
      </c>
      <c r="F289" s="34">
        <f>IF(ISNUMBER(E289),E289*$D289,"")</f>
        <v>252.34659999999997</v>
      </c>
      <c r="G289" s="45"/>
      <c r="H289" s="46"/>
      <c r="I289" s="156">
        <v>0</v>
      </c>
    </row>
    <row r="290" spans="1:9" hidden="1" x14ac:dyDescent="0.25">
      <c r="A290" s="209"/>
      <c r="B290" s="36" t="s">
        <v>1485</v>
      </c>
      <c r="C290" s="36" t="s">
        <v>742</v>
      </c>
      <c r="D290" s="37">
        <v>8.57</v>
      </c>
      <c r="E290" s="31">
        <v>16.729499999999998</v>
      </c>
      <c r="F290" s="34">
        <f>IF(ISNUMBER(E290),E290*$D290,"")</f>
        <v>143.371815</v>
      </c>
      <c r="G290" s="45"/>
      <c r="H290" s="46"/>
      <c r="I290" s="156">
        <v>0</v>
      </c>
    </row>
    <row r="291" spans="1:9" ht="51" hidden="1" x14ac:dyDescent="0.25">
      <c r="A291" s="209"/>
      <c r="B291" s="36" t="s">
        <v>3617</v>
      </c>
      <c r="C291" s="36" t="s">
        <v>122</v>
      </c>
      <c r="D291" s="37">
        <f>ROUND(1*D287,4)</f>
        <v>1.07</v>
      </c>
      <c r="E291" s="31">
        <v>6.0919690499999994</v>
      </c>
      <c r="F291" s="34">
        <f>IF(ISNUMBER(E291),E291*$D291,"")</f>
        <v>6.5184068835</v>
      </c>
      <c r="G291" s="45"/>
      <c r="H291" s="46"/>
      <c r="I291" s="156">
        <v>0</v>
      </c>
    </row>
    <row r="292" spans="1:9" ht="38.25" hidden="1" x14ac:dyDescent="0.25">
      <c r="A292" s="209"/>
      <c r="B292" s="36" t="s">
        <v>3616</v>
      </c>
      <c r="C292" s="47" t="s">
        <v>124</v>
      </c>
      <c r="D292" s="37">
        <f>ROUND(D287*20,4)</f>
        <v>21.4</v>
      </c>
      <c r="E292" s="31">
        <v>1.9998782499999996</v>
      </c>
      <c r="F292" s="34">
        <f>IF(ISNUMBER(E292),E292*$D292,"")</f>
        <v>42.797394549999993</v>
      </c>
      <c r="G292" s="45"/>
      <c r="H292" s="46"/>
      <c r="I292" s="156">
        <v>0</v>
      </c>
    </row>
    <row r="293" spans="1:9" hidden="1" x14ac:dyDescent="0.25">
      <c r="A293" s="209"/>
      <c r="B293" s="51"/>
      <c r="C293" s="47"/>
      <c r="D293" s="37"/>
      <c r="E293" s="31" t="s">
        <v>558</v>
      </c>
      <c r="F293" s="34" t="str">
        <f>IF(ISNUMBER(E293),E293*$D293,"")</f>
        <v/>
      </c>
      <c r="G293" s="45"/>
      <c r="H293" s="46"/>
      <c r="I293" s="156">
        <v>0</v>
      </c>
    </row>
    <row r="294" spans="1:9" hidden="1" x14ac:dyDescent="0.25">
      <c r="A294" s="209"/>
      <c r="B294" s="48" t="s">
        <v>794</v>
      </c>
      <c r="C294" s="47"/>
      <c r="D294" s="37"/>
      <c r="E294" s="31" t="s">
        <v>558</v>
      </c>
      <c r="F294" s="34" t="str">
        <f>IF(ISNUMBER(E294),E294*$D294,"")</f>
        <v/>
      </c>
      <c r="G294" s="45"/>
      <c r="H294" s="46"/>
      <c r="I294" s="156">
        <v>0</v>
      </c>
    </row>
    <row r="295" spans="1:9" ht="15.75" hidden="1" thickBot="1" x14ac:dyDescent="0.3">
      <c r="A295" s="211"/>
      <c r="B295" s="55" t="s">
        <v>558</v>
      </c>
      <c r="C295" s="55"/>
      <c r="D295" s="96"/>
      <c r="E295" s="67" t="s">
        <v>558</v>
      </c>
      <c r="F295" s="67" t="str">
        <f>IF(ISNUMBER(E295),E295*$D295,"")</f>
        <v/>
      </c>
      <c r="G295" s="69"/>
      <c r="H295" s="31"/>
      <c r="I295" s="156">
        <v>0</v>
      </c>
    </row>
    <row r="296" spans="1:9" ht="15.75" hidden="1" thickBot="1" x14ac:dyDescent="0.3">
      <c r="A296" s="209" t="s">
        <v>1209</v>
      </c>
      <c r="B296" s="166" t="s">
        <v>558</v>
      </c>
      <c r="C296" s="90" t="s">
        <v>938</v>
      </c>
      <c r="D296" s="91"/>
      <c r="E296" s="71" t="s">
        <v>558</v>
      </c>
      <c r="F296" s="71" t="str">
        <f>IF(ISNUMBER(E296),E296*$D296,"")</f>
        <v/>
      </c>
      <c r="G296" s="72"/>
      <c r="H296" s="30"/>
      <c r="I296" s="156">
        <v>0</v>
      </c>
    </row>
    <row r="297" spans="1:9" hidden="1" x14ac:dyDescent="0.25">
      <c r="A297" s="209"/>
      <c r="B297" s="32" t="s">
        <v>558</v>
      </c>
      <c r="C297" s="32"/>
      <c r="D297" s="92"/>
      <c r="E297" s="31" t="s">
        <v>558</v>
      </c>
      <c r="F297" s="31" t="str">
        <f>IF(ISNUMBER(E297),E297*$D297,"")</f>
        <v/>
      </c>
      <c r="G297" s="35"/>
      <c r="H297" s="31"/>
      <c r="I297" s="156">
        <v>0</v>
      </c>
    </row>
    <row r="298" spans="1:9" ht="38.25" hidden="1" x14ac:dyDescent="0.25">
      <c r="A298" s="209"/>
      <c r="B298" s="36" t="s">
        <v>939</v>
      </c>
      <c r="C298" s="36" t="s">
        <v>292</v>
      </c>
      <c r="D298" s="37">
        <v>2.8159999999999998</v>
      </c>
      <c r="E298" s="31">
        <v>0.19949999999999998</v>
      </c>
      <c r="F298" s="34">
        <f>IF(ISNUMBER(E298),E298*$D298,"")</f>
        <v>0.56179199999999996</v>
      </c>
      <c r="G298" s="45">
        <f>SUM(F298:F302)</f>
        <v>19.9691197</v>
      </c>
      <c r="H298" s="46"/>
      <c r="I298" s="156">
        <v>0</v>
      </c>
    </row>
    <row r="299" spans="1:9" ht="25.5" hidden="1" x14ac:dyDescent="0.25">
      <c r="A299" s="209"/>
      <c r="B299" s="36" t="s">
        <v>3598</v>
      </c>
      <c r="C299" s="36" t="s">
        <v>938</v>
      </c>
      <c r="D299" s="37">
        <v>2.5000000000000001E-2</v>
      </c>
      <c r="E299" s="31">
        <v>21.754999999999999</v>
      </c>
      <c r="F299" s="34">
        <f>IF(ISNUMBER(E299),E299*$D299,"")</f>
        <v>0.543875</v>
      </c>
      <c r="G299" s="45"/>
      <c r="H299" s="46"/>
      <c r="I299" s="156">
        <v>0</v>
      </c>
    </row>
    <row r="300" spans="1:9" hidden="1" x14ac:dyDescent="0.25">
      <c r="A300" s="209"/>
      <c r="B300" s="36" t="s">
        <v>940</v>
      </c>
      <c r="C300" s="36" t="s">
        <v>742</v>
      </c>
      <c r="D300" s="37">
        <v>3.1E-2</v>
      </c>
      <c r="E300" s="34">
        <v>17.518000000000001</v>
      </c>
      <c r="F300" s="34">
        <f>IF(ISNUMBER(E300),E300*$D300,"")</f>
        <v>0.54305800000000004</v>
      </c>
      <c r="G300" s="45"/>
      <c r="H300" s="46"/>
      <c r="I300" s="156">
        <v>0</v>
      </c>
    </row>
    <row r="301" spans="1:9" ht="15.75" hidden="1" customHeight="1" x14ac:dyDescent="0.25">
      <c r="A301" s="209"/>
      <c r="B301" s="36" t="s">
        <v>941</v>
      </c>
      <c r="C301" s="36" t="s">
        <v>742</v>
      </c>
      <c r="D301" s="37">
        <v>0.18959999999999999</v>
      </c>
      <c r="E301" s="31">
        <v>22.591000000000001</v>
      </c>
      <c r="F301" s="34">
        <f>IF(ISNUMBER(E301),E301*$D301,"")</f>
        <v>4.2832536000000001</v>
      </c>
      <c r="G301" s="45"/>
      <c r="H301" s="46"/>
      <c r="I301" s="156">
        <v>0</v>
      </c>
    </row>
    <row r="302" spans="1:9" ht="25.5" hidden="1" x14ac:dyDescent="0.25">
      <c r="A302" s="209"/>
      <c r="B302" s="36" t="s">
        <v>1518</v>
      </c>
      <c r="C302" s="47" t="s">
        <v>938</v>
      </c>
      <c r="D302" s="37">
        <v>1</v>
      </c>
      <c r="E302" s="31">
        <v>14.037141099999999</v>
      </c>
      <c r="F302" s="34">
        <f>IF(ISNUMBER(E302),E302*$D302,"")</f>
        <v>14.037141099999999</v>
      </c>
      <c r="G302" s="45"/>
      <c r="H302" s="46"/>
      <c r="I302" s="156">
        <v>0</v>
      </c>
    </row>
    <row r="303" spans="1:9" hidden="1" x14ac:dyDescent="0.25">
      <c r="A303" s="209"/>
      <c r="B303" s="51"/>
      <c r="C303" s="47"/>
      <c r="D303" s="37"/>
      <c r="E303" s="31" t="s">
        <v>558</v>
      </c>
      <c r="F303" s="34" t="str">
        <f>IF(ISNUMBER(E303),E303*$D303,"")</f>
        <v/>
      </c>
      <c r="G303" s="45"/>
      <c r="H303" s="46"/>
      <c r="I303" s="156">
        <v>0</v>
      </c>
    </row>
    <row r="304" spans="1:9" ht="15.75" hidden="1" thickBot="1" x14ac:dyDescent="0.3">
      <c r="A304" s="210" t="s">
        <v>1518</v>
      </c>
      <c r="B304" s="41" t="s">
        <v>558</v>
      </c>
      <c r="C304" s="26" t="s">
        <v>938</v>
      </c>
      <c r="D304" s="94"/>
      <c r="E304" s="28" t="s">
        <v>558</v>
      </c>
      <c r="F304" s="26" t="str">
        <f>IF(ISNUMBER(E304),E304*$D304,"")</f>
        <v/>
      </c>
      <c r="G304" s="29"/>
      <c r="H304" s="30"/>
      <c r="I304" s="156">
        <v>0</v>
      </c>
    </row>
    <row r="305" spans="1:9" ht="15.75" hidden="1" customHeight="1" x14ac:dyDescent="0.25">
      <c r="A305" s="209"/>
      <c r="B305" s="32" t="s">
        <v>558</v>
      </c>
      <c r="C305" s="32"/>
      <c r="D305" s="92"/>
      <c r="E305" s="31" t="s">
        <v>558</v>
      </c>
      <c r="F305" s="99" t="str">
        <f>IF(ISNUMBER(E305),E305*$D305,"")</f>
        <v/>
      </c>
      <c r="G305" s="101"/>
      <c r="H305" s="99"/>
      <c r="I305" s="156">
        <v>0</v>
      </c>
    </row>
    <row r="306" spans="1:9" hidden="1" x14ac:dyDescent="0.25">
      <c r="A306" s="209"/>
      <c r="B306" s="36" t="s">
        <v>1524</v>
      </c>
      <c r="C306" s="36" t="s">
        <v>938</v>
      </c>
      <c r="D306" s="37">
        <v>1.07</v>
      </c>
      <c r="E306" s="34">
        <v>10.9345</v>
      </c>
      <c r="F306" s="34">
        <f>IF(ISNUMBER(E306),E306*$D306,"")</f>
        <v>11.699915000000001</v>
      </c>
      <c r="G306" s="45">
        <f>SUM(F306:F308)</f>
        <v>14.037141100000001</v>
      </c>
      <c r="H306" s="46"/>
      <c r="I306" s="156">
        <v>0</v>
      </c>
    </row>
    <row r="307" spans="1:9" hidden="1" x14ac:dyDescent="0.25">
      <c r="A307" s="209"/>
      <c r="B307" s="36" t="s">
        <v>940</v>
      </c>
      <c r="C307" s="36" t="s">
        <v>742</v>
      </c>
      <c r="D307" s="37">
        <v>1.3100000000000001E-2</v>
      </c>
      <c r="E307" s="34">
        <v>17.518000000000001</v>
      </c>
      <c r="F307" s="34">
        <f>IF(ISNUMBER(E307),E307*$D307,"")</f>
        <v>0.22948580000000002</v>
      </c>
      <c r="G307" s="45"/>
      <c r="H307" s="46"/>
      <c r="I307" s="156">
        <v>0</v>
      </c>
    </row>
    <row r="308" spans="1:9" hidden="1" x14ac:dyDescent="0.25">
      <c r="A308" s="209"/>
      <c r="B308" s="36" t="s">
        <v>941</v>
      </c>
      <c r="C308" s="36" t="s">
        <v>742</v>
      </c>
      <c r="D308" s="37">
        <v>9.3299999999999994E-2</v>
      </c>
      <c r="E308" s="31">
        <v>22.591000000000001</v>
      </c>
      <c r="F308" s="34">
        <f>IF(ISNUMBER(E308),E308*$D308,"")</f>
        <v>2.1077403000000001</v>
      </c>
      <c r="G308" s="45"/>
      <c r="H308" s="46"/>
      <c r="I308" s="156">
        <v>0</v>
      </c>
    </row>
    <row r="309" spans="1:9" ht="15.75" hidden="1" thickBot="1" x14ac:dyDescent="0.3">
      <c r="A309" s="211"/>
      <c r="B309" s="55" t="s">
        <v>558</v>
      </c>
      <c r="C309" s="55"/>
      <c r="D309" s="96"/>
      <c r="E309" s="67" t="s">
        <v>558</v>
      </c>
      <c r="F309" s="68" t="str">
        <f>IF(ISNUMBER(E309),E309*$D309,"")</f>
        <v/>
      </c>
      <c r="G309" s="69"/>
      <c r="H309" s="31"/>
      <c r="I309" s="156">
        <v>0</v>
      </c>
    </row>
    <row r="310" spans="1:9" ht="15.75" hidden="1" thickBot="1" x14ac:dyDescent="0.3">
      <c r="A310" s="210" t="s">
        <v>1210</v>
      </c>
      <c r="B310" s="41" t="s">
        <v>558</v>
      </c>
      <c r="C310" s="26" t="s">
        <v>122</v>
      </c>
      <c r="D310" s="94"/>
      <c r="E310" s="42" t="s">
        <v>558</v>
      </c>
      <c r="F310" s="42" t="str">
        <f>IF(ISNUMBER(E310),E310*$D310,"")</f>
        <v/>
      </c>
      <c r="G310" s="29"/>
      <c r="H310" s="30"/>
      <c r="I310" s="156">
        <v>0</v>
      </c>
    </row>
    <row r="311" spans="1:9" hidden="1" x14ac:dyDescent="0.25">
      <c r="A311" s="209"/>
      <c r="B311" s="32" t="s">
        <v>558</v>
      </c>
      <c r="C311" s="32"/>
      <c r="D311" s="92"/>
      <c r="E311" s="43" t="s">
        <v>558</v>
      </c>
      <c r="F311" s="31" t="str">
        <f>IF(ISNUMBER(E311),E311*$D311,"")</f>
        <v/>
      </c>
      <c r="G311" s="35"/>
      <c r="H311" s="31"/>
      <c r="I311" s="156">
        <v>0</v>
      </c>
    </row>
    <row r="312" spans="1:9" ht="25.5" hidden="1" x14ac:dyDescent="0.25">
      <c r="A312" s="209"/>
      <c r="B312" s="36" t="s">
        <v>791</v>
      </c>
      <c r="C312" s="36" t="s">
        <v>122</v>
      </c>
      <c r="D312" s="37">
        <v>0.80800000000000005</v>
      </c>
      <c r="E312" s="34">
        <v>85.5</v>
      </c>
      <c r="F312" s="34">
        <f>IF(ISNUMBER(E312),E312*$D312,"")</f>
        <v>69.084000000000003</v>
      </c>
      <c r="G312" s="45">
        <f>SUM(F312:F320)</f>
        <v>407.92278979545006</v>
      </c>
      <c r="H312" s="46"/>
      <c r="I312" s="156">
        <v>0</v>
      </c>
    </row>
    <row r="313" spans="1:9" hidden="1" x14ac:dyDescent="0.25">
      <c r="A313" s="209"/>
      <c r="B313" s="36" t="s">
        <v>787</v>
      </c>
      <c r="C313" s="36" t="s">
        <v>938</v>
      </c>
      <c r="D313" s="37">
        <v>274.06</v>
      </c>
      <c r="E313" s="34">
        <v>0.52249999999999996</v>
      </c>
      <c r="F313" s="34">
        <f>IF(ISNUMBER(E313),E313*$D313,"")</f>
        <v>143.19635</v>
      </c>
      <c r="G313" s="45"/>
      <c r="H313" s="46"/>
      <c r="I313" s="156">
        <v>0</v>
      </c>
    </row>
    <row r="314" spans="1:9" ht="25.5" hidden="1" x14ac:dyDescent="0.25">
      <c r="A314" s="209"/>
      <c r="B314" s="36" t="s">
        <v>799</v>
      </c>
      <c r="C314" s="36" t="s">
        <v>122</v>
      </c>
      <c r="D314" s="37">
        <v>0.58099999999999996</v>
      </c>
      <c r="E314" s="34">
        <v>124.982</v>
      </c>
      <c r="F314" s="34">
        <f>IF(ISNUMBER(E314),E314*$D314,"")</f>
        <v>72.614542</v>
      </c>
      <c r="G314" s="45"/>
      <c r="H314" s="46"/>
      <c r="I314" s="156">
        <v>0</v>
      </c>
    </row>
    <row r="315" spans="1:9" hidden="1" x14ac:dyDescent="0.25">
      <c r="A315" s="209"/>
      <c r="B315" s="36" t="s">
        <v>743</v>
      </c>
      <c r="C315" s="36" t="s">
        <v>742</v>
      </c>
      <c r="D315" s="37">
        <v>2.0299999999999998</v>
      </c>
      <c r="E315" s="31">
        <v>16.729499999999998</v>
      </c>
      <c r="F315" s="34">
        <f>IF(ISNUMBER(E315),E315*$D315,"")</f>
        <v>33.96088499999999</v>
      </c>
      <c r="G315" s="45"/>
      <c r="H315" s="46"/>
      <c r="I315" s="156">
        <v>0</v>
      </c>
    </row>
    <row r="316" spans="1:9" ht="25.5" hidden="1" x14ac:dyDescent="0.25">
      <c r="A316" s="209"/>
      <c r="B316" s="36" t="s">
        <v>1512</v>
      </c>
      <c r="C316" s="36" t="s">
        <v>742</v>
      </c>
      <c r="D316" s="37">
        <v>1.28</v>
      </c>
      <c r="E316" s="31">
        <v>16.928999999999998</v>
      </c>
      <c r="F316" s="95">
        <f>IF(ISNUMBER(E316),E316*$D316,"")</f>
        <v>21.669119999999999</v>
      </c>
      <c r="G316" s="45"/>
      <c r="H316" s="46"/>
      <c r="I316" s="156">
        <v>0</v>
      </c>
    </row>
    <row r="317" spans="1:9" ht="38.25" hidden="1" x14ac:dyDescent="0.25">
      <c r="A317" s="209"/>
      <c r="B317" s="36" t="s">
        <v>1433</v>
      </c>
      <c r="C317" s="36" t="s">
        <v>982</v>
      </c>
      <c r="D317" s="37">
        <v>0.66</v>
      </c>
      <c r="E317" s="31">
        <v>3.9425000000000003</v>
      </c>
      <c r="F317" s="95">
        <f>IF(ISNUMBER(E317),E317*$D317,"")</f>
        <v>2.6020500000000002</v>
      </c>
      <c r="G317" s="45"/>
      <c r="H317" s="46"/>
      <c r="I317" s="156">
        <v>0</v>
      </c>
    </row>
    <row r="318" spans="1:9" ht="38.25" hidden="1" x14ac:dyDescent="0.25">
      <c r="A318" s="209"/>
      <c r="B318" s="36" t="s">
        <v>1513</v>
      </c>
      <c r="C318" s="47" t="s">
        <v>984</v>
      </c>
      <c r="D318" s="37">
        <v>0.62</v>
      </c>
      <c r="E318" s="31">
        <v>1.254</v>
      </c>
      <c r="F318" s="34">
        <f>IF(ISNUMBER(E318),E318*$D318,"")</f>
        <v>0.77747999999999995</v>
      </c>
      <c r="G318" s="45"/>
      <c r="H318" s="46"/>
      <c r="I318" s="156">
        <v>0</v>
      </c>
    </row>
    <row r="319" spans="1:9" ht="51" hidden="1" x14ac:dyDescent="0.25">
      <c r="A319" s="209"/>
      <c r="B319" s="36" t="s">
        <v>3617</v>
      </c>
      <c r="C319" s="36" t="s">
        <v>122</v>
      </c>
      <c r="D319" s="37">
        <f>ROUND(1*(D312+D314),4)</f>
        <v>1.389</v>
      </c>
      <c r="E319" s="31">
        <v>6.0919690499999994</v>
      </c>
      <c r="F319" s="34">
        <f>IF(ISNUMBER(E319),E319*$D319,"")</f>
        <v>8.4617450104499987</v>
      </c>
      <c r="G319" s="45"/>
      <c r="H319" s="46"/>
      <c r="I319" s="156">
        <v>0</v>
      </c>
    </row>
    <row r="320" spans="1:9" ht="38.25" hidden="1" x14ac:dyDescent="0.25">
      <c r="A320" s="209"/>
      <c r="B320" s="36" t="s">
        <v>3616</v>
      </c>
      <c r="C320" s="47" t="s">
        <v>124</v>
      </c>
      <c r="D320" s="37">
        <f>ROUND((D312+D314)*20,4)</f>
        <v>27.78</v>
      </c>
      <c r="E320" s="31">
        <v>1.9998782499999996</v>
      </c>
      <c r="F320" s="34">
        <f>IF(ISNUMBER(E320),E320*$D320,"")</f>
        <v>55.556617784999993</v>
      </c>
      <c r="G320" s="45"/>
      <c r="H320" s="46"/>
      <c r="I320" s="156">
        <v>0</v>
      </c>
    </row>
    <row r="321" spans="1:9" hidden="1" x14ac:dyDescent="0.25">
      <c r="A321" s="209"/>
      <c r="B321" s="51"/>
      <c r="C321" s="47"/>
      <c r="D321" s="37"/>
      <c r="E321" s="31" t="s">
        <v>558</v>
      </c>
      <c r="F321" s="34" t="str">
        <f>IF(ISNUMBER(E321),E321*$D321,"")</f>
        <v/>
      </c>
      <c r="G321" s="45"/>
      <c r="H321" s="46"/>
      <c r="I321" s="156">
        <v>0</v>
      </c>
    </row>
    <row r="322" spans="1:9" ht="25.5" hidden="1" x14ac:dyDescent="0.25">
      <c r="A322" s="209"/>
      <c r="B322" s="48" t="s">
        <v>125</v>
      </c>
      <c r="C322" s="47"/>
      <c r="D322" s="37"/>
      <c r="E322" s="31" t="s">
        <v>558</v>
      </c>
      <c r="F322" s="34" t="str">
        <f>IF(ISNUMBER(E322),E322*$D322,"")</f>
        <v/>
      </c>
      <c r="G322" s="45"/>
      <c r="H322" s="46"/>
      <c r="I322" s="156">
        <v>0</v>
      </c>
    </row>
    <row r="323" spans="1:9" hidden="1" x14ac:dyDescent="0.25">
      <c r="A323" s="209"/>
      <c r="B323" s="36" t="s">
        <v>558</v>
      </c>
      <c r="C323" s="36"/>
      <c r="D323" s="93"/>
      <c r="E323" s="31" t="s">
        <v>558</v>
      </c>
      <c r="F323" s="31" t="str">
        <f>IF(ISNUMBER(E323),E323*$D323,"")</f>
        <v/>
      </c>
      <c r="G323" s="35"/>
      <c r="H323" s="31"/>
      <c r="I323" s="156">
        <v>0</v>
      </c>
    </row>
    <row r="324" spans="1:9" ht="15.75" hidden="1" thickBot="1" x14ac:dyDescent="0.3">
      <c r="A324" s="210" t="s">
        <v>1112</v>
      </c>
      <c r="B324" s="41" t="s">
        <v>558</v>
      </c>
      <c r="C324" s="26" t="s">
        <v>122</v>
      </c>
      <c r="D324" s="94"/>
      <c r="E324" s="42" t="s">
        <v>558</v>
      </c>
      <c r="F324" s="42" t="str">
        <f>IF(ISNUMBER(E324),E324*$D324,"")</f>
        <v/>
      </c>
      <c r="G324" s="29"/>
      <c r="H324" s="30"/>
      <c r="I324" s="156">
        <v>0</v>
      </c>
    </row>
    <row r="325" spans="1:9" hidden="1" x14ac:dyDescent="0.25">
      <c r="A325" s="209"/>
      <c r="B325" s="32" t="s">
        <v>558</v>
      </c>
      <c r="C325" s="32"/>
      <c r="D325" s="92"/>
      <c r="E325" s="43" t="s">
        <v>558</v>
      </c>
      <c r="F325" s="31" t="str">
        <f>IF(ISNUMBER(E325),E325*$D325,"")</f>
        <v/>
      </c>
      <c r="G325" s="35"/>
      <c r="H325" s="31"/>
      <c r="I325" s="156">
        <v>0</v>
      </c>
    </row>
    <row r="326" spans="1:9" ht="25.5" hidden="1" x14ac:dyDescent="0.25">
      <c r="A326" s="209"/>
      <c r="B326" s="36" t="s">
        <v>791</v>
      </c>
      <c r="C326" s="36" t="s">
        <v>122</v>
      </c>
      <c r="D326" s="37">
        <v>0.83199999999999996</v>
      </c>
      <c r="E326" s="34">
        <v>85.5</v>
      </c>
      <c r="F326" s="34">
        <f>IF(ISNUMBER(E326),E326*$D326,"")</f>
        <v>71.135999999999996</v>
      </c>
      <c r="G326" s="45">
        <f>SUM(F326:F334)</f>
        <v>381.92399014669996</v>
      </c>
      <c r="H326" s="46"/>
      <c r="I326" s="156">
        <v>0</v>
      </c>
    </row>
    <row r="327" spans="1:9" hidden="1" x14ac:dyDescent="0.25">
      <c r="A327" s="209"/>
      <c r="B327" s="36" t="s">
        <v>787</v>
      </c>
      <c r="C327" s="36" t="s">
        <v>938</v>
      </c>
      <c r="D327" s="37">
        <v>213.45</v>
      </c>
      <c r="E327" s="34">
        <v>0.52249999999999996</v>
      </c>
      <c r="F327" s="34">
        <f>IF(ISNUMBER(E327),E327*$D327,"")</f>
        <v>111.52762499999999</v>
      </c>
      <c r="G327" s="45"/>
      <c r="H327" s="46"/>
      <c r="I327" s="156">
        <v>0</v>
      </c>
    </row>
    <row r="328" spans="1:9" ht="25.5" hidden="1" x14ac:dyDescent="0.25">
      <c r="A328" s="209"/>
      <c r="B328" s="36" t="s">
        <v>799</v>
      </c>
      <c r="C328" s="36" t="s">
        <v>122</v>
      </c>
      <c r="D328" s="37">
        <v>0.58199999999999996</v>
      </c>
      <c r="E328" s="34">
        <v>124.982</v>
      </c>
      <c r="F328" s="34">
        <f>IF(ISNUMBER(E328),E328*$D328,"")</f>
        <v>72.739523999999989</v>
      </c>
      <c r="G328" s="45"/>
      <c r="H328" s="46"/>
      <c r="I328" s="156">
        <v>0</v>
      </c>
    </row>
    <row r="329" spans="1:9" hidden="1" x14ac:dyDescent="0.25">
      <c r="A329" s="209"/>
      <c r="B329" s="36" t="s">
        <v>743</v>
      </c>
      <c r="C329" s="36" t="s">
        <v>742</v>
      </c>
      <c r="D329" s="37">
        <v>2.11</v>
      </c>
      <c r="E329" s="31">
        <v>16.729499999999998</v>
      </c>
      <c r="F329" s="34">
        <f>IF(ISNUMBER(E329),E329*$D329,"")</f>
        <v>35.299244999999992</v>
      </c>
      <c r="G329" s="45"/>
      <c r="H329" s="46"/>
      <c r="I329" s="156">
        <v>0</v>
      </c>
    </row>
    <row r="330" spans="1:9" ht="25.5" hidden="1" x14ac:dyDescent="0.25">
      <c r="A330" s="209"/>
      <c r="B330" s="36" t="s">
        <v>1512</v>
      </c>
      <c r="C330" s="36" t="s">
        <v>742</v>
      </c>
      <c r="D330" s="37">
        <v>1.33</v>
      </c>
      <c r="E330" s="31">
        <v>16.928999999999998</v>
      </c>
      <c r="F330" s="95">
        <f>IF(ISNUMBER(E330),E330*$D330,"")</f>
        <v>22.51557</v>
      </c>
      <c r="G330" s="45"/>
      <c r="H330" s="46"/>
      <c r="I330" s="156">
        <v>0</v>
      </c>
    </row>
    <row r="331" spans="1:9" ht="38.25" hidden="1" x14ac:dyDescent="0.25">
      <c r="A331" s="209"/>
      <c r="B331" s="36" t="s">
        <v>1433</v>
      </c>
      <c r="C331" s="36" t="s">
        <v>982</v>
      </c>
      <c r="D331" s="34">
        <v>0.69</v>
      </c>
      <c r="E331" s="31">
        <v>3.9425000000000003</v>
      </c>
      <c r="F331" s="95">
        <f>IF(ISNUMBER(E331),E331*$D331,"")</f>
        <v>2.7203249999999999</v>
      </c>
      <c r="G331" s="45"/>
      <c r="H331" s="46"/>
      <c r="I331" s="156">
        <v>0</v>
      </c>
    </row>
    <row r="332" spans="1:9" ht="38.25" hidden="1" x14ac:dyDescent="0.25">
      <c r="A332" s="209"/>
      <c r="B332" s="36" t="s">
        <v>1513</v>
      </c>
      <c r="C332" s="47" t="s">
        <v>984</v>
      </c>
      <c r="D332" s="37">
        <v>0.65</v>
      </c>
      <c r="E332" s="31">
        <v>1.254</v>
      </c>
      <c r="F332" s="34">
        <f>IF(ISNUMBER(E332),E332*$D332,"")</f>
        <v>0.81510000000000005</v>
      </c>
      <c r="G332" s="45"/>
      <c r="H332" s="46"/>
      <c r="I332" s="156">
        <v>0</v>
      </c>
    </row>
    <row r="333" spans="1:9" ht="51" hidden="1" x14ac:dyDescent="0.25">
      <c r="A333" s="209"/>
      <c r="B333" s="36" t="s">
        <v>3617</v>
      </c>
      <c r="C333" s="36" t="s">
        <v>122</v>
      </c>
      <c r="D333" s="37">
        <f>ROUND(1*(D326+D328),4)</f>
        <v>1.4139999999999999</v>
      </c>
      <c r="E333" s="31">
        <v>6.0919690499999994</v>
      </c>
      <c r="F333" s="34">
        <f>IF(ISNUMBER(E333),E333*$D333,"")</f>
        <v>8.6140442366999981</v>
      </c>
      <c r="G333" s="45"/>
      <c r="H333" s="46"/>
      <c r="I333" s="156">
        <v>0</v>
      </c>
    </row>
    <row r="334" spans="1:9" ht="38.25" hidden="1" x14ac:dyDescent="0.25">
      <c r="A334" s="209"/>
      <c r="B334" s="36" t="s">
        <v>3616</v>
      </c>
      <c r="C334" s="47" t="s">
        <v>124</v>
      </c>
      <c r="D334" s="37">
        <f>ROUND((D326+D328)*20,4)</f>
        <v>28.28</v>
      </c>
      <c r="E334" s="31">
        <v>1.9998782499999996</v>
      </c>
      <c r="F334" s="34">
        <f>IF(ISNUMBER(E334),E334*$D334,"")</f>
        <v>56.556556909999991</v>
      </c>
      <c r="G334" s="45"/>
      <c r="H334" s="46"/>
      <c r="I334" s="156">
        <v>0</v>
      </c>
    </row>
    <row r="335" spans="1:9" hidden="1" x14ac:dyDescent="0.25">
      <c r="A335" s="209"/>
      <c r="B335" s="51"/>
      <c r="C335" s="47"/>
      <c r="D335" s="37"/>
      <c r="E335" s="31" t="s">
        <v>558</v>
      </c>
      <c r="F335" s="34" t="str">
        <f>IF(ISNUMBER(E335),E335*$D335,"")</f>
        <v/>
      </c>
      <c r="G335" s="45"/>
      <c r="H335" s="46"/>
      <c r="I335" s="156">
        <v>0</v>
      </c>
    </row>
    <row r="336" spans="1:9" ht="25.5" hidden="1" x14ac:dyDescent="0.25">
      <c r="A336" s="209"/>
      <c r="B336" s="48" t="s">
        <v>125</v>
      </c>
      <c r="C336" s="47"/>
      <c r="D336" s="37"/>
      <c r="E336" s="31" t="s">
        <v>558</v>
      </c>
      <c r="F336" s="34" t="str">
        <f>IF(ISNUMBER(E336),E336*$D336,"")</f>
        <v/>
      </c>
      <c r="G336" s="45"/>
      <c r="H336" s="46"/>
      <c r="I336" s="156">
        <v>0</v>
      </c>
    </row>
    <row r="337" spans="1:9" hidden="1" x14ac:dyDescent="0.25">
      <c r="A337" s="209"/>
      <c r="B337" s="36" t="s">
        <v>558</v>
      </c>
      <c r="C337" s="36"/>
      <c r="D337" s="93"/>
      <c r="E337" s="31" t="s">
        <v>558</v>
      </c>
      <c r="F337" s="31" t="str">
        <f>IF(ISNUMBER(E337),E337*$D337,"")</f>
        <v/>
      </c>
      <c r="G337" s="35"/>
      <c r="H337" s="31"/>
      <c r="I337" s="156">
        <v>0</v>
      </c>
    </row>
    <row r="338" spans="1:9" ht="15.75" hidden="1" thickBot="1" x14ac:dyDescent="0.3">
      <c r="A338" s="210" t="s">
        <v>1044</v>
      </c>
      <c r="B338" s="41" t="s">
        <v>558</v>
      </c>
      <c r="C338" s="26" t="s">
        <v>122</v>
      </c>
      <c r="D338" s="94"/>
      <c r="E338" s="28" t="s">
        <v>558</v>
      </c>
      <c r="F338" s="28" t="str">
        <f>IF(ISNUMBER(E338),E338*$D338,"")</f>
        <v/>
      </c>
      <c r="G338" s="29"/>
      <c r="H338" s="30"/>
      <c r="I338" s="156">
        <v>0</v>
      </c>
    </row>
    <row r="339" spans="1:9" hidden="1" x14ac:dyDescent="0.25">
      <c r="A339" s="209"/>
      <c r="B339" s="32" t="s">
        <v>558</v>
      </c>
      <c r="C339" s="32"/>
      <c r="D339" s="92"/>
      <c r="E339" s="31" t="s">
        <v>558</v>
      </c>
      <c r="F339" s="31" t="str">
        <f>IF(ISNUMBER(E339),E339*$D339,"")</f>
        <v/>
      </c>
      <c r="G339" s="35"/>
      <c r="H339" s="31"/>
      <c r="I339" s="156">
        <v>0</v>
      </c>
    </row>
    <row r="340" spans="1:9" ht="25.5" hidden="1" x14ac:dyDescent="0.25">
      <c r="A340" s="209"/>
      <c r="B340" s="36" t="s">
        <v>1349</v>
      </c>
      <c r="C340" s="36" t="s">
        <v>122</v>
      </c>
      <c r="D340" s="37">
        <v>1.02</v>
      </c>
      <c r="E340" s="31">
        <v>133.38</v>
      </c>
      <c r="F340" s="34">
        <f>IF(ISNUMBER(E340),E340*$D340,"")</f>
        <v>136.04759999999999</v>
      </c>
      <c r="G340" s="45">
        <f>SUM(F340:F346)</f>
        <v>443.66862473100002</v>
      </c>
      <c r="H340" s="46"/>
      <c r="I340" s="156">
        <v>0</v>
      </c>
    </row>
    <row r="341" spans="1:9" hidden="1" x14ac:dyDescent="0.25">
      <c r="A341" s="209"/>
      <c r="B341" s="36" t="s">
        <v>787</v>
      </c>
      <c r="C341" s="36" t="s">
        <v>938</v>
      </c>
      <c r="D341" s="37">
        <v>343.52</v>
      </c>
      <c r="E341" s="34">
        <v>0.52249999999999996</v>
      </c>
      <c r="F341" s="34">
        <f>IF(ISNUMBER(E341),E341*$D341,"")</f>
        <v>179.48919999999998</v>
      </c>
      <c r="G341" s="45"/>
      <c r="H341" s="46"/>
      <c r="I341" s="156">
        <v>0</v>
      </c>
    </row>
    <row r="342" spans="1:9" ht="25.5" hidden="1" x14ac:dyDescent="0.25">
      <c r="A342" s="209"/>
      <c r="B342" s="36" t="s">
        <v>1512</v>
      </c>
      <c r="C342" s="36" t="s">
        <v>742</v>
      </c>
      <c r="D342" s="37">
        <v>4.6399999999999997</v>
      </c>
      <c r="E342" s="31">
        <v>16.928999999999998</v>
      </c>
      <c r="F342" s="34">
        <f>IF(ISNUMBER(E342),E342*$D342,"")</f>
        <v>78.55055999999999</v>
      </c>
      <c r="G342" s="45"/>
      <c r="H342" s="46"/>
      <c r="I342" s="156">
        <v>0</v>
      </c>
    </row>
    <row r="343" spans="1:9" ht="38.25" hidden="1" x14ac:dyDescent="0.25">
      <c r="A343" s="209"/>
      <c r="B343" s="36" t="s">
        <v>119</v>
      </c>
      <c r="C343" s="36" t="s">
        <v>982</v>
      </c>
      <c r="D343" s="37">
        <v>1.08</v>
      </c>
      <c r="E343" s="31">
        <v>1.3774999999999999</v>
      </c>
      <c r="F343" s="34">
        <f>IF(ISNUMBER(E343),E343*$D343,"")</f>
        <v>1.4877</v>
      </c>
      <c r="G343" s="45"/>
      <c r="H343" s="46"/>
      <c r="I343" s="156">
        <v>0</v>
      </c>
    </row>
    <row r="344" spans="1:9" ht="38.25" hidden="1" x14ac:dyDescent="0.25">
      <c r="A344" s="209"/>
      <c r="B344" s="36" t="s">
        <v>120</v>
      </c>
      <c r="C344" s="36" t="s">
        <v>984</v>
      </c>
      <c r="D344" s="37">
        <v>3.56</v>
      </c>
      <c r="E344" s="31">
        <v>0.30399999999999999</v>
      </c>
      <c r="F344" s="34">
        <f>IF(ISNUMBER(E344),E344*$D344,"")</f>
        <v>1.0822400000000001</v>
      </c>
      <c r="G344" s="45"/>
      <c r="H344" s="46"/>
      <c r="I344" s="156">
        <v>0</v>
      </c>
    </row>
    <row r="345" spans="1:9" ht="51" hidden="1" x14ac:dyDescent="0.25">
      <c r="A345" s="209"/>
      <c r="B345" s="36" t="s">
        <v>3617</v>
      </c>
      <c r="C345" s="36" t="s">
        <v>122</v>
      </c>
      <c r="D345" s="37">
        <f>ROUND(1*(D340),4)</f>
        <v>1.02</v>
      </c>
      <c r="E345" s="31">
        <v>6.0919690499999994</v>
      </c>
      <c r="F345" s="34">
        <f>IF(ISNUMBER(E345),E345*$D345,"")</f>
        <v>6.2138084309999995</v>
      </c>
      <c r="G345" s="45"/>
      <c r="H345" s="46"/>
      <c r="I345" s="156">
        <v>0</v>
      </c>
    </row>
    <row r="346" spans="1:9" ht="38.25" hidden="1" x14ac:dyDescent="0.25">
      <c r="A346" s="209"/>
      <c r="B346" s="36" t="s">
        <v>3616</v>
      </c>
      <c r="C346" s="47" t="s">
        <v>124</v>
      </c>
      <c r="D346" s="37">
        <f>ROUND(D340*20,4)</f>
        <v>20.399999999999999</v>
      </c>
      <c r="E346" s="31">
        <v>1.9998782499999996</v>
      </c>
      <c r="F346" s="34">
        <f>IF(ISNUMBER(E346),E346*$D346,"")</f>
        <v>40.797516299999991</v>
      </c>
      <c r="G346" s="45"/>
      <c r="H346" s="46"/>
      <c r="I346" s="156">
        <v>0</v>
      </c>
    </row>
    <row r="347" spans="1:9" hidden="1" x14ac:dyDescent="0.25">
      <c r="A347" s="209"/>
      <c r="B347" s="36"/>
      <c r="C347" s="36"/>
      <c r="D347" s="37"/>
      <c r="E347" s="31" t="s">
        <v>558</v>
      </c>
      <c r="F347" s="34" t="str">
        <f>IF(ISNUMBER(E347),E347*$D347,"")</f>
        <v/>
      </c>
      <c r="G347" s="45"/>
      <c r="H347" s="46"/>
      <c r="I347" s="156">
        <v>0</v>
      </c>
    </row>
    <row r="348" spans="1:9" ht="24.95" hidden="1" customHeight="1" x14ac:dyDescent="0.25">
      <c r="A348" s="209"/>
      <c r="B348" s="48" t="s">
        <v>794</v>
      </c>
      <c r="C348" s="47"/>
      <c r="D348" s="37"/>
      <c r="E348" s="31" t="s">
        <v>558</v>
      </c>
      <c r="F348" s="34" t="str">
        <f>IF(ISNUMBER(E348),E348*$D348,"")</f>
        <v/>
      </c>
      <c r="G348" s="45"/>
      <c r="H348" s="46"/>
      <c r="I348" s="156">
        <v>0</v>
      </c>
    </row>
    <row r="349" spans="1:9" ht="15.75" hidden="1" thickBot="1" x14ac:dyDescent="0.3">
      <c r="A349" s="211"/>
      <c r="B349" s="55" t="s">
        <v>558</v>
      </c>
      <c r="C349" s="55"/>
      <c r="D349" s="96"/>
      <c r="E349" s="67" t="s">
        <v>558</v>
      </c>
      <c r="F349" s="68" t="str">
        <f>IF(ISNUMBER(E349),E349*$D349,"")</f>
        <v/>
      </c>
      <c r="G349" s="69"/>
      <c r="H349" s="31"/>
      <c r="I349" s="156">
        <v>0</v>
      </c>
    </row>
    <row r="350" spans="1:9" ht="15.75" hidden="1" thickBot="1" x14ac:dyDescent="0.3">
      <c r="A350" s="210" t="s">
        <v>3617</v>
      </c>
      <c r="B350" s="41" t="s">
        <v>558</v>
      </c>
      <c r="C350" s="26" t="s">
        <v>122</v>
      </c>
      <c r="D350" s="94"/>
      <c r="E350" s="28" t="s">
        <v>558</v>
      </c>
      <c r="F350" s="26" t="str">
        <f>IF(ISNUMBER(E350),E350*$D350,"")</f>
        <v/>
      </c>
      <c r="G350" s="29"/>
      <c r="H350" s="30"/>
      <c r="I350" s="156">
        <v>0</v>
      </c>
    </row>
    <row r="351" spans="1:9" hidden="1" x14ac:dyDescent="0.25">
      <c r="A351" s="209"/>
      <c r="B351" s="32" t="s">
        <v>558</v>
      </c>
      <c r="C351" s="32"/>
      <c r="D351" s="92"/>
      <c r="E351" s="31" t="s">
        <v>558</v>
      </c>
      <c r="F351" s="31" t="str">
        <f>IF(ISNUMBER(E351),E351*$D351,"")</f>
        <v/>
      </c>
      <c r="G351" s="35"/>
      <c r="H351" s="31"/>
      <c r="I351" s="156">
        <v>0</v>
      </c>
    </row>
    <row r="352" spans="1:9" ht="38.25" hidden="1" x14ac:dyDescent="0.25">
      <c r="A352" s="209"/>
      <c r="B352" s="36" t="s">
        <v>3271</v>
      </c>
      <c r="C352" s="36" t="s">
        <v>982</v>
      </c>
      <c r="D352" s="37">
        <v>8.3000000000000001E-3</v>
      </c>
      <c r="E352" s="31">
        <v>138.81399999999999</v>
      </c>
      <c r="F352" s="34">
        <f>IF(ISNUMBER(E352),E352*$D352,"")</f>
        <v>1.1521561999999999</v>
      </c>
      <c r="G352" s="45">
        <f>SUM(F352:F355)</f>
        <v>6.0418992999999999</v>
      </c>
      <c r="H352" s="46"/>
      <c r="I352" s="156">
        <v>0</v>
      </c>
    </row>
    <row r="353" spans="1:9" ht="38.25" hidden="1" x14ac:dyDescent="0.25">
      <c r="A353" s="209"/>
      <c r="B353" s="36" t="s">
        <v>3277</v>
      </c>
      <c r="C353" s="47" t="s">
        <v>984</v>
      </c>
      <c r="D353" s="37">
        <v>1.5100000000000001E-2</v>
      </c>
      <c r="E353" s="31">
        <v>47.680499999999995</v>
      </c>
      <c r="F353" s="34">
        <f>IF(ISNUMBER(E353),E353*$D353,"")</f>
        <v>0.71997554999999991</v>
      </c>
      <c r="G353" s="45"/>
      <c r="H353" s="46"/>
      <c r="I353" s="156">
        <v>0</v>
      </c>
    </row>
    <row r="354" spans="1:9" ht="51" hidden="1" x14ac:dyDescent="0.25">
      <c r="A354" s="209"/>
      <c r="B354" s="36" t="s">
        <v>1119</v>
      </c>
      <c r="C354" s="47" t="s">
        <v>982</v>
      </c>
      <c r="D354" s="37">
        <v>2.6700000000000002E-2</v>
      </c>
      <c r="E354" s="31">
        <v>127.72749999999998</v>
      </c>
      <c r="F354" s="34">
        <f>IF(ISNUMBER(E354),E354*$D354,"")</f>
        <v>3.4103242499999995</v>
      </c>
      <c r="G354" s="45"/>
      <c r="H354" s="46"/>
      <c r="I354" s="156">
        <v>0</v>
      </c>
    </row>
    <row r="355" spans="1:9" ht="51" hidden="1" x14ac:dyDescent="0.25">
      <c r="A355" s="209"/>
      <c r="B355" s="36" t="s">
        <v>1120</v>
      </c>
      <c r="C355" s="47" t="s">
        <v>984</v>
      </c>
      <c r="D355" s="37">
        <v>2.0299999999999999E-2</v>
      </c>
      <c r="E355" s="31">
        <v>37.411000000000001</v>
      </c>
      <c r="F355" s="34">
        <f>IF(ISNUMBER(E355),E355*$D355,"")</f>
        <v>0.75944329999999993</v>
      </c>
      <c r="G355" s="45"/>
      <c r="H355" s="46"/>
      <c r="I355" s="156">
        <v>0</v>
      </c>
    </row>
    <row r="356" spans="1:9" ht="15.75" hidden="1" thickBot="1" x14ac:dyDescent="0.3">
      <c r="A356" s="211"/>
      <c r="B356" s="55" t="s">
        <v>558</v>
      </c>
      <c r="C356" s="55"/>
      <c r="D356" s="96"/>
      <c r="E356" s="67" t="s">
        <v>558</v>
      </c>
      <c r="F356" s="68" t="str">
        <f>IF(ISNUMBER(E356),E356*$D356,"")</f>
        <v/>
      </c>
      <c r="G356" s="69"/>
      <c r="H356" s="31"/>
      <c r="I356" s="156">
        <v>0</v>
      </c>
    </row>
    <row r="357" spans="1:9" ht="15.75" hidden="1" thickBot="1" x14ac:dyDescent="0.3">
      <c r="A357" s="210" t="s">
        <v>121</v>
      </c>
      <c r="B357" s="41" t="s">
        <v>558</v>
      </c>
      <c r="C357" s="26" t="s">
        <v>1351</v>
      </c>
      <c r="D357" s="94"/>
      <c r="E357" s="28" t="s">
        <v>558</v>
      </c>
      <c r="F357" s="26" t="str">
        <f>IF(ISNUMBER(E357),E357*$D357,"")</f>
        <v/>
      </c>
      <c r="G357" s="29"/>
      <c r="H357" s="30"/>
      <c r="I357" s="156">
        <v>0</v>
      </c>
    </row>
    <row r="358" spans="1:9" hidden="1" x14ac:dyDescent="0.25">
      <c r="A358" s="209"/>
      <c r="B358" s="32" t="s">
        <v>558</v>
      </c>
      <c r="C358" s="32"/>
      <c r="D358" s="92"/>
      <c r="E358" s="31" t="s">
        <v>558</v>
      </c>
      <c r="F358" s="31" t="str">
        <f>IF(ISNUMBER(E358),E358*$D358,"")</f>
        <v/>
      </c>
      <c r="G358" s="35"/>
      <c r="H358" s="31"/>
      <c r="I358" s="156">
        <v>0</v>
      </c>
    </row>
    <row r="359" spans="1:9" ht="38.25" hidden="1" x14ac:dyDescent="0.25">
      <c r="A359" s="209"/>
      <c r="B359" s="36" t="s">
        <v>3271</v>
      </c>
      <c r="C359" s="36" t="s">
        <v>982</v>
      </c>
      <c r="D359" s="37">
        <v>5.5599999999999998E-3</v>
      </c>
      <c r="E359" s="31">
        <v>138.81399999999999</v>
      </c>
      <c r="F359" s="34">
        <f>IF(ISNUMBER(E359),E359*$D359,"")</f>
        <v>0.77180583999999997</v>
      </c>
      <c r="G359" s="45">
        <f>SUM(F359:F362)</f>
        <v>4.0319768899999993</v>
      </c>
      <c r="H359" s="46"/>
      <c r="I359" s="156">
        <v>0</v>
      </c>
    </row>
    <row r="360" spans="1:9" ht="38.25" hidden="1" x14ac:dyDescent="0.25">
      <c r="A360" s="209"/>
      <c r="B360" s="36" t="s">
        <v>3277</v>
      </c>
      <c r="C360" s="47" t="s">
        <v>984</v>
      </c>
      <c r="D360" s="37">
        <v>1.01E-2</v>
      </c>
      <c r="E360" s="31">
        <v>47.680499999999995</v>
      </c>
      <c r="F360" s="34">
        <f>IF(ISNUMBER(E360),E360*$D360,"")</f>
        <v>0.48157304999999995</v>
      </c>
      <c r="G360" s="45"/>
      <c r="H360" s="46"/>
      <c r="I360" s="156">
        <v>0</v>
      </c>
    </row>
    <row r="361" spans="1:9" ht="51" hidden="1" x14ac:dyDescent="0.25">
      <c r="A361" s="209"/>
      <c r="B361" s="36" t="s">
        <v>1119</v>
      </c>
      <c r="C361" s="47" t="s">
        <v>982</v>
      </c>
      <c r="D361" s="37">
        <v>1.78E-2</v>
      </c>
      <c r="E361" s="31">
        <v>127.72749999999998</v>
      </c>
      <c r="F361" s="34">
        <f>IF(ISNUMBER(E361),E361*$D361,"")</f>
        <v>2.2735494999999997</v>
      </c>
      <c r="G361" s="45"/>
      <c r="H361" s="46"/>
      <c r="I361" s="156">
        <v>0</v>
      </c>
    </row>
    <row r="362" spans="1:9" ht="51" hidden="1" x14ac:dyDescent="0.25">
      <c r="A362" s="209"/>
      <c r="B362" s="36" t="s">
        <v>1120</v>
      </c>
      <c r="C362" s="47" t="s">
        <v>984</v>
      </c>
      <c r="D362" s="37">
        <v>1.35E-2</v>
      </c>
      <c r="E362" s="31">
        <v>37.411000000000001</v>
      </c>
      <c r="F362" s="34">
        <f>IF(ISNUMBER(E362),E362*$D362,"")</f>
        <v>0.50504850000000001</v>
      </c>
      <c r="G362" s="45"/>
      <c r="H362" s="46"/>
      <c r="I362" s="156">
        <v>0</v>
      </c>
    </row>
    <row r="363" spans="1:9" ht="15.75" hidden="1" thickBot="1" x14ac:dyDescent="0.3">
      <c r="A363" s="211"/>
      <c r="B363" s="55" t="s">
        <v>558</v>
      </c>
      <c r="C363" s="55"/>
      <c r="D363" s="96"/>
      <c r="E363" s="67" t="s">
        <v>558</v>
      </c>
      <c r="F363" s="68" t="str">
        <f>IF(ISNUMBER(E363),E363*$D363,"")</f>
        <v/>
      </c>
      <c r="G363" s="69"/>
      <c r="H363" s="31"/>
      <c r="I363" s="156">
        <v>0</v>
      </c>
    </row>
    <row r="364" spans="1:9" ht="15.75" hidden="1" thickBot="1" x14ac:dyDescent="0.3">
      <c r="A364" s="210" t="s">
        <v>3281</v>
      </c>
      <c r="B364" s="41" t="s">
        <v>558</v>
      </c>
      <c r="C364" s="26" t="s">
        <v>1034</v>
      </c>
      <c r="D364" s="94"/>
      <c r="E364" s="28" t="s">
        <v>558</v>
      </c>
      <c r="F364" s="28" t="str">
        <f>IF(ISNUMBER(E364),E364*$D364,"")</f>
        <v/>
      </c>
      <c r="G364" s="29"/>
      <c r="H364" s="30"/>
      <c r="I364" s="156">
        <v>0</v>
      </c>
    </row>
    <row r="365" spans="1:9" hidden="1" x14ac:dyDescent="0.25">
      <c r="A365" s="209"/>
      <c r="B365" s="32" t="s">
        <v>558</v>
      </c>
      <c r="C365" s="32"/>
      <c r="D365" s="92"/>
      <c r="E365" s="31" t="s">
        <v>558</v>
      </c>
      <c r="F365" s="31" t="str">
        <f>IF(ISNUMBER(E365),E365*$D365,"")</f>
        <v/>
      </c>
      <c r="G365" s="35"/>
      <c r="H365" s="31"/>
      <c r="I365" s="156">
        <v>0</v>
      </c>
    </row>
    <row r="366" spans="1:9" ht="25.5" hidden="1" x14ac:dyDescent="0.25">
      <c r="A366" s="209"/>
      <c r="B366" s="36" t="s">
        <v>1203</v>
      </c>
      <c r="C366" s="36" t="s">
        <v>103</v>
      </c>
      <c r="D366" s="37">
        <v>1.7000000000000001E-2</v>
      </c>
      <c r="E366" s="31">
        <v>6.1274999999999995</v>
      </c>
      <c r="F366" s="34">
        <f>IF(ISNUMBER(E366),E366*$D366,"")</f>
        <v>0.1041675</v>
      </c>
      <c r="G366" s="45">
        <f>SUM(F366:F370)</f>
        <v>172.34631985999999</v>
      </c>
      <c r="H366" s="46"/>
      <c r="I366" s="156">
        <v>0</v>
      </c>
    </row>
    <row r="367" spans="1:9" hidden="1" x14ac:dyDescent="0.25">
      <c r="A367" s="209"/>
      <c r="B367" s="36" t="s">
        <v>3437</v>
      </c>
      <c r="C367" s="36" t="s">
        <v>938</v>
      </c>
      <c r="D367" s="37">
        <v>2.7E-2</v>
      </c>
      <c r="E367" s="34">
        <v>23.730999999999998</v>
      </c>
      <c r="F367" s="34">
        <f>IF(ISNUMBER(E367),E367*$D367,"")</f>
        <v>0.64073699999999989</v>
      </c>
      <c r="G367" s="45"/>
      <c r="H367" s="46"/>
      <c r="I367" s="156">
        <v>0</v>
      </c>
    </row>
    <row r="368" spans="1:9" hidden="1" x14ac:dyDescent="0.25">
      <c r="A368" s="209"/>
      <c r="B368" s="36" t="s">
        <v>825</v>
      </c>
      <c r="C368" s="36" t="s">
        <v>742</v>
      </c>
      <c r="D368" s="37">
        <v>0.48899999999999999</v>
      </c>
      <c r="E368" s="31">
        <v>18.962</v>
      </c>
      <c r="F368" s="34">
        <f>IF(ISNUMBER(E368),E368*$D368,"")</f>
        <v>9.272418</v>
      </c>
      <c r="G368" s="45"/>
      <c r="H368" s="46"/>
      <c r="I368" s="156">
        <v>0</v>
      </c>
    </row>
    <row r="369" spans="1:9" hidden="1" x14ac:dyDescent="0.25">
      <c r="A369" s="209"/>
      <c r="B369" s="36" t="s">
        <v>1035</v>
      </c>
      <c r="C369" s="36" t="s">
        <v>742</v>
      </c>
      <c r="D369" s="37">
        <v>2.6680000000000001</v>
      </c>
      <c r="E369" s="31">
        <v>22.495999999999999</v>
      </c>
      <c r="F369" s="34">
        <f>IF(ISNUMBER(E369),E369*$D369,"")</f>
        <v>60.019328000000002</v>
      </c>
      <c r="G369" s="45"/>
      <c r="H369" s="46"/>
      <c r="I369" s="156">
        <v>0</v>
      </c>
    </row>
    <row r="370" spans="1:9" ht="25.5" hidden="1" x14ac:dyDescent="0.25">
      <c r="A370" s="209"/>
      <c r="B370" s="36" t="s">
        <v>3280</v>
      </c>
      <c r="C370" s="36" t="s">
        <v>1034</v>
      </c>
      <c r="D370" s="37">
        <v>0.53</v>
      </c>
      <c r="E370" s="31">
        <v>193.03711199999998</v>
      </c>
      <c r="F370" s="34">
        <f>IF(ISNUMBER(E370),E370*$D370,"")</f>
        <v>102.30966936</v>
      </c>
      <c r="G370" s="45"/>
      <c r="H370" s="46"/>
      <c r="I370" s="156">
        <v>0</v>
      </c>
    </row>
    <row r="371" spans="1:9" ht="15.75" hidden="1" thickBot="1" x14ac:dyDescent="0.3">
      <c r="A371" s="211"/>
      <c r="B371" s="55" t="s">
        <v>558</v>
      </c>
      <c r="C371" s="55"/>
      <c r="D371" s="96"/>
      <c r="E371" s="67" t="s">
        <v>558</v>
      </c>
      <c r="F371" s="68" t="str">
        <f>IF(ISNUMBER(E371),E371*$D371,"")</f>
        <v/>
      </c>
      <c r="G371" s="69"/>
      <c r="H371" s="31"/>
      <c r="I371" s="156">
        <v>0</v>
      </c>
    </row>
    <row r="372" spans="1:9" ht="15.75" hidden="1" thickBot="1" x14ac:dyDescent="0.3">
      <c r="A372" s="210" t="s">
        <v>3299</v>
      </c>
      <c r="B372" s="41" t="s">
        <v>558</v>
      </c>
      <c r="C372" s="26" t="s">
        <v>1034</v>
      </c>
      <c r="D372" s="94"/>
      <c r="E372" s="28" t="s">
        <v>558</v>
      </c>
      <c r="F372" s="28" t="str">
        <f>IF(ISNUMBER(E372),E372*$D372,"")</f>
        <v/>
      </c>
      <c r="G372" s="29"/>
      <c r="H372" s="30"/>
      <c r="I372" s="156">
        <v>0</v>
      </c>
    </row>
    <row r="373" spans="1:9" hidden="1" x14ac:dyDescent="0.25">
      <c r="A373" s="209"/>
      <c r="B373" s="32" t="s">
        <v>558</v>
      </c>
      <c r="C373" s="32"/>
      <c r="D373" s="92"/>
      <c r="E373" s="31" t="s">
        <v>558</v>
      </c>
      <c r="F373" s="31" t="str">
        <f>IF(ISNUMBER(E373),E373*$D373,"")</f>
        <v/>
      </c>
      <c r="G373" s="35"/>
      <c r="H373" s="31"/>
      <c r="I373" s="156">
        <v>0</v>
      </c>
    </row>
    <row r="374" spans="1:9" ht="38.25" hidden="1" x14ac:dyDescent="0.25">
      <c r="A374" s="209"/>
      <c r="B374" s="36" t="s">
        <v>3303</v>
      </c>
      <c r="C374" s="36" t="s">
        <v>122</v>
      </c>
      <c r="D374" s="37">
        <v>4.1999999999999997E-3</v>
      </c>
      <c r="E374" s="31">
        <v>468.86787734749998</v>
      </c>
      <c r="F374" s="34">
        <f>IF(ISNUMBER(E374),E374*$D374,"")</f>
        <v>1.9692450848594998</v>
      </c>
      <c r="G374" s="45">
        <f>SUM(F374:F376)</f>
        <v>3.6757015848594996</v>
      </c>
      <c r="H374" s="46"/>
      <c r="I374" s="156">
        <v>0</v>
      </c>
    </row>
    <row r="375" spans="1:9" hidden="1" x14ac:dyDescent="0.25">
      <c r="A375" s="209"/>
      <c r="B375" s="36" t="s">
        <v>750</v>
      </c>
      <c r="C375" s="36" t="s">
        <v>742</v>
      </c>
      <c r="D375" s="37">
        <v>7.0000000000000007E-2</v>
      </c>
      <c r="E375" s="34">
        <v>22.704999999999998</v>
      </c>
      <c r="F375" s="34">
        <f>IF(ISNUMBER(E375),E375*$D375,"")</f>
        <v>1.58935</v>
      </c>
      <c r="G375" s="45"/>
      <c r="H375" s="46"/>
      <c r="I375" s="156">
        <v>0</v>
      </c>
    </row>
    <row r="376" spans="1:9" hidden="1" x14ac:dyDescent="0.25">
      <c r="A376" s="209"/>
      <c r="B376" s="36" t="s">
        <v>743</v>
      </c>
      <c r="C376" s="36" t="s">
        <v>742</v>
      </c>
      <c r="D376" s="37">
        <v>7.0000000000000001E-3</v>
      </c>
      <c r="E376" s="31">
        <v>16.729499999999998</v>
      </c>
      <c r="F376" s="34">
        <f>IF(ISNUMBER(E376),E376*$D376,"")</f>
        <v>0.11710649999999999</v>
      </c>
      <c r="G376" s="45"/>
      <c r="H376" s="46"/>
      <c r="I376" s="156">
        <v>0</v>
      </c>
    </row>
    <row r="377" spans="1:9" hidden="1" x14ac:dyDescent="0.25">
      <c r="A377" s="209"/>
      <c r="B377" s="36"/>
      <c r="C377" s="36"/>
      <c r="D377" s="37"/>
      <c r="E377" s="31"/>
      <c r="F377" s="34"/>
      <c r="G377" s="45"/>
      <c r="H377" s="46"/>
      <c r="I377" s="156">
        <v>0</v>
      </c>
    </row>
    <row r="378" spans="1:9" ht="15.75" hidden="1" thickBot="1" x14ac:dyDescent="0.3">
      <c r="A378" s="210" t="s">
        <v>3300</v>
      </c>
      <c r="B378" s="41" t="s">
        <v>558</v>
      </c>
      <c r="C378" s="26" t="s">
        <v>1034</v>
      </c>
      <c r="D378" s="94"/>
      <c r="E378" s="28" t="s">
        <v>558</v>
      </c>
      <c r="F378" s="28" t="str">
        <f>IF(ISNUMBER(E378),E378*$D378,"")</f>
        <v/>
      </c>
      <c r="G378" s="29"/>
      <c r="H378" s="30"/>
      <c r="I378" s="156">
        <v>0</v>
      </c>
    </row>
    <row r="379" spans="1:9" hidden="1" x14ac:dyDescent="0.25">
      <c r="A379" s="209"/>
      <c r="B379" s="32" t="s">
        <v>558</v>
      </c>
      <c r="C379" s="32"/>
      <c r="D379" s="92"/>
      <c r="E379" s="31" t="s">
        <v>558</v>
      </c>
      <c r="F379" s="31" t="str">
        <f>IF(ISNUMBER(E379),E379*$D379,"")</f>
        <v/>
      </c>
      <c r="G379" s="35"/>
      <c r="H379" s="31"/>
      <c r="I379" s="156">
        <v>0</v>
      </c>
    </row>
    <row r="380" spans="1:9" ht="51" hidden="1" x14ac:dyDescent="0.25">
      <c r="A380" s="209"/>
      <c r="B380" s="36" t="s">
        <v>157</v>
      </c>
      <c r="C380" s="36" t="s">
        <v>122</v>
      </c>
      <c r="D380" s="37">
        <v>2.1299999999999999E-2</v>
      </c>
      <c r="E380" s="31">
        <v>488.07888449799998</v>
      </c>
      <c r="F380" s="34">
        <f>IF(ISNUMBER(E380),E380*$D380,"")</f>
        <v>10.3960802398074</v>
      </c>
      <c r="G380" s="45">
        <f>SUM(F380:F382)</f>
        <v>23.634206739807404</v>
      </c>
      <c r="H380" s="46"/>
      <c r="I380" s="156">
        <v>0</v>
      </c>
    </row>
    <row r="381" spans="1:9" hidden="1" x14ac:dyDescent="0.25">
      <c r="A381" s="209"/>
      <c r="B381" s="36" t="s">
        <v>750</v>
      </c>
      <c r="C381" s="36" t="s">
        <v>742</v>
      </c>
      <c r="D381" s="37">
        <v>0.46</v>
      </c>
      <c r="E381" s="34">
        <v>22.704999999999998</v>
      </c>
      <c r="F381" s="34">
        <f>IF(ISNUMBER(E381),E381*$D381,"")</f>
        <v>10.4443</v>
      </c>
      <c r="G381" s="45"/>
      <c r="H381" s="46"/>
      <c r="I381" s="156">
        <v>0</v>
      </c>
    </row>
    <row r="382" spans="1:9" hidden="1" x14ac:dyDescent="0.25">
      <c r="A382" s="209"/>
      <c r="B382" s="36" t="s">
        <v>743</v>
      </c>
      <c r="C382" s="36" t="s">
        <v>742</v>
      </c>
      <c r="D382" s="37">
        <v>0.16700000000000001</v>
      </c>
      <c r="E382" s="31">
        <v>16.729499999999998</v>
      </c>
      <c r="F382" s="34">
        <f>IF(ISNUMBER(E382),E382*$D382,"")</f>
        <v>2.7938264999999998</v>
      </c>
      <c r="G382" s="45"/>
      <c r="H382" s="46"/>
      <c r="I382" s="156">
        <v>0</v>
      </c>
    </row>
    <row r="383" spans="1:9" hidden="1" x14ac:dyDescent="0.25">
      <c r="A383" s="209"/>
      <c r="B383" s="36"/>
      <c r="C383" s="36"/>
      <c r="D383" s="37"/>
      <c r="E383" s="31"/>
      <c r="F383" s="34"/>
      <c r="G383" s="45"/>
      <c r="H383" s="46"/>
      <c r="I383" s="156">
        <v>0</v>
      </c>
    </row>
    <row r="384" spans="1:9" ht="15.75" hidden="1" thickBot="1" x14ac:dyDescent="0.3">
      <c r="A384" s="210" t="s">
        <v>3298</v>
      </c>
      <c r="B384" s="41" t="s">
        <v>558</v>
      </c>
      <c r="C384" s="26" t="s">
        <v>1034</v>
      </c>
      <c r="D384" s="94"/>
      <c r="E384" s="28" t="s">
        <v>558</v>
      </c>
      <c r="F384" s="28" t="str">
        <f>IF(ISNUMBER(E384),E384*$D384,"")</f>
        <v/>
      </c>
      <c r="G384" s="29"/>
      <c r="H384" s="30"/>
      <c r="I384" s="156">
        <v>0</v>
      </c>
    </row>
    <row r="385" spans="1:9" hidden="1" x14ac:dyDescent="0.25">
      <c r="A385" s="209"/>
      <c r="B385" s="32" t="s">
        <v>558</v>
      </c>
      <c r="C385" s="32"/>
      <c r="D385" s="92"/>
      <c r="E385" s="31" t="s">
        <v>558</v>
      </c>
      <c r="F385" s="31" t="str">
        <f>IF(ISNUMBER(E385),E385*$D385,"")</f>
        <v/>
      </c>
      <c r="G385" s="35"/>
      <c r="H385" s="31"/>
      <c r="I385" s="156">
        <v>0</v>
      </c>
    </row>
    <row r="386" spans="1:9" ht="25.5" hidden="1" x14ac:dyDescent="0.25">
      <c r="A386" s="209"/>
      <c r="B386" s="36" t="s">
        <v>3605</v>
      </c>
      <c r="C386" s="36" t="s">
        <v>292</v>
      </c>
      <c r="D386" s="37">
        <v>13.5</v>
      </c>
      <c r="E386" s="31">
        <v>2.3180000000000001</v>
      </c>
      <c r="F386" s="34">
        <f>IF(ISNUMBER(E386),E386*$D386,"")</f>
        <v>31.292999999999999</v>
      </c>
      <c r="G386" s="45">
        <f>SUM(F386:F391)</f>
        <v>61.680902483582393</v>
      </c>
      <c r="H386" s="46"/>
      <c r="I386" s="156">
        <v>0</v>
      </c>
    </row>
    <row r="387" spans="1:9" ht="25.5" hidden="1" x14ac:dyDescent="0.25">
      <c r="A387" s="209"/>
      <c r="B387" s="36" t="s">
        <v>3457</v>
      </c>
      <c r="C387" s="36" t="s">
        <v>513</v>
      </c>
      <c r="D387" s="37">
        <v>0.78500000000000003</v>
      </c>
      <c r="E387" s="34">
        <v>4.3034999999999997</v>
      </c>
      <c r="F387" s="34">
        <f>IF(ISNUMBER(E387),E387*$D387,"")</f>
        <v>3.3782475000000001</v>
      </c>
      <c r="G387" s="45"/>
      <c r="H387" s="46"/>
      <c r="I387" s="156">
        <v>0</v>
      </c>
    </row>
    <row r="388" spans="1:9" hidden="1" x14ac:dyDescent="0.25">
      <c r="A388" s="209"/>
      <c r="B388" s="36" t="s">
        <v>3431</v>
      </c>
      <c r="C388" s="36" t="s">
        <v>1304</v>
      </c>
      <c r="D388" s="37">
        <v>9.4000000000000004E-3</v>
      </c>
      <c r="E388" s="31">
        <v>36.631999999999998</v>
      </c>
      <c r="F388" s="34">
        <f>IF(ISNUMBER(E388),E388*$D388,"")</f>
        <v>0.3443408</v>
      </c>
      <c r="G388" s="45"/>
      <c r="H388" s="46"/>
      <c r="I388" s="156">
        <v>0</v>
      </c>
    </row>
    <row r="389" spans="1:9" ht="51" hidden="1" x14ac:dyDescent="0.25">
      <c r="A389" s="209"/>
      <c r="B389" s="36" t="s">
        <v>157</v>
      </c>
      <c r="C389" s="36" t="s">
        <v>122</v>
      </c>
      <c r="D389" s="37">
        <v>8.8000000000000005E-3</v>
      </c>
      <c r="E389" s="31">
        <v>488.07888449799998</v>
      </c>
      <c r="F389" s="34">
        <f>IF(ISNUMBER(E389),E389*$D389,"")</f>
        <v>4.2950941835823997</v>
      </c>
      <c r="G389" s="45"/>
      <c r="H389" s="46"/>
      <c r="I389" s="156">
        <v>0</v>
      </c>
    </row>
    <row r="390" spans="1:9" hidden="1" x14ac:dyDescent="0.25">
      <c r="A390" s="209"/>
      <c r="B390" s="36" t="s">
        <v>750</v>
      </c>
      <c r="C390" s="36" t="s">
        <v>742</v>
      </c>
      <c r="D390" s="37">
        <v>0.72</v>
      </c>
      <c r="E390" s="31">
        <v>22.704999999999998</v>
      </c>
      <c r="F390" s="34">
        <f>IF(ISNUMBER(E390),E390*$D390,"")</f>
        <v>16.3476</v>
      </c>
      <c r="G390" s="45"/>
      <c r="H390" s="46"/>
      <c r="I390" s="156">
        <v>0</v>
      </c>
    </row>
    <row r="391" spans="1:9" hidden="1" x14ac:dyDescent="0.25">
      <c r="A391" s="209"/>
      <c r="B391" s="36" t="s">
        <v>743</v>
      </c>
      <c r="C391" s="36" t="s">
        <v>742</v>
      </c>
      <c r="D391" s="37">
        <v>0.36</v>
      </c>
      <c r="E391" s="31">
        <v>16.729499999999998</v>
      </c>
      <c r="F391" s="34">
        <f>IF(ISNUMBER(E391),E391*$D391,"")</f>
        <v>6.022619999999999</v>
      </c>
      <c r="G391" s="45"/>
      <c r="H391" s="46"/>
      <c r="I391" s="156">
        <v>0</v>
      </c>
    </row>
    <row r="392" spans="1:9" ht="15.75" hidden="1" thickBot="1" x14ac:dyDescent="0.3">
      <c r="A392" s="211"/>
      <c r="B392" s="55" t="s">
        <v>558</v>
      </c>
      <c r="C392" s="55"/>
      <c r="D392" s="96"/>
      <c r="E392" s="67" t="s">
        <v>558</v>
      </c>
      <c r="F392" s="68" t="str">
        <f>IF(ISNUMBER(E392),E392*$D392,"")</f>
        <v/>
      </c>
      <c r="G392" s="69"/>
      <c r="H392" s="31"/>
      <c r="I392" s="156">
        <v>0</v>
      </c>
    </row>
    <row r="393" spans="1:9" ht="26.25" hidden="1" customHeight="1" thickBot="1" x14ac:dyDescent="0.3">
      <c r="A393" s="210" t="s">
        <v>3775</v>
      </c>
      <c r="B393" s="41" t="s">
        <v>558</v>
      </c>
      <c r="C393" s="78" t="s">
        <v>1034</v>
      </c>
      <c r="D393" s="94"/>
      <c r="E393" s="42" t="s">
        <v>558</v>
      </c>
      <c r="F393" s="42" t="str">
        <f>IF(ISNUMBER(E393),ROUND(E393*$D393,2),"")</f>
        <v/>
      </c>
      <c r="G393" s="29"/>
      <c r="H393" s="30"/>
      <c r="I393" s="156">
        <v>0</v>
      </c>
    </row>
    <row r="394" spans="1:9" hidden="1" x14ac:dyDescent="0.25">
      <c r="A394" s="209"/>
      <c r="B394" s="32" t="s">
        <v>558</v>
      </c>
      <c r="C394" s="79"/>
      <c r="D394" s="92"/>
      <c r="E394" s="98" t="s">
        <v>558</v>
      </c>
      <c r="F394" s="99" t="str">
        <f>IF(ISNUMBER(E394),ROUND(E394*$D394,2),"")</f>
        <v/>
      </c>
      <c r="G394" s="35"/>
      <c r="H394" s="31"/>
      <c r="I394" s="156">
        <v>0</v>
      </c>
    </row>
    <row r="395" spans="1:9" ht="25.5" hidden="1" x14ac:dyDescent="0.25">
      <c r="A395" s="209"/>
      <c r="B395" s="36" t="s">
        <v>3794</v>
      </c>
      <c r="C395" s="50" t="s">
        <v>513</v>
      </c>
      <c r="D395" s="37">
        <v>4.4320000000000004</v>
      </c>
      <c r="E395" s="34">
        <v>2.4129999999999998</v>
      </c>
      <c r="F395" s="34">
        <f>IF(ISNUMBER(E395),ROUND(E395*$D395,2),"")</f>
        <v>10.69</v>
      </c>
      <c r="G395" s="45">
        <f>SUM(F395:F401)</f>
        <v>193.02</v>
      </c>
      <c r="H395" s="46"/>
      <c r="I395" s="156">
        <v>0</v>
      </c>
    </row>
    <row r="396" spans="1:9" hidden="1" x14ac:dyDescent="0.25">
      <c r="A396" s="209"/>
      <c r="B396" s="36" t="s">
        <v>1434</v>
      </c>
      <c r="C396" s="50" t="s">
        <v>938</v>
      </c>
      <c r="D396" s="37">
        <v>8.5999999999999993E-2</v>
      </c>
      <c r="E396" s="34">
        <v>19.227999999999998</v>
      </c>
      <c r="F396" s="34">
        <f>IF(ISNUMBER(E396),ROUND(E396*$D396,2),"")</f>
        <v>1.65</v>
      </c>
      <c r="G396" s="45"/>
      <c r="H396" s="46"/>
      <c r="I396" s="156">
        <v>0</v>
      </c>
    </row>
    <row r="397" spans="1:9" ht="25.5" hidden="1" x14ac:dyDescent="0.25">
      <c r="A397" s="209"/>
      <c r="B397" s="36" t="s">
        <v>3845</v>
      </c>
      <c r="C397" s="50" t="s">
        <v>513</v>
      </c>
      <c r="D397" s="37">
        <v>6.53</v>
      </c>
      <c r="E397" s="31">
        <v>24.386500000000002</v>
      </c>
      <c r="F397" s="34">
        <f>IF(ISNUMBER(E397),ROUND(E397*$D397,2),"")</f>
        <v>159.24</v>
      </c>
      <c r="G397" s="45"/>
      <c r="H397" s="46"/>
      <c r="I397" s="156">
        <v>0</v>
      </c>
    </row>
    <row r="398" spans="1:9" hidden="1" x14ac:dyDescent="0.25">
      <c r="A398" s="209"/>
      <c r="B398" s="36" t="s">
        <v>825</v>
      </c>
      <c r="C398" s="50" t="s">
        <v>742</v>
      </c>
      <c r="D398" s="37">
        <v>0.14299999999999999</v>
      </c>
      <c r="E398" s="31">
        <v>18.962</v>
      </c>
      <c r="F398" s="34">
        <f>IF(ISNUMBER(E398),ROUND(E398*$D398,2),"")</f>
        <v>2.71</v>
      </c>
      <c r="G398" s="45"/>
      <c r="H398" s="46"/>
      <c r="I398" s="156">
        <v>0</v>
      </c>
    </row>
    <row r="399" spans="1:9" hidden="1" x14ac:dyDescent="0.25">
      <c r="A399" s="209"/>
      <c r="B399" s="36" t="s">
        <v>1035</v>
      </c>
      <c r="C399" s="50" t="s">
        <v>742</v>
      </c>
      <c r="D399" s="37">
        <v>0.71499999999999997</v>
      </c>
      <c r="E399" s="31">
        <v>22.495999999999999</v>
      </c>
      <c r="F399" s="34">
        <f>IF(ISNUMBER(E399),ROUND(E399*$D399,2),"")</f>
        <v>16.079999999999998</v>
      </c>
      <c r="G399" s="45"/>
      <c r="H399" s="46"/>
      <c r="I399" s="156">
        <v>0</v>
      </c>
    </row>
    <row r="400" spans="1:9" ht="25.5" hidden="1" x14ac:dyDescent="0.25">
      <c r="A400" s="209"/>
      <c r="B400" s="36" t="s">
        <v>1207</v>
      </c>
      <c r="C400" s="50" t="s">
        <v>982</v>
      </c>
      <c r="D400" s="37">
        <v>0.05</v>
      </c>
      <c r="E400" s="31">
        <v>19.9025</v>
      </c>
      <c r="F400" s="34">
        <f>IF(ISNUMBER(E400),ROUND(E400*$D400,2),"")</f>
        <v>1</v>
      </c>
      <c r="G400" s="45"/>
      <c r="H400" s="46"/>
      <c r="I400" s="156">
        <v>0</v>
      </c>
    </row>
    <row r="401" spans="1:9" ht="25.5" hidden="1" x14ac:dyDescent="0.25">
      <c r="A401" s="209"/>
      <c r="B401" s="36" t="s">
        <v>1208</v>
      </c>
      <c r="C401" s="50" t="s">
        <v>984</v>
      </c>
      <c r="D401" s="37">
        <v>9.2999999999999999E-2</v>
      </c>
      <c r="E401" s="34">
        <v>17.783999999999999</v>
      </c>
      <c r="F401" s="34">
        <f>IF(ISNUMBER(E401),ROUND(E401*$D401,2),"")</f>
        <v>1.65</v>
      </c>
      <c r="G401" s="45"/>
      <c r="H401" s="46"/>
      <c r="I401" s="156">
        <v>0</v>
      </c>
    </row>
    <row r="402" spans="1:9" ht="15.75" hidden="1" thickBot="1" x14ac:dyDescent="0.3">
      <c r="A402" s="211"/>
      <c r="B402" s="104"/>
      <c r="C402" s="80"/>
      <c r="D402" s="96"/>
      <c r="E402" s="67" t="s">
        <v>558</v>
      </c>
      <c r="F402" s="67" t="str">
        <f>IF(ISNUMBER(E402),ROUND(E402*$D402,2),"")</f>
        <v/>
      </c>
      <c r="G402" s="69"/>
      <c r="H402" s="31"/>
      <c r="I402" s="156">
        <v>0</v>
      </c>
    </row>
    <row r="403" spans="1:9" ht="26.25" hidden="1" customHeight="1" thickBot="1" x14ac:dyDescent="0.3">
      <c r="A403" s="210" t="s">
        <v>3303</v>
      </c>
      <c r="B403" s="41" t="s">
        <v>558</v>
      </c>
      <c r="C403" s="78" t="s">
        <v>122</v>
      </c>
      <c r="D403" s="94"/>
      <c r="E403" s="42" t="s">
        <v>558</v>
      </c>
      <c r="F403" s="42" t="str">
        <f>IF(ISNUMBER(E403),ROUND(E403*$D403,2),"")</f>
        <v/>
      </c>
      <c r="G403" s="29"/>
      <c r="H403" s="30"/>
      <c r="I403" s="156">
        <v>0</v>
      </c>
    </row>
    <row r="404" spans="1:9" hidden="1" x14ac:dyDescent="0.25">
      <c r="A404" s="209"/>
      <c r="B404" s="32" t="s">
        <v>558</v>
      </c>
      <c r="C404" s="79"/>
      <c r="D404" s="92"/>
      <c r="E404" s="98" t="s">
        <v>558</v>
      </c>
      <c r="F404" s="99" t="str">
        <f>IF(ISNUMBER(E404),ROUND(E404*$D404,2),"")</f>
        <v/>
      </c>
      <c r="G404" s="35"/>
      <c r="H404" s="31"/>
      <c r="I404" s="156">
        <v>0</v>
      </c>
    </row>
    <row r="405" spans="1:9" ht="25.5" hidden="1" x14ac:dyDescent="0.25">
      <c r="A405" s="209"/>
      <c r="B405" s="36" t="s">
        <v>1349</v>
      </c>
      <c r="C405" s="50" t="s">
        <v>122</v>
      </c>
      <c r="D405" s="37">
        <v>0.95</v>
      </c>
      <c r="E405" s="34">
        <v>133.38</v>
      </c>
      <c r="F405" s="34">
        <f>IF(ISNUMBER(E405),ROUND(E405*$D405,2),"")</f>
        <v>126.71</v>
      </c>
      <c r="G405" s="45">
        <f>SUM(F405:F413)</f>
        <v>468.8650573475</v>
      </c>
      <c r="H405" s="46"/>
      <c r="I405" s="156">
        <v>0</v>
      </c>
    </row>
    <row r="406" spans="1:9" hidden="1" x14ac:dyDescent="0.25">
      <c r="A406" s="209"/>
      <c r="B406" s="36" t="s">
        <v>787</v>
      </c>
      <c r="C406" s="50" t="s">
        <v>938</v>
      </c>
      <c r="D406" s="37">
        <v>426.49</v>
      </c>
      <c r="E406" s="34">
        <v>0.52249999999999996</v>
      </c>
      <c r="F406" s="34">
        <f>IF(ISNUMBER(E406),ROUND(E406*$D406,2),"")</f>
        <v>222.84</v>
      </c>
      <c r="G406" s="45"/>
      <c r="H406" s="46"/>
      <c r="I406" s="156">
        <v>0</v>
      </c>
    </row>
    <row r="407" spans="1:9" ht="25.5" hidden="1" x14ac:dyDescent="0.25">
      <c r="A407" s="209"/>
      <c r="B407" s="36" t="s">
        <v>1512</v>
      </c>
      <c r="C407" s="50" t="s">
        <v>742</v>
      </c>
      <c r="D407" s="37">
        <v>4.32</v>
      </c>
      <c r="E407" s="31">
        <v>16.928999999999998</v>
      </c>
      <c r="F407" s="34">
        <f>IF(ISNUMBER(E407),ROUND(E407*$D407,2),"")</f>
        <v>73.13</v>
      </c>
      <c r="G407" s="45"/>
      <c r="H407" s="46"/>
      <c r="I407" s="156">
        <v>0</v>
      </c>
    </row>
    <row r="408" spans="1:9" ht="38.25" hidden="1" x14ac:dyDescent="0.25">
      <c r="A408" s="209"/>
      <c r="B408" s="36" t="s">
        <v>119</v>
      </c>
      <c r="C408" s="50" t="s">
        <v>982</v>
      </c>
      <c r="D408" s="37">
        <v>1.01</v>
      </c>
      <c r="E408" s="31">
        <v>1.3774999999999999</v>
      </c>
      <c r="F408" s="34">
        <f>IF(ISNUMBER(E408),ROUND(E408*$D408,2),"")</f>
        <v>1.39</v>
      </c>
      <c r="G408" s="45"/>
      <c r="H408" s="46"/>
      <c r="I408" s="156">
        <v>0</v>
      </c>
    </row>
    <row r="409" spans="1:9" ht="38.25" hidden="1" x14ac:dyDescent="0.25">
      <c r="A409" s="209"/>
      <c r="B409" s="36" t="s">
        <v>120</v>
      </c>
      <c r="C409" s="50" t="s">
        <v>984</v>
      </c>
      <c r="D409" s="37">
        <v>3.31</v>
      </c>
      <c r="E409" s="31">
        <v>0.30399999999999999</v>
      </c>
      <c r="F409" s="34">
        <f>IF(ISNUMBER(E409),ROUND(E409*$D409,2),"")</f>
        <v>1.01</v>
      </c>
      <c r="G409" s="45"/>
      <c r="H409" s="46"/>
      <c r="I409" s="156">
        <v>0</v>
      </c>
    </row>
    <row r="410" spans="1:9" ht="51" hidden="1" x14ac:dyDescent="0.25">
      <c r="A410" s="209"/>
      <c r="B410" s="36" t="s">
        <v>3617</v>
      </c>
      <c r="C410" s="36" t="s">
        <v>122</v>
      </c>
      <c r="D410" s="37">
        <f>ROUND(1*(D405),4)</f>
        <v>0.95</v>
      </c>
      <c r="E410" s="31">
        <v>6.0919690499999994</v>
      </c>
      <c r="F410" s="34">
        <f>IF(ISNUMBER(E410),E410*$D410,"")</f>
        <v>5.7873705974999989</v>
      </c>
      <c r="G410" s="45"/>
      <c r="H410" s="46"/>
      <c r="I410" s="156">
        <v>0</v>
      </c>
    </row>
    <row r="411" spans="1:9" ht="38.25" hidden="1" x14ac:dyDescent="0.25">
      <c r="A411" s="209"/>
      <c r="B411" s="36" t="s">
        <v>3616</v>
      </c>
      <c r="C411" s="47" t="s">
        <v>124</v>
      </c>
      <c r="D411" s="37">
        <f>ROUND(D405*20,4)</f>
        <v>19</v>
      </c>
      <c r="E411" s="31">
        <v>1.9998782499999996</v>
      </c>
      <c r="F411" s="34">
        <f>IF(ISNUMBER(E411),E411*$D411,"")</f>
        <v>37.997686749999993</v>
      </c>
      <c r="G411" s="45"/>
      <c r="H411" s="46"/>
      <c r="I411" s="156">
        <v>0</v>
      </c>
    </row>
    <row r="412" spans="1:9" hidden="1" x14ac:dyDescent="0.25">
      <c r="A412" s="209"/>
      <c r="B412" s="51"/>
      <c r="C412" s="131"/>
      <c r="D412" s="37"/>
      <c r="E412" s="31" t="s">
        <v>558</v>
      </c>
      <c r="F412" s="34" t="str">
        <f>IF(ISNUMBER(E412),ROUND(E412*$D412,2),"")</f>
        <v/>
      </c>
      <c r="G412" s="45"/>
      <c r="H412" s="46"/>
      <c r="I412" s="156">
        <v>0</v>
      </c>
    </row>
    <row r="413" spans="1:9" hidden="1" x14ac:dyDescent="0.25">
      <c r="A413" s="209"/>
      <c r="B413" s="48" t="s">
        <v>794</v>
      </c>
      <c r="C413" s="131"/>
      <c r="D413" s="37"/>
      <c r="E413" s="31" t="s">
        <v>558</v>
      </c>
      <c r="F413" s="34" t="str">
        <f>IF(ISNUMBER(E413),ROUND(E413*$D413,2),"")</f>
        <v/>
      </c>
      <c r="G413" s="45"/>
      <c r="H413" s="46"/>
      <c r="I413" s="156">
        <v>0</v>
      </c>
    </row>
    <row r="414" spans="1:9" ht="15.75" hidden="1" thickBot="1" x14ac:dyDescent="0.3">
      <c r="A414" s="211"/>
      <c r="B414" s="104"/>
      <c r="C414" s="80"/>
      <c r="D414" s="96"/>
      <c r="E414" s="67" t="s">
        <v>558</v>
      </c>
      <c r="F414" s="67" t="str">
        <f>IF(ISNUMBER(E414),ROUND(E414*$D414,2),"")</f>
        <v/>
      </c>
      <c r="G414" s="69"/>
      <c r="H414" s="31"/>
      <c r="I414" s="156">
        <v>0</v>
      </c>
    </row>
    <row r="415" spans="1:9" ht="26.25" hidden="1" customHeight="1" thickBot="1" x14ac:dyDescent="0.3">
      <c r="A415" s="210" t="s">
        <v>3302</v>
      </c>
      <c r="B415" s="41" t="s">
        <v>558</v>
      </c>
      <c r="C415" s="78" t="s">
        <v>122</v>
      </c>
      <c r="D415" s="94"/>
      <c r="E415" s="42" t="s">
        <v>558</v>
      </c>
      <c r="F415" s="42" t="str">
        <f>IF(ISNUMBER(E415),ROUND(E415*$D415,2),"")</f>
        <v/>
      </c>
      <c r="G415" s="29"/>
      <c r="H415" s="30"/>
      <c r="I415" s="156">
        <v>0</v>
      </c>
    </row>
    <row r="416" spans="1:9" hidden="1" x14ac:dyDescent="0.25">
      <c r="A416" s="209"/>
      <c r="B416" s="32" t="s">
        <v>558</v>
      </c>
      <c r="C416" s="79"/>
      <c r="D416" s="92"/>
      <c r="E416" s="98" t="s">
        <v>558</v>
      </c>
      <c r="F416" s="99" t="str">
        <f>IF(ISNUMBER(E416),ROUND(E416*$D416,2),"")</f>
        <v/>
      </c>
      <c r="G416" s="35"/>
      <c r="H416" s="31"/>
      <c r="I416" s="156">
        <v>0</v>
      </c>
    </row>
    <row r="417" spans="1:9" ht="25.5" hidden="1" x14ac:dyDescent="0.25">
      <c r="A417" s="209"/>
      <c r="B417" s="36" t="s">
        <v>1349</v>
      </c>
      <c r="C417" s="50" t="s">
        <v>122</v>
      </c>
      <c r="D417" s="37">
        <v>1.27</v>
      </c>
      <c r="E417" s="34">
        <v>133.38</v>
      </c>
      <c r="F417" s="34">
        <f>IF(ISNUMBER(E417),ROUND(E417*$D417,2),"")</f>
        <v>169.39</v>
      </c>
      <c r="G417" s="45">
        <f>SUM(F417:F425)</f>
        <v>604.91370824349985</v>
      </c>
      <c r="H417" s="46"/>
      <c r="I417" s="156">
        <v>0</v>
      </c>
    </row>
    <row r="418" spans="1:9" hidden="1" x14ac:dyDescent="0.25">
      <c r="A418" s="209"/>
      <c r="B418" s="36" t="s">
        <v>787</v>
      </c>
      <c r="C418" s="50" t="s">
        <v>938</v>
      </c>
      <c r="D418" s="37">
        <v>573.61</v>
      </c>
      <c r="E418" s="34">
        <v>0.52249999999999996</v>
      </c>
      <c r="F418" s="34">
        <f>IF(ISNUMBER(E418),ROUND(E418*$D418,2),"")</f>
        <v>299.70999999999998</v>
      </c>
      <c r="G418" s="45"/>
      <c r="H418" s="46"/>
      <c r="I418" s="156">
        <v>0</v>
      </c>
    </row>
    <row r="419" spans="1:9" ht="25.5" hidden="1" x14ac:dyDescent="0.25">
      <c r="A419" s="209"/>
      <c r="B419" s="36" t="s">
        <v>1512</v>
      </c>
      <c r="C419" s="50" t="s">
        <v>742</v>
      </c>
      <c r="D419" s="37">
        <v>4.42</v>
      </c>
      <c r="E419" s="31">
        <v>16.928999999999998</v>
      </c>
      <c r="F419" s="34">
        <f>IF(ISNUMBER(E419),ROUND(E419*$D419,2),"")</f>
        <v>74.83</v>
      </c>
      <c r="G419" s="45"/>
      <c r="H419" s="46"/>
      <c r="I419" s="156">
        <v>0</v>
      </c>
    </row>
    <row r="420" spans="1:9" ht="38.25" hidden="1" x14ac:dyDescent="0.25">
      <c r="A420" s="209"/>
      <c r="B420" s="36" t="s">
        <v>119</v>
      </c>
      <c r="C420" s="50" t="s">
        <v>982</v>
      </c>
      <c r="D420" s="37">
        <v>1.03</v>
      </c>
      <c r="E420" s="31">
        <v>1.3774999999999999</v>
      </c>
      <c r="F420" s="34">
        <f>IF(ISNUMBER(E420),ROUND(E420*$D420,2),"")</f>
        <v>1.42</v>
      </c>
      <c r="G420" s="45"/>
      <c r="H420" s="46"/>
      <c r="I420" s="156">
        <v>0</v>
      </c>
    </row>
    <row r="421" spans="1:9" ht="38.25" hidden="1" x14ac:dyDescent="0.25">
      <c r="A421" s="209"/>
      <c r="B421" s="36" t="s">
        <v>120</v>
      </c>
      <c r="C421" s="50" t="s">
        <v>984</v>
      </c>
      <c r="D421" s="37">
        <v>3.39</v>
      </c>
      <c r="E421" s="31">
        <v>0.30399999999999999</v>
      </c>
      <c r="F421" s="34">
        <f>IF(ISNUMBER(E421),ROUND(E421*$D421,2),"")</f>
        <v>1.03</v>
      </c>
      <c r="G421" s="45"/>
      <c r="H421" s="46"/>
      <c r="I421" s="156">
        <v>0</v>
      </c>
    </row>
    <row r="422" spans="1:9" ht="51" hidden="1" x14ac:dyDescent="0.25">
      <c r="A422" s="209"/>
      <c r="B422" s="36" t="s">
        <v>3617</v>
      </c>
      <c r="C422" s="36" t="s">
        <v>122</v>
      </c>
      <c r="D422" s="37">
        <f>ROUND(1*(D417),4)</f>
        <v>1.27</v>
      </c>
      <c r="E422" s="31">
        <v>6.0919690499999994</v>
      </c>
      <c r="F422" s="34">
        <f>IF(ISNUMBER(E422),E422*$D422,"")</f>
        <v>7.7368006934999993</v>
      </c>
      <c r="G422" s="45"/>
      <c r="H422" s="46"/>
      <c r="I422" s="156">
        <v>0</v>
      </c>
    </row>
    <row r="423" spans="1:9" ht="38.25" hidden="1" x14ac:dyDescent="0.25">
      <c r="A423" s="209"/>
      <c r="B423" s="36" t="s">
        <v>3616</v>
      </c>
      <c r="C423" s="47" t="s">
        <v>124</v>
      </c>
      <c r="D423" s="37">
        <f>ROUND(D417*20,4)</f>
        <v>25.4</v>
      </c>
      <c r="E423" s="31">
        <v>1.9998782499999996</v>
      </c>
      <c r="F423" s="34">
        <f>IF(ISNUMBER(E423),E423*$D423,"")</f>
        <v>50.796907549999986</v>
      </c>
      <c r="G423" s="45"/>
      <c r="H423" s="46"/>
      <c r="I423" s="156">
        <v>0</v>
      </c>
    </row>
    <row r="424" spans="1:9" hidden="1" x14ac:dyDescent="0.25">
      <c r="A424" s="209"/>
      <c r="B424" s="51"/>
      <c r="C424" s="131"/>
      <c r="D424" s="37"/>
      <c r="E424" s="31" t="s">
        <v>558</v>
      </c>
      <c r="F424" s="34" t="str">
        <f>IF(ISNUMBER(E424),ROUND(E424*$D424,2),"")</f>
        <v/>
      </c>
      <c r="G424" s="45"/>
      <c r="H424" s="46"/>
      <c r="I424" s="156">
        <v>0</v>
      </c>
    </row>
    <row r="425" spans="1:9" ht="24.95" hidden="1" customHeight="1" x14ac:dyDescent="0.25">
      <c r="A425" s="209"/>
      <c r="B425" s="48" t="s">
        <v>794</v>
      </c>
      <c r="C425" s="131"/>
      <c r="D425" s="37"/>
      <c r="E425" s="31" t="s">
        <v>558</v>
      </c>
      <c r="F425" s="34" t="str">
        <f>IF(ISNUMBER(E425),ROUND(E425*$D425,2),"")</f>
        <v/>
      </c>
      <c r="G425" s="45"/>
      <c r="H425" s="46"/>
      <c r="I425" s="156">
        <v>0</v>
      </c>
    </row>
    <row r="426" spans="1:9" ht="15.75" hidden="1" thickBot="1" x14ac:dyDescent="0.3">
      <c r="A426" s="211"/>
      <c r="B426" s="104"/>
      <c r="C426" s="80"/>
      <c r="D426" s="96"/>
      <c r="E426" s="67" t="s">
        <v>558</v>
      </c>
      <c r="F426" s="67" t="str">
        <f>IF(ISNUMBER(E426),ROUND(E426*$D426,2),"")</f>
        <v/>
      </c>
      <c r="G426" s="69"/>
      <c r="H426" s="31"/>
      <c r="I426" s="156">
        <v>0</v>
      </c>
    </row>
    <row r="427" spans="1:9" ht="26.25" hidden="1" customHeight="1" thickBot="1" x14ac:dyDescent="0.3">
      <c r="A427" s="210" t="s">
        <v>3304</v>
      </c>
      <c r="B427" s="41" t="s">
        <v>558</v>
      </c>
      <c r="C427" s="78" t="s">
        <v>122</v>
      </c>
      <c r="D427" s="94"/>
      <c r="E427" s="42" t="s">
        <v>558</v>
      </c>
      <c r="F427" s="42" t="str">
        <f>IF(ISNUMBER(E427),ROUND(E427*$D427,2),"")</f>
        <v/>
      </c>
      <c r="G427" s="29"/>
      <c r="H427" s="30"/>
      <c r="I427" s="156">
        <v>0</v>
      </c>
    </row>
    <row r="428" spans="1:9" hidden="1" x14ac:dyDescent="0.25">
      <c r="A428" s="209"/>
      <c r="B428" s="32" t="s">
        <v>558</v>
      </c>
      <c r="C428" s="79"/>
      <c r="D428" s="92"/>
      <c r="E428" s="98" t="s">
        <v>558</v>
      </c>
      <c r="F428" s="99" t="str">
        <f>IF(ISNUMBER(E428),ROUND(E428*$D428,2),"")</f>
        <v/>
      </c>
      <c r="G428" s="35"/>
      <c r="H428" s="31"/>
      <c r="I428" s="156">
        <v>0</v>
      </c>
    </row>
    <row r="429" spans="1:9" ht="25.5" hidden="1" x14ac:dyDescent="0.25">
      <c r="A429" s="209"/>
      <c r="B429" s="36" t="s">
        <v>791</v>
      </c>
      <c r="C429" s="50" t="s">
        <v>122</v>
      </c>
      <c r="D429" s="37">
        <v>1.1599999999999999</v>
      </c>
      <c r="E429" s="34">
        <v>85.5</v>
      </c>
      <c r="F429" s="34">
        <f>IF(ISNUMBER(E429),ROUND(E429*$D429,2),"")</f>
        <v>99.18</v>
      </c>
      <c r="G429" s="45">
        <f>SUM(F429:F436)</f>
        <v>581.30385949800007</v>
      </c>
      <c r="H429" s="46"/>
      <c r="I429" s="156">
        <v>0</v>
      </c>
    </row>
    <row r="430" spans="1:9" hidden="1" x14ac:dyDescent="0.25">
      <c r="A430" s="209"/>
      <c r="B430" s="36" t="s">
        <v>1514</v>
      </c>
      <c r="C430" s="50" t="s">
        <v>938</v>
      </c>
      <c r="D430" s="37">
        <v>116.4</v>
      </c>
      <c r="E430" s="34">
        <v>0.8929999999999999</v>
      </c>
      <c r="F430" s="34">
        <f>IF(ISNUMBER(E430),ROUND(E430*$D430,2),"")</f>
        <v>103.95</v>
      </c>
      <c r="G430" s="45"/>
      <c r="H430" s="46"/>
      <c r="I430" s="156">
        <v>0</v>
      </c>
    </row>
    <row r="431" spans="1:9" hidden="1" x14ac:dyDescent="0.25">
      <c r="A431" s="209"/>
      <c r="B431" s="36" t="s">
        <v>787</v>
      </c>
      <c r="C431" s="50" t="s">
        <v>938</v>
      </c>
      <c r="D431" s="37">
        <v>261.89</v>
      </c>
      <c r="E431" s="31">
        <v>0.52249999999999996</v>
      </c>
      <c r="F431" s="34">
        <f>IF(ISNUMBER(E431),ROUND(E431*$D431,2),"")</f>
        <v>136.84</v>
      </c>
      <c r="G431" s="45"/>
      <c r="H431" s="46"/>
      <c r="I431" s="156">
        <v>0</v>
      </c>
    </row>
    <row r="432" spans="1:9" hidden="1" x14ac:dyDescent="0.25">
      <c r="A432" s="209"/>
      <c r="B432" s="36" t="s">
        <v>743</v>
      </c>
      <c r="C432" s="50" t="s">
        <v>742</v>
      </c>
      <c r="D432" s="37">
        <v>11.23</v>
      </c>
      <c r="E432" s="31">
        <v>16.729499999999998</v>
      </c>
      <c r="F432" s="34">
        <f>IF(ISNUMBER(E432),ROUND(E432*$D432,2),"")</f>
        <v>187.87</v>
      </c>
      <c r="G432" s="45"/>
      <c r="H432" s="46"/>
      <c r="I432" s="156">
        <v>0</v>
      </c>
    </row>
    <row r="433" spans="1:9" ht="51" hidden="1" x14ac:dyDescent="0.25">
      <c r="A433" s="209"/>
      <c r="B433" s="36" t="s">
        <v>3617</v>
      </c>
      <c r="C433" s="36" t="s">
        <v>122</v>
      </c>
      <c r="D433" s="37">
        <f>ROUND(1*(D429),4)</f>
        <v>1.1599999999999999</v>
      </c>
      <c r="E433" s="31">
        <v>6.0919690499999994</v>
      </c>
      <c r="F433" s="34">
        <f>IF(ISNUMBER(E433),E433*$D433,"")</f>
        <v>7.0666840979999987</v>
      </c>
      <c r="G433" s="45"/>
      <c r="H433" s="46"/>
      <c r="I433" s="156">
        <v>0</v>
      </c>
    </row>
    <row r="434" spans="1:9" ht="38.25" hidden="1" x14ac:dyDescent="0.25">
      <c r="A434" s="209"/>
      <c r="B434" s="36" t="s">
        <v>3616</v>
      </c>
      <c r="C434" s="47" t="s">
        <v>124</v>
      </c>
      <c r="D434" s="37">
        <f>ROUND(D429*20,4)</f>
        <v>23.2</v>
      </c>
      <c r="E434" s="31">
        <v>1.9998782499999996</v>
      </c>
      <c r="F434" s="34">
        <f>IF(ISNUMBER(E434),E434*$D434,"")</f>
        <v>46.397175399999988</v>
      </c>
      <c r="G434" s="45"/>
      <c r="H434" s="46"/>
      <c r="I434" s="156">
        <v>0</v>
      </c>
    </row>
    <row r="435" spans="1:9" hidden="1" x14ac:dyDescent="0.25">
      <c r="A435" s="209"/>
      <c r="B435" s="51"/>
      <c r="C435" s="131"/>
      <c r="D435" s="37"/>
      <c r="E435" s="31" t="s">
        <v>558</v>
      </c>
      <c r="F435" s="34" t="str">
        <f>IF(ISNUMBER(E435),ROUND(E435*$D435,2),"")</f>
        <v/>
      </c>
      <c r="G435" s="45"/>
      <c r="H435" s="46"/>
      <c r="I435" s="156">
        <v>0</v>
      </c>
    </row>
    <row r="436" spans="1:9" ht="24.95" hidden="1" customHeight="1" x14ac:dyDescent="0.25">
      <c r="A436" s="209"/>
      <c r="B436" s="48" t="s">
        <v>794</v>
      </c>
      <c r="C436" s="131"/>
      <c r="D436" s="37"/>
      <c r="E436" s="31" t="s">
        <v>558</v>
      </c>
      <c r="F436" s="34" t="str">
        <f>IF(ISNUMBER(E436),ROUND(E436*$D436,2),"")</f>
        <v/>
      </c>
      <c r="G436" s="45"/>
      <c r="H436" s="46"/>
      <c r="I436" s="156">
        <v>0</v>
      </c>
    </row>
    <row r="437" spans="1:9" ht="15.75" hidden="1" thickBot="1" x14ac:dyDescent="0.3">
      <c r="A437" s="211"/>
      <c r="B437" s="104"/>
      <c r="C437" s="80"/>
      <c r="D437" s="96"/>
      <c r="E437" s="67" t="s">
        <v>558</v>
      </c>
      <c r="F437" s="67" t="str">
        <f>IF(ISNUMBER(E437),ROUND(E437*$D437,2),"")</f>
        <v/>
      </c>
      <c r="G437" s="69"/>
      <c r="H437" s="31"/>
      <c r="I437" s="156">
        <v>0</v>
      </c>
    </row>
    <row r="438" spans="1:9" ht="26.25" hidden="1" customHeight="1" thickBot="1" x14ac:dyDescent="0.3">
      <c r="A438" s="210" t="s">
        <v>3305</v>
      </c>
      <c r="B438" s="41" t="s">
        <v>558</v>
      </c>
      <c r="C438" s="78" t="s">
        <v>122</v>
      </c>
      <c r="D438" s="94"/>
      <c r="E438" s="42" t="s">
        <v>558</v>
      </c>
      <c r="F438" s="42" t="str">
        <f>IF(ISNUMBER(E438),ROUND(E438*$D438,2),"")</f>
        <v/>
      </c>
      <c r="G438" s="29"/>
      <c r="H438" s="30"/>
      <c r="I438" s="156">
        <v>0</v>
      </c>
    </row>
    <row r="439" spans="1:9" hidden="1" x14ac:dyDescent="0.25">
      <c r="A439" s="209"/>
      <c r="B439" s="32" t="s">
        <v>558</v>
      </c>
      <c r="C439" s="79"/>
      <c r="D439" s="92"/>
      <c r="E439" s="98" t="s">
        <v>558</v>
      </c>
      <c r="F439" s="99" t="str">
        <f>IF(ISNUMBER(E439),ROUND(E439*$D439,2),"")</f>
        <v/>
      </c>
      <c r="G439" s="35"/>
      <c r="H439" s="31"/>
      <c r="I439" s="156">
        <v>0</v>
      </c>
    </row>
    <row r="440" spans="1:9" ht="25.5" hidden="1" x14ac:dyDescent="0.25">
      <c r="A440" s="209"/>
      <c r="B440" s="36" t="s">
        <v>791</v>
      </c>
      <c r="C440" s="50" t="s">
        <v>122</v>
      </c>
      <c r="D440" s="37">
        <v>1.07</v>
      </c>
      <c r="E440" s="34">
        <v>85.5</v>
      </c>
      <c r="F440" s="34">
        <f>IF(ISNUMBER(E440),ROUND(E440*$D440,2),"")</f>
        <v>91.49</v>
      </c>
      <c r="G440" s="45">
        <f>SUM(F440:F448)</f>
        <v>453.33580143349997</v>
      </c>
      <c r="H440" s="46"/>
      <c r="I440" s="156">
        <v>0</v>
      </c>
    </row>
    <row r="441" spans="1:9" hidden="1" x14ac:dyDescent="0.25">
      <c r="A441" s="209"/>
      <c r="B441" s="36" t="s">
        <v>787</v>
      </c>
      <c r="C441" s="50" t="s">
        <v>938</v>
      </c>
      <c r="D441" s="37">
        <v>483.7</v>
      </c>
      <c r="E441" s="34">
        <v>0.52249999999999996</v>
      </c>
      <c r="F441" s="34">
        <f>IF(ISNUMBER(E441),ROUND(E441*$D441,2),"")</f>
        <v>252.73</v>
      </c>
      <c r="G441" s="45"/>
      <c r="H441" s="46"/>
      <c r="I441" s="156">
        <v>0</v>
      </c>
    </row>
    <row r="442" spans="1:9" ht="25.5" hidden="1" x14ac:dyDescent="0.25">
      <c r="A442" s="209"/>
      <c r="B442" s="36" t="s">
        <v>1512</v>
      </c>
      <c r="C442" s="50" t="s">
        <v>742</v>
      </c>
      <c r="D442" s="37">
        <v>3.42</v>
      </c>
      <c r="E442" s="31">
        <v>16.928999999999998</v>
      </c>
      <c r="F442" s="34">
        <f>IF(ISNUMBER(E442),ROUND(E442*$D442,2),"")</f>
        <v>57.9</v>
      </c>
      <c r="G442" s="45"/>
      <c r="H442" s="46"/>
      <c r="I442" s="156">
        <v>0</v>
      </c>
    </row>
    <row r="443" spans="1:9" ht="38.25" hidden="1" x14ac:dyDescent="0.25">
      <c r="A443" s="209"/>
      <c r="B443" s="36" t="s">
        <v>119</v>
      </c>
      <c r="C443" s="50" t="s">
        <v>982</v>
      </c>
      <c r="D443" s="37">
        <v>0.8</v>
      </c>
      <c r="E443" s="31">
        <v>1.3774999999999999</v>
      </c>
      <c r="F443" s="34">
        <f>IF(ISNUMBER(E443),ROUND(E443*$D443,2),"")</f>
        <v>1.1000000000000001</v>
      </c>
      <c r="G443" s="45"/>
      <c r="H443" s="46"/>
      <c r="I443" s="156">
        <v>0</v>
      </c>
    </row>
    <row r="444" spans="1:9" ht="38.25" hidden="1" x14ac:dyDescent="0.25">
      <c r="A444" s="209"/>
      <c r="B444" s="36" t="s">
        <v>120</v>
      </c>
      <c r="C444" s="50" t="s">
        <v>984</v>
      </c>
      <c r="D444" s="37">
        <v>2.62</v>
      </c>
      <c r="E444" s="31">
        <v>0.30399999999999999</v>
      </c>
      <c r="F444" s="34">
        <f>IF(ISNUMBER(E444),ROUND(E444*$D444,2),"")</f>
        <v>0.8</v>
      </c>
      <c r="G444" s="45"/>
      <c r="H444" s="46"/>
      <c r="I444" s="156">
        <v>0</v>
      </c>
    </row>
    <row r="445" spans="1:9" ht="51" hidden="1" x14ac:dyDescent="0.25">
      <c r="A445" s="209"/>
      <c r="B445" s="36" t="s">
        <v>3617</v>
      </c>
      <c r="C445" s="36" t="s">
        <v>122</v>
      </c>
      <c r="D445" s="37">
        <f>ROUND(1*(D440),4)</f>
        <v>1.07</v>
      </c>
      <c r="E445" s="31">
        <v>6.0919690499999994</v>
      </c>
      <c r="F445" s="34">
        <f>IF(ISNUMBER(E445),E445*$D445,"")</f>
        <v>6.5184068835</v>
      </c>
      <c r="G445" s="45"/>
      <c r="H445" s="46"/>
      <c r="I445" s="156">
        <v>0</v>
      </c>
    </row>
    <row r="446" spans="1:9" ht="38.25" hidden="1" x14ac:dyDescent="0.25">
      <c r="A446" s="209"/>
      <c r="B446" s="36" t="s">
        <v>3616</v>
      </c>
      <c r="C446" s="47" t="s">
        <v>124</v>
      </c>
      <c r="D446" s="37">
        <f>ROUND(D440*20,4)</f>
        <v>21.4</v>
      </c>
      <c r="E446" s="31">
        <v>1.9998782499999996</v>
      </c>
      <c r="F446" s="34">
        <f>IF(ISNUMBER(E446),E446*$D446,"")</f>
        <v>42.797394549999993</v>
      </c>
      <c r="G446" s="45"/>
      <c r="H446" s="46"/>
      <c r="I446" s="156">
        <v>0</v>
      </c>
    </row>
    <row r="447" spans="1:9" hidden="1" x14ac:dyDescent="0.25">
      <c r="A447" s="209"/>
      <c r="B447" s="51"/>
      <c r="C447" s="131"/>
      <c r="D447" s="37"/>
      <c r="E447" s="31" t="s">
        <v>558</v>
      </c>
      <c r="F447" s="34" t="str">
        <f>IF(ISNUMBER(E447),ROUND(E447*$D447,2),"")</f>
        <v/>
      </c>
      <c r="G447" s="45"/>
      <c r="H447" s="46"/>
      <c r="I447" s="156">
        <v>0</v>
      </c>
    </row>
    <row r="448" spans="1:9" ht="24.95" hidden="1" customHeight="1" x14ac:dyDescent="0.25">
      <c r="A448" s="209"/>
      <c r="B448" s="48" t="s">
        <v>794</v>
      </c>
      <c r="C448" s="131"/>
      <c r="D448" s="37"/>
      <c r="E448" s="31" t="s">
        <v>558</v>
      </c>
      <c r="F448" s="34" t="str">
        <f>IF(ISNUMBER(E448),ROUND(E448*$D448,2),"")</f>
        <v/>
      </c>
      <c r="G448" s="45"/>
      <c r="H448" s="46"/>
      <c r="I448" s="156">
        <v>0</v>
      </c>
    </row>
    <row r="449" spans="1:9" ht="15.75" hidden="1" thickBot="1" x14ac:dyDescent="0.3">
      <c r="A449" s="211"/>
      <c r="B449" s="104"/>
      <c r="C449" s="80"/>
      <c r="D449" s="96"/>
      <c r="E449" s="67" t="s">
        <v>558</v>
      </c>
      <c r="F449" s="67" t="str">
        <f>IF(ISNUMBER(E449),ROUND(E449*$D449,2),"")</f>
        <v/>
      </c>
      <c r="G449" s="69"/>
      <c r="H449" s="31"/>
      <c r="I449" s="156">
        <v>0</v>
      </c>
    </row>
    <row r="450" spans="1:9" ht="26.25" hidden="1" customHeight="1" thickBot="1" x14ac:dyDescent="0.3">
      <c r="A450" s="210" t="s">
        <v>3296</v>
      </c>
      <c r="B450" s="41" t="s">
        <v>558</v>
      </c>
      <c r="C450" s="78" t="s">
        <v>122</v>
      </c>
      <c r="D450" s="94"/>
      <c r="E450" s="42" t="s">
        <v>558</v>
      </c>
      <c r="F450" s="42" t="str">
        <f>IF(ISNUMBER(E450),ROUND(E450*$D450,2),"")</f>
        <v/>
      </c>
      <c r="G450" s="29"/>
      <c r="H450" s="30"/>
      <c r="I450" s="156">
        <v>0</v>
      </c>
    </row>
    <row r="451" spans="1:9" hidden="1" x14ac:dyDescent="0.25">
      <c r="A451" s="209"/>
      <c r="B451" s="32" t="s">
        <v>558</v>
      </c>
      <c r="C451" s="79"/>
      <c r="D451" s="92"/>
      <c r="E451" s="98" t="s">
        <v>558</v>
      </c>
      <c r="F451" s="99" t="str">
        <f>IF(ISNUMBER(E451),ROUND(E451*$D451,2),"")</f>
        <v/>
      </c>
      <c r="G451" s="35"/>
      <c r="H451" s="31"/>
      <c r="I451" s="156">
        <v>0</v>
      </c>
    </row>
    <row r="452" spans="1:9" ht="25.5" hidden="1" x14ac:dyDescent="0.25">
      <c r="A452" s="209"/>
      <c r="B452" s="36" t="s">
        <v>1202</v>
      </c>
      <c r="C452" s="50" t="s">
        <v>1034</v>
      </c>
      <c r="D452" s="37">
        <v>1.3111999999999999</v>
      </c>
      <c r="E452" s="34">
        <v>45.305499999999995</v>
      </c>
      <c r="F452" s="34">
        <f>IF(ISNUMBER(E452),ROUND(E452*$D452,2),"")</f>
        <v>59.4</v>
      </c>
      <c r="G452" s="45">
        <f>SUM(F452:F467)</f>
        <v>2227.3428241169713</v>
      </c>
      <c r="H452" s="46"/>
      <c r="I452" s="156">
        <v>0</v>
      </c>
    </row>
    <row r="453" spans="1:9" ht="25.5" hidden="1" x14ac:dyDescent="0.25">
      <c r="A453" s="209"/>
      <c r="B453" s="36" t="s">
        <v>1203</v>
      </c>
      <c r="C453" s="50" t="s">
        <v>103</v>
      </c>
      <c r="D453" s="37">
        <v>5.67E-2</v>
      </c>
      <c r="E453" s="34">
        <v>6.1274999999999995</v>
      </c>
      <c r="F453" s="34">
        <f>IF(ISNUMBER(E453),ROUND(E453*$D453,2),"")</f>
        <v>0.35</v>
      </c>
      <c r="G453" s="45"/>
      <c r="H453" s="46"/>
      <c r="I453" s="156">
        <v>0</v>
      </c>
    </row>
    <row r="454" spans="1:9" ht="25.5" hidden="1" x14ac:dyDescent="0.25">
      <c r="A454" s="209"/>
      <c r="B454" s="36" t="s">
        <v>3794</v>
      </c>
      <c r="C454" s="50" t="s">
        <v>513</v>
      </c>
      <c r="D454" s="37">
        <v>4.4770000000000003</v>
      </c>
      <c r="E454" s="31">
        <v>2.4129999999999998</v>
      </c>
      <c r="F454" s="34">
        <f>IF(ISNUMBER(E454),ROUND(E454*$D454,2),"")</f>
        <v>10.8</v>
      </c>
      <c r="G454" s="45"/>
      <c r="H454" s="46"/>
      <c r="I454" s="156">
        <v>0</v>
      </c>
    </row>
    <row r="455" spans="1:9" hidden="1" x14ac:dyDescent="0.25">
      <c r="A455" s="209"/>
      <c r="B455" s="36" t="s">
        <v>1204</v>
      </c>
      <c r="C455" s="50" t="s">
        <v>938</v>
      </c>
      <c r="D455" s="37">
        <v>0.26190000000000002</v>
      </c>
      <c r="E455" s="31">
        <v>21.2895</v>
      </c>
      <c r="F455" s="34">
        <f>IF(ISNUMBER(E455),ROUND(E455*$D455,2),"")</f>
        <v>5.58</v>
      </c>
      <c r="G455" s="45"/>
      <c r="H455" s="46"/>
      <c r="I455" s="156">
        <v>0</v>
      </c>
    </row>
    <row r="456" spans="1:9" hidden="1" x14ac:dyDescent="0.25">
      <c r="A456" s="209"/>
      <c r="B456" s="36" t="s">
        <v>825</v>
      </c>
      <c r="C456" s="50" t="s">
        <v>742</v>
      </c>
      <c r="D456" s="37">
        <v>0.73560000000000003</v>
      </c>
      <c r="E456" s="31">
        <v>18.962</v>
      </c>
      <c r="F456" s="34">
        <f>IF(ISNUMBER(E456),ROUND(E456*$D456,2),"")</f>
        <v>13.95</v>
      </c>
      <c r="G456" s="45"/>
      <c r="H456" s="46"/>
      <c r="I456" s="156">
        <v>0</v>
      </c>
    </row>
    <row r="457" spans="1:9" hidden="1" x14ac:dyDescent="0.25">
      <c r="A457" s="209"/>
      <c r="B457" s="36" t="s">
        <v>741</v>
      </c>
      <c r="C457" s="36" t="s">
        <v>742</v>
      </c>
      <c r="D457" s="37">
        <v>3.6779999999999999</v>
      </c>
      <c r="E457" s="31">
        <v>22.533999999999999</v>
      </c>
      <c r="F457" s="34">
        <f>IF(ISNUMBER(E457),E457*$D457,"")</f>
        <v>82.880051999999992</v>
      </c>
      <c r="G457" s="45"/>
      <c r="H457" s="46"/>
      <c r="I457" s="156">
        <v>0</v>
      </c>
    </row>
    <row r="458" spans="1:9" hidden="1" x14ac:dyDescent="0.25">
      <c r="A458" s="209"/>
      <c r="B458" s="36" t="s">
        <v>750</v>
      </c>
      <c r="C458" s="36" t="s">
        <v>742</v>
      </c>
      <c r="D458" s="37">
        <v>22.888400000000001</v>
      </c>
      <c r="E458" s="31">
        <v>22.704999999999998</v>
      </c>
      <c r="F458" s="34">
        <f>IF(ISNUMBER(E458),E458*$D458,"")</f>
        <v>519.68112199999996</v>
      </c>
      <c r="G458" s="45"/>
      <c r="H458" s="46"/>
      <c r="I458" s="156">
        <v>0</v>
      </c>
    </row>
    <row r="459" spans="1:9" hidden="1" x14ac:dyDescent="0.25">
      <c r="A459" s="209"/>
      <c r="B459" s="36" t="s">
        <v>743</v>
      </c>
      <c r="C459" s="36" t="s">
        <v>742</v>
      </c>
      <c r="D459" s="37">
        <v>22.888400000000001</v>
      </c>
      <c r="E459" s="31">
        <v>16.729499999999998</v>
      </c>
      <c r="F459" s="34">
        <f>IF(ISNUMBER(E459),E459*$D459,"")</f>
        <v>382.91148779999997</v>
      </c>
      <c r="G459" s="45"/>
      <c r="H459" s="46"/>
      <c r="I459" s="156">
        <v>0</v>
      </c>
    </row>
    <row r="460" spans="1:9" ht="25.5" hidden="1" x14ac:dyDescent="0.25">
      <c r="A460" s="209"/>
      <c r="B460" s="36" t="s">
        <v>1205</v>
      </c>
      <c r="C460" s="36" t="s">
        <v>982</v>
      </c>
      <c r="D460" s="37">
        <v>4.7533000000000003</v>
      </c>
      <c r="E460" s="31">
        <v>1.5009999999999999</v>
      </c>
      <c r="F460" s="34">
        <f>IF(ISNUMBER(E460),E460*$D460,"")</f>
        <v>7.1347033</v>
      </c>
      <c r="G460" s="45"/>
      <c r="H460" s="46"/>
      <c r="I460" s="156">
        <v>0</v>
      </c>
    </row>
    <row r="461" spans="1:9" ht="25.5" hidden="1" x14ac:dyDescent="0.25">
      <c r="A461" s="209"/>
      <c r="B461" s="36" t="s">
        <v>1206</v>
      </c>
      <c r="C461" s="36" t="s">
        <v>984</v>
      </c>
      <c r="D461" s="37">
        <v>13.0715</v>
      </c>
      <c r="E461" s="31">
        <v>0.39899999999999997</v>
      </c>
      <c r="F461" s="34">
        <f>IF(ISNUMBER(E461),E461*$D461,"")</f>
        <v>5.2155284999999996</v>
      </c>
      <c r="G461" s="45"/>
      <c r="H461" s="46"/>
      <c r="I461" s="156">
        <v>0</v>
      </c>
    </row>
    <row r="462" spans="1:9" ht="25.5" hidden="1" x14ac:dyDescent="0.25">
      <c r="A462" s="209"/>
      <c r="B462" s="36" t="s">
        <v>1207</v>
      </c>
      <c r="C462" s="36" t="s">
        <v>982</v>
      </c>
      <c r="D462" s="37">
        <v>0.313</v>
      </c>
      <c r="E462" s="31">
        <v>19.9025</v>
      </c>
      <c r="F462" s="34">
        <f>IF(ISNUMBER(E462),E462*$D462,"")</f>
        <v>6.2294824999999996</v>
      </c>
      <c r="G462" s="45"/>
      <c r="H462" s="46"/>
      <c r="I462" s="156">
        <v>0</v>
      </c>
    </row>
    <row r="463" spans="1:9" ht="25.5" hidden="1" x14ac:dyDescent="0.25">
      <c r="A463" s="209"/>
      <c r="B463" s="36" t="s">
        <v>1208</v>
      </c>
      <c r="C463" s="36" t="s">
        <v>984</v>
      </c>
      <c r="D463" s="37">
        <v>0.42259999999999998</v>
      </c>
      <c r="E463" s="31">
        <v>17.783999999999999</v>
      </c>
      <c r="F463" s="34">
        <f>IF(ISNUMBER(E463),E463*$D463,"")</f>
        <v>7.5155183999999995</v>
      </c>
      <c r="G463" s="45"/>
      <c r="H463" s="46"/>
      <c r="I463" s="156">
        <v>0</v>
      </c>
    </row>
    <row r="464" spans="1:9" ht="38.25" hidden="1" x14ac:dyDescent="0.25">
      <c r="A464" s="209"/>
      <c r="B464" s="36" t="s">
        <v>1209</v>
      </c>
      <c r="C464" s="36" t="s">
        <v>938</v>
      </c>
      <c r="D464" s="37">
        <v>28.936900000000001</v>
      </c>
      <c r="E464" s="31">
        <v>19.9691197</v>
      </c>
      <c r="F464" s="34">
        <f>IF(ISNUMBER(E464),E464*$D464,"")</f>
        <v>577.84441984693001</v>
      </c>
      <c r="G464" s="45"/>
      <c r="H464" s="46"/>
      <c r="I464" s="156">
        <v>0</v>
      </c>
    </row>
    <row r="465" spans="1:9" ht="25.5" hidden="1" x14ac:dyDescent="0.25">
      <c r="A465" s="209"/>
      <c r="B465" s="36" t="s">
        <v>3293</v>
      </c>
      <c r="C465" s="47" t="s">
        <v>122</v>
      </c>
      <c r="D465" s="37">
        <v>1.2</v>
      </c>
      <c r="E465" s="31">
        <v>456.54209147503497</v>
      </c>
      <c r="F465" s="34">
        <f>IF(ISNUMBER(E465),E465*$D465,"")</f>
        <v>547.85050977004198</v>
      </c>
      <c r="G465" s="45"/>
      <c r="H465" s="46"/>
      <c r="I465" s="156">
        <v>0</v>
      </c>
    </row>
    <row r="466" spans="1:9" hidden="1" x14ac:dyDescent="0.25">
      <c r="A466" s="209"/>
      <c r="B466" s="51"/>
      <c r="C466" s="131"/>
      <c r="D466" s="37"/>
      <c r="E466" s="31" t="s">
        <v>558</v>
      </c>
      <c r="F466" s="34" t="str">
        <f>IF(ISNUMBER(E466),ROUND(E466*$D466,2),"")</f>
        <v/>
      </c>
      <c r="G466" s="45"/>
      <c r="H466" s="46"/>
      <c r="I466" s="156">
        <v>0</v>
      </c>
    </row>
    <row r="467" spans="1:9" ht="24.95" hidden="1" customHeight="1" x14ac:dyDescent="0.25">
      <c r="A467" s="209"/>
      <c r="B467" s="48" t="s">
        <v>794</v>
      </c>
      <c r="C467" s="131"/>
      <c r="D467" s="37"/>
      <c r="E467" s="31" t="s">
        <v>558</v>
      </c>
      <c r="F467" s="34" t="str">
        <f>IF(ISNUMBER(E467),ROUND(E467*$D467,2),"")</f>
        <v/>
      </c>
      <c r="G467" s="45"/>
      <c r="H467" s="46"/>
      <c r="I467" s="156">
        <v>0</v>
      </c>
    </row>
    <row r="468" spans="1:9" ht="15.75" hidden="1" thickBot="1" x14ac:dyDescent="0.3">
      <c r="A468" s="211"/>
      <c r="B468" s="104"/>
      <c r="C468" s="80"/>
      <c r="D468" s="96"/>
      <c r="E468" s="67" t="s">
        <v>558</v>
      </c>
      <c r="F468" s="67" t="str">
        <f>IF(ISNUMBER(E468),ROUND(E468*$D468,2),"")</f>
        <v/>
      </c>
      <c r="G468" s="69"/>
      <c r="H468" s="31"/>
      <c r="I468" s="156">
        <v>0</v>
      </c>
    </row>
    <row r="469" spans="1:9" ht="26.25" hidden="1" customHeight="1" thickBot="1" x14ac:dyDescent="0.3">
      <c r="A469" s="210" t="s">
        <v>3779</v>
      </c>
      <c r="B469" s="41" t="s">
        <v>558</v>
      </c>
      <c r="C469" s="78" t="s">
        <v>122</v>
      </c>
      <c r="D469" s="94"/>
      <c r="E469" s="42" t="s">
        <v>558</v>
      </c>
      <c r="F469" s="42" t="str">
        <f>IF(ISNUMBER(E469),ROUND(E469*$D469,2),"")</f>
        <v/>
      </c>
      <c r="G469" s="29"/>
      <c r="H469" s="30"/>
      <c r="I469" s="156">
        <v>0</v>
      </c>
    </row>
    <row r="470" spans="1:9" hidden="1" x14ac:dyDescent="0.25">
      <c r="A470" s="209"/>
      <c r="B470" s="32" t="s">
        <v>558</v>
      </c>
      <c r="C470" s="79"/>
      <c r="D470" s="92"/>
      <c r="E470" s="98" t="s">
        <v>558</v>
      </c>
      <c r="F470" s="99" t="str">
        <f>IF(ISNUMBER(E470),ROUND(E470*$D470,2),"")</f>
        <v/>
      </c>
      <c r="G470" s="35"/>
      <c r="H470" s="31"/>
      <c r="I470" s="156">
        <v>0</v>
      </c>
    </row>
    <row r="471" spans="1:9" ht="25.5" hidden="1" x14ac:dyDescent="0.25">
      <c r="A471" s="209"/>
      <c r="B471" s="36" t="s">
        <v>796</v>
      </c>
      <c r="C471" s="50" t="s">
        <v>122</v>
      </c>
      <c r="D471" s="37">
        <v>1.1000000000000001</v>
      </c>
      <c r="E471" s="34">
        <v>144.29549999999998</v>
      </c>
      <c r="F471" s="34">
        <f>IF(ISNUMBER(E471),ROUND(E471*$D471,2),"")</f>
        <v>158.72999999999999</v>
      </c>
      <c r="G471" s="45">
        <f>SUM(F471:F481)</f>
        <v>295.31049355499999</v>
      </c>
      <c r="H471" s="46"/>
      <c r="I471" s="156">
        <v>0</v>
      </c>
    </row>
    <row r="472" spans="1:9" ht="63.75" hidden="1" x14ac:dyDescent="0.25">
      <c r="A472" s="209"/>
      <c r="B472" s="36" t="s">
        <v>3268</v>
      </c>
      <c r="C472" s="50" t="s">
        <v>982</v>
      </c>
      <c r="D472" s="37">
        <v>0.128</v>
      </c>
      <c r="E472" s="34">
        <v>101.0515</v>
      </c>
      <c r="F472" s="34">
        <f>IF(ISNUMBER(E472),ROUND(E472*$D472,2),"")</f>
        <v>12.93</v>
      </c>
      <c r="G472" s="45"/>
      <c r="H472" s="46"/>
      <c r="I472" s="156">
        <v>0</v>
      </c>
    </row>
    <row r="473" spans="1:9" ht="63.75" hidden="1" x14ac:dyDescent="0.25">
      <c r="A473" s="209"/>
      <c r="B473" s="36" t="s">
        <v>3276</v>
      </c>
      <c r="C473" s="50" t="s">
        <v>984</v>
      </c>
      <c r="D473" s="37">
        <v>0.63980000000000004</v>
      </c>
      <c r="E473" s="31">
        <v>40.412999999999997</v>
      </c>
      <c r="F473" s="34">
        <f>IF(ISNUMBER(E473),ROUND(E473*$D473,2),"")</f>
        <v>25.86</v>
      </c>
      <c r="G473" s="45"/>
      <c r="H473" s="46"/>
      <c r="I473" s="156">
        <v>0</v>
      </c>
    </row>
    <row r="474" spans="1:9" hidden="1" x14ac:dyDescent="0.25">
      <c r="A474" s="209"/>
      <c r="B474" s="36" t="s">
        <v>750</v>
      </c>
      <c r="C474" s="50" t="s">
        <v>742</v>
      </c>
      <c r="D474" s="37">
        <v>0.92130000000000001</v>
      </c>
      <c r="E474" s="31">
        <v>22.704999999999998</v>
      </c>
      <c r="F474" s="34">
        <f>IF(ISNUMBER(E474),ROUND(E474*$D474,2),"")</f>
        <v>20.92</v>
      </c>
      <c r="G474" s="45"/>
      <c r="H474" s="46"/>
      <c r="I474" s="156">
        <v>0</v>
      </c>
    </row>
    <row r="475" spans="1:9" hidden="1" x14ac:dyDescent="0.25">
      <c r="A475" s="209"/>
      <c r="B475" s="36" t="s">
        <v>743</v>
      </c>
      <c r="C475" s="50" t="s">
        <v>742</v>
      </c>
      <c r="D475" s="37">
        <v>1.3818999999999999</v>
      </c>
      <c r="E475" s="31">
        <v>16.729499999999998</v>
      </c>
      <c r="F475" s="34">
        <f>IF(ISNUMBER(E475),ROUND(E475*$D475,2),"")</f>
        <v>23.12</v>
      </c>
      <c r="G475" s="45"/>
      <c r="H475" s="46"/>
      <c r="I475" s="156">
        <v>0</v>
      </c>
    </row>
    <row r="476" spans="1:9" ht="38.25" hidden="1" x14ac:dyDescent="0.25">
      <c r="A476" s="209"/>
      <c r="B476" s="36" t="s">
        <v>981</v>
      </c>
      <c r="C476" s="36" t="s">
        <v>982</v>
      </c>
      <c r="D476" s="37">
        <v>7.1800000000000003E-2</v>
      </c>
      <c r="E476" s="31">
        <v>25.402999999999999</v>
      </c>
      <c r="F476" s="34">
        <f>IF(ISNUMBER(E476),E476*$D476,"")</f>
        <v>1.8239353999999999</v>
      </c>
      <c r="G476" s="45"/>
      <c r="H476" s="46"/>
      <c r="I476" s="156">
        <v>0</v>
      </c>
    </row>
    <row r="477" spans="1:9" ht="38.25" hidden="1" x14ac:dyDescent="0.25">
      <c r="A477" s="209"/>
      <c r="B477" s="36" t="s">
        <v>983</v>
      </c>
      <c r="C477" s="47" t="s">
        <v>984</v>
      </c>
      <c r="D477" s="37">
        <v>6.6600000000000006E-2</v>
      </c>
      <c r="E477" s="31">
        <v>18.439499999999999</v>
      </c>
      <c r="F477" s="34">
        <f>IF(ISNUMBER(E477),E477*$D477,"")</f>
        <v>1.2280707</v>
      </c>
      <c r="G477" s="45"/>
      <c r="H477" s="46"/>
      <c r="I477" s="156">
        <v>0</v>
      </c>
    </row>
    <row r="478" spans="1:9" ht="51" hidden="1" x14ac:dyDescent="0.25">
      <c r="A478" s="209"/>
      <c r="B478" s="36" t="s">
        <v>3617</v>
      </c>
      <c r="C478" s="36" t="s">
        <v>122</v>
      </c>
      <c r="D478" s="37">
        <f>ROUND(1*(D471),4)</f>
        <v>1.1000000000000001</v>
      </c>
      <c r="E478" s="31">
        <v>6.0919690499999994</v>
      </c>
      <c r="F478" s="34">
        <f>IF(ISNUMBER(E478),E478*$D478,"")</f>
        <v>6.7011659549999996</v>
      </c>
      <c r="G478" s="45"/>
      <c r="H478" s="46"/>
      <c r="I478" s="156">
        <v>0</v>
      </c>
    </row>
    <row r="479" spans="1:9" ht="38.25" hidden="1" x14ac:dyDescent="0.25">
      <c r="A479" s="209"/>
      <c r="B479" s="36" t="s">
        <v>3616</v>
      </c>
      <c r="C479" s="47" t="s">
        <v>124</v>
      </c>
      <c r="D479" s="37">
        <f>ROUND(D471*20,4)</f>
        <v>22</v>
      </c>
      <c r="E479" s="31">
        <v>1.9998782499999996</v>
      </c>
      <c r="F479" s="34">
        <f>IF(ISNUMBER(E479),E479*$D479,"")</f>
        <v>43.997321499999991</v>
      </c>
      <c r="G479" s="45"/>
      <c r="H479" s="46"/>
      <c r="I479" s="156">
        <v>0</v>
      </c>
    </row>
    <row r="480" spans="1:9" hidden="1" x14ac:dyDescent="0.25">
      <c r="A480" s="209"/>
      <c r="B480" s="51"/>
      <c r="C480" s="131"/>
      <c r="D480" s="37"/>
      <c r="E480" s="31" t="s">
        <v>558</v>
      </c>
      <c r="F480" s="34" t="str">
        <f>IF(ISNUMBER(E480),ROUND(E480*$D480,2),"")</f>
        <v/>
      </c>
      <c r="G480" s="45"/>
      <c r="H480" s="46"/>
      <c r="I480" s="156">
        <v>0</v>
      </c>
    </row>
    <row r="481" spans="1:9" ht="24.95" hidden="1" customHeight="1" x14ac:dyDescent="0.25">
      <c r="A481" s="209"/>
      <c r="B481" s="48" t="s">
        <v>794</v>
      </c>
      <c r="C481" s="131"/>
      <c r="D481" s="37"/>
      <c r="E481" s="31" t="s">
        <v>558</v>
      </c>
      <c r="F481" s="34" t="str">
        <f>IF(ISNUMBER(E481),ROUND(E481*$D481,2),"")</f>
        <v/>
      </c>
      <c r="G481" s="45"/>
      <c r="H481" s="46"/>
      <c r="I481" s="156">
        <v>0</v>
      </c>
    </row>
    <row r="482" spans="1:9" ht="15.75" hidden="1" thickBot="1" x14ac:dyDescent="0.3">
      <c r="A482" s="211"/>
      <c r="B482" s="104"/>
      <c r="C482" s="80"/>
      <c r="D482" s="96"/>
      <c r="E482" s="67" t="s">
        <v>558</v>
      </c>
      <c r="F482" s="67" t="str">
        <f>IF(ISNUMBER(E482),ROUND(E482*$D482,2),"")</f>
        <v/>
      </c>
      <c r="G482" s="69"/>
      <c r="H482" s="31"/>
      <c r="I482" s="156">
        <v>0</v>
      </c>
    </row>
    <row r="483" spans="1:9" ht="26.25" hidden="1" customHeight="1" thickBot="1" x14ac:dyDescent="0.3">
      <c r="A483" s="210" t="s">
        <v>3295</v>
      </c>
      <c r="B483" s="41" t="s">
        <v>558</v>
      </c>
      <c r="C483" s="78" t="s">
        <v>122</v>
      </c>
      <c r="D483" s="94"/>
      <c r="E483" s="42" t="s">
        <v>558</v>
      </c>
      <c r="F483" s="42" t="str">
        <f>IF(ISNUMBER(E483),ROUND(E483*$D483,2),"")</f>
        <v/>
      </c>
      <c r="G483" s="29"/>
      <c r="H483" s="30"/>
      <c r="I483" s="156">
        <v>0</v>
      </c>
    </row>
    <row r="484" spans="1:9" hidden="1" x14ac:dyDescent="0.25">
      <c r="A484" s="209"/>
      <c r="B484" s="32" t="s">
        <v>558</v>
      </c>
      <c r="C484" s="79"/>
      <c r="D484" s="92"/>
      <c r="E484" s="98" t="s">
        <v>558</v>
      </c>
      <c r="F484" s="99" t="str">
        <f>IF(ISNUMBER(E484),ROUND(E484*$D484,2),"")</f>
        <v/>
      </c>
      <c r="G484" s="35"/>
      <c r="H484" s="31"/>
      <c r="I484" s="156">
        <v>0</v>
      </c>
    </row>
    <row r="485" spans="1:9" ht="25.5" hidden="1" x14ac:dyDescent="0.25">
      <c r="A485" s="209"/>
      <c r="B485" s="36" t="s">
        <v>1202</v>
      </c>
      <c r="C485" s="50" t="s">
        <v>1034</v>
      </c>
      <c r="D485" s="37">
        <v>1.9403999999999999</v>
      </c>
      <c r="E485" s="34">
        <v>45.305499999999995</v>
      </c>
      <c r="F485" s="34">
        <f>IF(ISNUMBER(E485),ROUND(E485*$D485,2),"")</f>
        <v>87.91</v>
      </c>
      <c r="G485" s="45">
        <f>SUM(F485:F500)</f>
        <v>2644.0352959849997</v>
      </c>
      <c r="H485" s="46"/>
      <c r="I485" s="156">
        <v>0</v>
      </c>
    </row>
    <row r="486" spans="1:9" ht="25.5" hidden="1" x14ac:dyDescent="0.25">
      <c r="A486" s="209"/>
      <c r="B486" s="36" t="s">
        <v>1203</v>
      </c>
      <c r="C486" s="50" t="s">
        <v>103</v>
      </c>
      <c r="D486" s="37">
        <v>8.3299999999999999E-2</v>
      </c>
      <c r="E486" s="34">
        <v>6.1274999999999995</v>
      </c>
      <c r="F486" s="34">
        <f>IF(ISNUMBER(E486),ROUND(E486*$D486,2),"")</f>
        <v>0.51</v>
      </c>
      <c r="G486" s="45"/>
      <c r="H486" s="46"/>
      <c r="I486" s="156">
        <v>0</v>
      </c>
    </row>
    <row r="487" spans="1:9" ht="25.5" hidden="1" x14ac:dyDescent="0.25">
      <c r="A487" s="209"/>
      <c r="B487" s="36" t="s">
        <v>3794</v>
      </c>
      <c r="C487" s="50" t="s">
        <v>513</v>
      </c>
      <c r="D487" s="37">
        <v>5.6283000000000003</v>
      </c>
      <c r="E487" s="31">
        <v>2.4129999999999998</v>
      </c>
      <c r="F487" s="34">
        <f>IF(ISNUMBER(E487),ROUND(E487*$D487,2),"")</f>
        <v>13.58</v>
      </c>
      <c r="G487" s="45"/>
      <c r="H487" s="46"/>
      <c r="I487" s="156">
        <v>0</v>
      </c>
    </row>
    <row r="488" spans="1:9" hidden="1" x14ac:dyDescent="0.25">
      <c r="A488" s="209"/>
      <c r="B488" s="36" t="s">
        <v>1204</v>
      </c>
      <c r="C488" s="50" t="s">
        <v>938</v>
      </c>
      <c r="D488" s="37">
        <v>0.4365</v>
      </c>
      <c r="E488" s="31">
        <v>21.2895</v>
      </c>
      <c r="F488" s="34">
        <f>IF(ISNUMBER(E488),ROUND(E488*$D488,2),"")</f>
        <v>9.2899999999999991</v>
      </c>
      <c r="G488" s="45"/>
      <c r="H488" s="46"/>
      <c r="I488" s="156">
        <v>0</v>
      </c>
    </row>
    <row r="489" spans="1:9" hidden="1" x14ac:dyDescent="0.25">
      <c r="A489" s="209"/>
      <c r="B489" s="36" t="s">
        <v>825</v>
      </c>
      <c r="C489" s="50" t="s">
        <v>742</v>
      </c>
      <c r="D489" s="37">
        <v>1.1919999999999999</v>
      </c>
      <c r="E489" s="31">
        <v>18.962</v>
      </c>
      <c r="F489" s="34">
        <f>IF(ISNUMBER(E489),ROUND(E489*$D489,2),"")</f>
        <v>22.6</v>
      </c>
      <c r="G489" s="45"/>
      <c r="H489" s="46"/>
      <c r="I489" s="156">
        <v>0</v>
      </c>
    </row>
    <row r="490" spans="1:9" hidden="1" x14ac:dyDescent="0.25">
      <c r="A490" s="209"/>
      <c r="B490" s="36" t="s">
        <v>741</v>
      </c>
      <c r="C490" s="36" t="s">
        <v>742</v>
      </c>
      <c r="D490" s="37">
        <v>5.96</v>
      </c>
      <c r="E490" s="31">
        <v>22.533999999999999</v>
      </c>
      <c r="F490" s="34">
        <f>IF(ISNUMBER(E490),E490*$D490,"")</f>
        <v>134.30264</v>
      </c>
      <c r="G490" s="45"/>
      <c r="H490" s="46"/>
      <c r="I490" s="156">
        <v>0</v>
      </c>
    </row>
    <row r="491" spans="1:9" hidden="1" x14ac:dyDescent="0.25">
      <c r="A491" s="209"/>
      <c r="B491" s="36" t="s">
        <v>750</v>
      </c>
      <c r="C491" s="36" t="s">
        <v>742</v>
      </c>
      <c r="D491" s="37">
        <v>31.5459</v>
      </c>
      <c r="E491" s="31">
        <v>22.704999999999998</v>
      </c>
      <c r="F491" s="34">
        <f>IF(ISNUMBER(E491),E491*$D491,"")</f>
        <v>716.24965949999989</v>
      </c>
      <c r="G491" s="45"/>
      <c r="H491" s="46"/>
      <c r="I491" s="156">
        <v>0</v>
      </c>
    </row>
    <row r="492" spans="1:9" hidden="1" x14ac:dyDescent="0.25">
      <c r="A492" s="209"/>
      <c r="B492" s="36" t="s">
        <v>743</v>
      </c>
      <c r="C492" s="36" t="s">
        <v>742</v>
      </c>
      <c r="D492" s="37">
        <v>31.5459</v>
      </c>
      <c r="E492" s="31">
        <v>16.729499999999998</v>
      </c>
      <c r="F492" s="34">
        <f>IF(ISNUMBER(E492),E492*$D492,"")</f>
        <v>527.74713404999989</v>
      </c>
      <c r="G492" s="45"/>
      <c r="H492" s="46"/>
      <c r="I492" s="156">
        <v>0</v>
      </c>
    </row>
    <row r="493" spans="1:9" ht="25.5" hidden="1" x14ac:dyDescent="0.25">
      <c r="A493" s="209"/>
      <c r="B493" s="36" t="s">
        <v>1205</v>
      </c>
      <c r="C493" s="36" t="s">
        <v>982</v>
      </c>
      <c r="D493" s="37">
        <v>6.6349999999999998</v>
      </c>
      <c r="E493" s="31">
        <v>1.5009999999999999</v>
      </c>
      <c r="F493" s="34">
        <f>IF(ISNUMBER(E493),E493*$D493,"")</f>
        <v>9.9591349999999981</v>
      </c>
      <c r="G493" s="45"/>
      <c r="H493" s="46"/>
      <c r="I493" s="156">
        <v>0</v>
      </c>
    </row>
    <row r="494" spans="1:9" ht="25.5" hidden="1" x14ac:dyDescent="0.25">
      <c r="A494" s="209"/>
      <c r="B494" s="36" t="s">
        <v>1206</v>
      </c>
      <c r="C494" s="36" t="s">
        <v>984</v>
      </c>
      <c r="D494" s="37">
        <v>18.246200000000002</v>
      </c>
      <c r="E494" s="31">
        <v>0.39899999999999997</v>
      </c>
      <c r="F494" s="34">
        <f>IF(ISNUMBER(E494),E494*$D494,"")</f>
        <v>7.2802338000000004</v>
      </c>
      <c r="G494" s="45"/>
      <c r="H494" s="46"/>
      <c r="I494" s="156">
        <v>0</v>
      </c>
    </row>
    <row r="495" spans="1:9" ht="25.5" hidden="1" x14ac:dyDescent="0.25">
      <c r="A495" s="209"/>
      <c r="B495" s="36" t="s">
        <v>1207</v>
      </c>
      <c r="C495" s="36" t="s">
        <v>982</v>
      </c>
      <c r="D495" s="37">
        <v>0.48770000000000002</v>
      </c>
      <c r="E495" s="31">
        <v>19.9025</v>
      </c>
      <c r="F495" s="34">
        <f>IF(ISNUMBER(E495),E495*$D495,"")</f>
        <v>9.7064492500000004</v>
      </c>
      <c r="G495" s="45"/>
      <c r="H495" s="46"/>
      <c r="I495" s="156">
        <v>0</v>
      </c>
    </row>
    <row r="496" spans="1:9" ht="25.5" hidden="1" x14ac:dyDescent="0.25">
      <c r="A496" s="209"/>
      <c r="B496" s="36" t="s">
        <v>1208</v>
      </c>
      <c r="C496" s="36" t="s">
        <v>984</v>
      </c>
      <c r="D496" s="37">
        <v>0.70430000000000004</v>
      </c>
      <c r="E496" s="31">
        <v>17.783999999999999</v>
      </c>
      <c r="F496" s="34">
        <f>IF(ISNUMBER(E496),E496*$D496,"")</f>
        <v>12.525271200000001</v>
      </c>
      <c r="G496" s="45"/>
      <c r="H496" s="46"/>
      <c r="I496" s="156">
        <v>0</v>
      </c>
    </row>
    <row r="497" spans="1:9" ht="38.25" hidden="1" x14ac:dyDescent="0.25">
      <c r="A497" s="209"/>
      <c r="B497" s="36" t="s">
        <v>1209</v>
      </c>
      <c r="C497" s="36" t="s">
        <v>938</v>
      </c>
      <c r="D497" s="37">
        <v>27.898800000000001</v>
      </c>
      <c r="E497" s="31">
        <v>19.9691197</v>
      </c>
      <c r="F497" s="34">
        <f>IF(ISNUMBER(E497),E497*$D497,"")</f>
        <v>557.11447668636004</v>
      </c>
      <c r="G497" s="45"/>
      <c r="H497" s="46"/>
      <c r="I497" s="156">
        <v>0</v>
      </c>
    </row>
    <row r="498" spans="1:9" ht="25.5" hidden="1" x14ac:dyDescent="0.25">
      <c r="A498" s="209"/>
      <c r="B498" s="36" t="s">
        <v>3292</v>
      </c>
      <c r="C498" s="47" t="s">
        <v>122</v>
      </c>
      <c r="D498" s="37">
        <v>1.2</v>
      </c>
      <c r="E498" s="31">
        <v>446.05024708219992</v>
      </c>
      <c r="F498" s="34">
        <f>IF(ISNUMBER(E498),E498*$D498,"")</f>
        <v>535.26029649863983</v>
      </c>
      <c r="G498" s="45"/>
      <c r="H498" s="46"/>
      <c r="I498" s="156">
        <v>0</v>
      </c>
    </row>
    <row r="499" spans="1:9" hidden="1" x14ac:dyDescent="0.25">
      <c r="A499" s="209"/>
      <c r="B499" s="51"/>
      <c r="C499" s="131"/>
      <c r="D499" s="37"/>
      <c r="E499" s="31" t="s">
        <v>558</v>
      </c>
      <c r="F499" s="34" t="str">
        <f>IF(ISNUMBER(E499),ROUND(E499*$D499,2),"")</f>
        <v/>
      </c>
      <c r="G499" s="45"/>
      <c r="H499" s="46"/>
      <c r="I499" s="156">
        <v>0</v>
      </c>
    </row>
    <row r="500" spans="1:9" ht="24.95" hidden="1" customHeight="1" x14ac:dyDescent="0.25">
      <c r="A500" s="209"/>
      <c r="B500" s="48" t="s">
        <v>794</v>
      </c>
      <c r="C500" s="131"/>
      <c r="D500" s="37"/>
      <c r="E500" s="31" t="s">
        <v>558</v>
      </c>
      <c r="F500" s="34" t="str">
        <f>IF(ISNUMBER(E500),ROUND(E500*$D500,2),"")</f>
        <v/>
      </c>
      <c r="G500" s="45"/>
      <c r="H500" s="46"/>
      <c r="I500" s="156">
        <v>0</v>
      </c>
    </row>
    <row r="501" spans="1:9" ht="15.75" hidden="1" thickBot="1" x14ac:dyDescent="0.3">
      <c r="A501" s="211"/>
      <c r="B501" s="104"/>
      <c r="C501" s="80"/>
      <c r="D501" s="96"/>
      <c r="E501" s="67" t="s">
        <v>558</v>
      </c>
      <c r="F501" s="67" t="str">
        <f>IF(ISNUMBER(E501),ROUND(E501*$D501,2),"")</f>
        <v/>
      </c>
      <c r="G501" s="69"/>
      <c r="H501" s="31"/>
      <c r="I501" s="156">
        <v>0</v>
      </c>
    </row>
    <row r="502" spans="1:9" ht="26.25" hidden="1" customHeight="1" thickBot="1" x14ac:dyDescent="0.3">
      <c r="A502" s="210" t="s">
        <v>3778</v>
      </c>
      <c r="B502" s="41" t="s">
        <v>558</v>
      </c>
      <c r="C502" s="78" t="s">
        <v>122</v>
      </c>
      <c r="D502" s="94"/>
      <c r="E502" s="42" t="s">
        <v>558</v>
      </c>
      <c r="F502" s="42" t="str">
        <f>IF(ISNUMBER(E502),ROUND(E502*$D502,2),"")</f>
        <v/>
      </c>
      <c r="G502" s="29"/>
      <c r="H502" s="30"/>
      <c r="I502" s="156">
        <v>0</v>
      </c>
    </row>
    <row r="503" spans="1:9" hidden="1" x14ac:dyDescent="0.25">
      <c r="A503" s="209"/>
      <c r="B503" s="32" t="s">
        <v>558</v>
      </c>
      <c r="C503" s="79"/>
      <c r="D503" s="92"/>
      <c r="E503" s="98" t="s">
        <v>558</v>
      </c>
      <c r="F503" s="99" t="str">
        <f>IF(ISNUMBER(E503),ROUND(E503*$D503,2),"")</f>
        <v/>
      </c>
      <c r="G503" s="35"/>
      <c r="H503" s="31"/>
      <c r="I503" s="156">
        <v>0</v>
      </c>
    </row>
    <row r="504" spans="1:9" ht="25.5" hidden="1" x14ac:dyDescent="0.25">
      <c r="A504" s="209"/>
      <c r="B504" s="36" t="s">
        <v>796</v>
      </c>
      <c r="C504" s="50" t="s">
        <v>122</v>
      </c>
      <c r="D504" s="37">
        <v>1.1000000000000001</v>
      </c>
      <c r="E504" s="34">
        <v>144.29549999999998</v>
      </c>
      <c r="F504" s="34">
        <f>IF(ISNUMBER(E504),ROUND(E504*$D504,2),"")</f>
        <v>158.72999999999999</v>
      </c>
      <c r="G504" s="45">
        <f>SUM(F504:F512)</f>
        <v>331.680493555</v>
      </c>
      <c r="H504" s="46"/>
      <c r="I504" s="156">
        <v>0</v>
      </c>
    </row>
    <row r="505" spans="1:9" hidden="1" x14ac:dyDescent="0.25">
      <c r="A505" s="209"/>
      <c r="B505" s="36" t="s">
        <v>750</v>
      </c>
      <c r="C505" s="50" t="s">
        <v>742</v>
      </c>
      <c r="D505" s="37">
        <v>2.4937999999999998</v>
      </c>
      <c r="E505" s="31">
        <v>22.704999999999998</v>
      </c>
      <c r="F505" s="34">
        <f>IF(ISNUMBER(E505),ROUND(E505*$D505,2),"")</f>
        <v>56.62</v>
      </c>
      <c r="G505" s="45"/>
      <c r="H505" s="46"/>
      <c r="I505" s="156">
        <v>0</v>
      </c>
    </row>
    <row r="506" spans="1:9" hidden="1" x14ac:dyDescent="0.25">
      <c r="A506" s="209"/>
      <c r="B506" s="36" t="s">
        <v>743</v>
      </c>
      <c r="C506" s="50" t="s">
        <v>742</v>
      </c>
      <c r="D506" s="37">
        <v>3.7406999999999999</v>
      </c>
      <c r="E506" s="31">
        <v>16.729499999999998</v>
      </c>
      <c r="F506" s="34">
        <f>IF(ISNUMBER(E506),ROUND(E506*$D506,2),"")</f>
        <v>62.58</v>
      </c>
      <c r="G506" s="45"/>
      <c r="H506" s="46"/>
      <c r="I506" s="156">
        <v>0</v>
      </c>
    </row>
    <row r="507" spans="1:9" ht="38.25" hidden="1" x14ac:dyDescent="0.25">
      <c r="A507" s="209"/>
      <c r="B507" s="36" t="s">
        <v>981</v>
      </c>
      <c r="C507" s="36" t="s">
        <v>982</v>
      </c>
      <c r="D507" s="37">
        <v>7.1800000000000003E-2</v>
      </c>
      <c r="E507" s="31">
        <v>25.402999999999999</v>
      </c>
      <c r="F507" s="34">
        <f>IF(ISNUMBER(E507),E507*$D507,"")</f>
        <v>1.8239353999999999</v>
      </c>
      <c r="G507" s="45"/>
      <c r="H507" s="46"/>
      <c r="I507" s="156">
        <v>0</v>
      </c>
    </row>
    <row r="508" spans="1:9" ht="38.25" hidden="1" x14ac:dyDescent="0.25">
      <c r="A508" s="209"/>
      <c r="B508" s="36" t="s">
        <v>983</v>
      </c>
      <c r="C508" s="47" t="s">
        <v>984</v>
      </c>
      <c r="D508" s="37">
        <v>6.6600000000000006E-2</v>
      </c>
      <c r="E508" s="31">
        <v>18.439499999999999</v>
      </c>
      <c r="F508" s="34">
        <f>IF(ISNUMBER(E508),E508*$D508,"")</f>
        <v>1.2280707</v>
      </c>
      <c r="G508" s="45"/>
      <c r="H508" s="46"/>
      <c r="I508" s="156">
        <v>0</v>
      </c>
    </row>
    <row r="509" spans="1:9" ht="51" hidden="1" x14ac:dyDescent="0.25">
      <c r="A509" s="209"/>
      <c r="B509" s="36" t="s">
        <v>3617</v>
      </c>
      <c r="C509" s="36" t="s">
        <v>122</v>
      </c>
      <c r="D509" s="37">
        <f>ROUND(1*(D504),4)</f>
        <v>1.1000000000000001</v>
      </c>
      <c r="E509" s="31">
        <v>6.0919690499999994</v>
      </c>
      <c r="F509" s="34">
        <f>IF(ISNUMBER(E509),E509*$D509,"")</f>
        <v>6.7011659549999996</v>
      </c>
      <c r="G509" s="45"/>
      <c r="H509" s="46"/>
      <c r="I509" s="156">
        <v>0</v>
      </c>
    </row>
    <row r="510" spans="1:9" ht="38.25" hidden="1" x14ac:dyDescent="0.25">
      <c r="A510" s="209"/>
      <c r="B510" s="36" t="s">
        <v>3616</v>
      </c>
      <c r="C510" s="47" t="s">
        <v>124</v>
      </c>
      <c r="D510" s="37">
        <f>ROUND(D504*20,4)</f>
        <v>22</v>
      </c>
      <c r="E510" s="31">
        <v>1.9998782499999996</v>
      </c>
      <c r="F510" s="34">
        <f>IF(ISNUMBER(E510),E510*$D510,"")</f>
        <v>43.997321499999991</v>
      </c>
      <c r="G510" s="45"/>
      <c r="H510" s="46"/>
      <c r="I510" s="156">
        <v>0</v>
      </c>
    </row>
    <row r="511" spans="1:9" hidden="1" x14ac:dyDescent="0.25">
      <c r="A511" s="209"/>
      <c r="B511" s="51"/>
      <c r="C511" s="131"/>
      <c r="D511" s="37"/>
      <c r="E511" s="31" t="s">
        <v>558</v>
      </c>
      <c r="F511" s="34" t="str">
        <f>IF(ISNUMBER(E511),ROUND(E511*$D511,2),"")</f>
        <v/>
      </c>
      <c r="G511" s="45"/>
      <c r="H511" s="46"/>
      <c r="I511" s="156">
        <v>0</v>
      </c>
    </row>
    <row r="512" spans="1:9" ht="24.95" hidden="1" customHeight="1" x14ac:dyDescent="0.25">
      <c r="A512" s="209"/>
      <c r="B512" s="48" t="s">
        <v>794</v>
      </c>
      <c r="C512" s="131"/>
      <c r="D512" s="37"/>
      <c r="E512" s="31" t="s">
        <v>558</v>
      </c>
      <c r="F512" s="34" t="str">
        <f>IF(ISNUMBER(E512),ROUND(E512*$D512,2),"")</f>
        <v/>
      </c>
      <c r="G512" s="45"/>
      <c r="H512" s="46"/>
      <c r="I512" s="156">
        <v>0</v>
      </c>
    </row>
    <row r="513" spans="1:9" ht="15.75" hidden="1" thickBot="1" x14ac:dyDescent="0.3">
      <c r="A513" s="211"/>
      <c r="B513" s="104"/>
      <c r="C513" s="80"/>
      <c r="D513" s="96"/>
      <c r="E513" s="67" t="s">
        <v>558</v>
      </c>
      <c r="F513" s="67" t="str">
        <f>IF(ISNUMBER(E513),ROUND(E513*$D513,2),"")</f>
        <v/>
      </c>
      <c r="G513" s="69"/>
      <c r="H513" s="31"/>
      <c r="I513" s="156">
        <v>0</v>
      </c>
    </row>
    <row r="514" spans="1:9" ht="26.25" hidden="1" customHeight="1" thickBot="1" x14ac:dyDescent="0.3">
      <c r="A514" s="210" t="s">
        <v>3294</v>
      </c>
      <c r="B514" s="41" t="s">
        <v>558</v>
      </c>
      <c r="C514" s="78" t="s">
        <v>122</v>
      </c>
      <c r="D514" s="94"/>
      <c r="E514" s="42" t="s">
        <v>558</v>
      </c>
      <c r="F514" s="42" t="str">
        <f>IF(ISNUMBER(E514),ROUND(E514*$D514,2),"")</f>
        <v/>
      </c>
      <c r="G514" s="29"/>
      <c r="H514" s="30"/>
      <c r="I514" s="156">
        <v>0</v>
      </c>
    </row>
    <row r="515" spans="1:9" hidden="1" x14ac:dyDescent="0.25">
      <c r="A515" s="209"/>
      <c r="B515" s="32" t="s">
        <v>558</v>
      </c>
      <c r="C515" s="79"/>
      <c r="D515" s="92"/>
      <c r="E515" s="98" t="s">
        <v>558</v>
      </c>
      <c r="F515" s="99" t="str">
        <f>IF(ISNUMBER(E515),ROUND(E515*$D515,2),"")</f>
        <v/>
      </c>
      <c r="G515" s="35"/>
      <c r="H515" s="31"/>
      <c r="I515" s="156">
        <v>0</v>
      </c>
    </row>
    <row r="516" spans="1:9" ht="25.5" hidden="1" x14ac:dyDescent="0.25">
      <c r="A516" s="209"/>
      <c r="B516" s="36" t="s">
        <v>791</v>
      </c>
      <c r="C516" s="50" t="s">
        <v>122</v>
      </c>
      <c r="D516" s="37">
        <v>0.85299999999999998</v>
      </c>
      <c r="E516" s="34">
        <v>85.5</v>
      </c>
      <c r="F516" s="34">
        <f>IF(ISNUMBER(E516),ROUND(E516*$D516,2),"")</f>
        <v>72.930000000000007</v>
      </c>
      <c r="G516" s="45">
        <f>SUM(F516:F523)</f>
        <v>495.74373483845005</v>
      </c>
      <c r="H516" s="46"/>
      <c r="I516" s="156">
        <v>0</v>
      </c>
    </row>
    <row r="517" spans="1:9" hidden="1" x14ac:dyDescent="0.25">
      <c r="A517" s="209"/>
      <c r="B517" s="36" t="s">
        <v>787</v>
      </c>
      <c r="C517" s="50" t="s">
        <v>938</v>
      </c>
      <c r="D517" s="37">
        <v>218.65</v>
      </c>
      <c r="E517" s="34">
        <v>0.52249999999999996</v>
      </c>
      <c r="F517" s="34">
        <f>IF(ISNUMBER(E517),ROUND(E517*$D517,2),"")</f>
        <v>114.24</v>
      </c>
      <c r="G517" s="45"/>
      <c r="H517" s="46"/>
      <c r="I517" s="156">
        <v>0</v>
      </c>
    </row>
    <row r="518" spans="1:9" ht="25.5" hidden="1" x14ac:dyDescent="0.25">
      <c r="A518" s="209"/>
      <c r="B518" s="36" t="s">
        <v>799</v>
      </c>
      <c r="C518" s="50" t="s">
        <v>122</v>
      </c>
      <c r="D518" s="37">
        <v>0.59599999999999997</v>
      </c>
      <c r="E518" s="31">
        <v>124.982</v>
      </c>
      <c r="F518" s="34">
        <f>IF(ISNUMBER(E518),ROUND(E518*$D518,2),"")</f>
        <v>74.489999999999995</v>
      </c>
      <c r="G518" s="45"/>
      <c r="H518" s="46"/>
      <c r="I518" s="156">
        <v>0</v>
      </c>
    </row>
    <row r="519" spans="1:9" hidden="1" x14ac:dyDescent="0.25">
      <c r="A519" s="209"/>
      <c r="B519" s="36" t="s">
        <v>743</v>
      </c>
      <c r="C519" s="50" t="s">
        <v>742</v>
      </c>
      <c r="D519" s="37">
        <v>10</v>
      </c>
      <c r="E519" s="31">
        <v>16.729499999999998</v>
      </c>
      <c r="F519" s="34">
        <f>IF(ISNUMBER(E519),ROUND(E519*$D519,2),"")</f>
        <v>167.3</v>
      </c>
      <c r="G519" s="45"/>
      <c r="H519" s="46"/>
      <c r="I519" s="156">
        <v>0</v>
      </c>
    </row>
    <row r="520" spans="1:9" ht="51" hidden="1" x14ac:dyDescent="0.25">
      <c r="A520" s="209"/>
      <c r="B520" s="36" t="s">
        <v>3617</v>
      </c>
      <c r="C520" s="36" t="s">
        <v>122</v>
      </c>
      <c r="D520" s="37">
        <f>ROUND(1*(D516+D518),4)</f>
        <v>1.4490000000000001</v>
      </c>
      <c r="E520" s="31">
        <v>6.0919690499999994</v>
      </c>
      <c r="F520" s="34">
        <f>IF(ISNUMBER(E520),E520*$D520,"")</f>
        <v>8.8272631534499997</v>
      </c>
      <c r="G520" s="45"/>
      <c r="H520" s="46"/>
      <c r="I520" s="156">
        <v>0</v>
      </c>
    </row>
    <row r="521" spans="1:9" ht="38.25" hidden="1" x14ac:dyDescent="0.25">
      <c r="A521" s="209"/>
      <c r="B521" s="36" t="s">
        <v>3616</v>
      </c>
      <c r="C521" s="47" t="s">
        <v>124</v>
      </c>
      <c r="D521" s="37">
        <f>ROUND((D516+D518)*20,4)</f>
        <v>28.98</v>
      </c>
      <c r="E521" s="31">
        <v>1.9998782499999996</v>
      </c>
      <c r="F521" s="34">
        <f>IF(ISNUMBER(E521),E521*$D521,"")</f>
        <v>57.95647168499999</v>
      </c>
      <c r="G521" s="45"/>
      <c r="H521" s="46"/>
      <c r="I521" s="156">
        <v>0</v>
      </c>
    </row>
    <row r="522" spans="1:9" hidden="1" x14ac:dyDescent="0.25">
      <c r="A522" s="209"/>
      <c r="B522" s="51"/>
      <c r="C522" s="131"/>
      <c r="D522" s="37"/>
      <c r="E522" s="31" t="s">
        <v>558</v>
      </c>
      <c r="F522" s="34" t="str">
        <f>IF(ISNUMBER(E522),ROUND(E522*$D522,2),"")</f>
        <v/>
      </c>
      <c r="G522" s="45"/>
      <c r="H522" s="46"/>
      <c r="I522" s="156">
        <v>0</v>
      </c>
    </row>
    <row r="523" spans="1:9" ht="24.95" hidden="1" customHeight="1" x14ac:dyDescent="0.25">
      <c r="A523" s="209"/>
      <c r="B523" s="48" t="s">
        <v>125</v>
      </c>
      <c r="C523" s="131"/>
      <c r="D523" s="37"/>
      <c r="E523" s="31" t="s">
        <v>558</v>
      </c>
      <c r="F523" s="34" t="str">
        <f>IF(ISNUMBER(E523),ROUND(E523*$D523,2),"")</f>
        <v/>
      </c>
      <c r="G523" s="45"/>
      <c r="H523" s="46"/>
      <c r="I523" s="156">
        <v>0</v>
      </c>
    </row>
    <row r="524" spans="1:9" ht="15.75" hidden="1" thickBot="1" x14ac:dyDescent="0.3">
      <c r="A524" s="211"/>
      <c r="B524" s="104"/>
      <c r="C524" s="80"/>
      <c r="D524" s="96"/>
      <c r="E524" s="67" t="s">
        <v>558</v>
      </c>
      <c r="F524" s="67" t="str">
        <f>IF(ISNUMBER(E524),ROUND(E524*$D524,2),"")</f>
        <v/>
      </c>
      <c r="G524" s="69"/>
      <c r="H524" s="31"/>
      <c r="I524" s="156">
        <v>0</v>
      </c>
    </row>
    <row r="525" spans="1:9" ht="26.25" hidden="1" customHeight="1" thickBot="1" x14ac:dyDescent="0.3">
      <c r="A525" s="210" t="s">
        <v>3307</v>
      </c>
      <c r="B525" s="41" t="s">
        <v>558</v>
      </c>
      <c r="C525" s="78" t="s">
        <v>292</v>
      </c>
      <c r="D525" s="94"/>
      <c r="E525" s="42" t="s">
        <v>558</v>
      </c>
      <c r="F525" s="42" t="str">
        <f>IF(ISNUMBER(E525),ROUND(E525*$D525,2),"")</f>
        <v/>
      </c>
      <c r="G525" s="29"/>
      <c r="H525" s="30"/>
      <c r="I525" s="156">
        <v>0</v>
      </c>
    </row>
    <row r="526" spans="1:9" hidden="1" x14ac:dyDescent="0.25">
      <c r="A526" s="209"/>
      <c r="B526" s="32" t="s">
        <v>558</v>
      </c>
      <c r="C526" s="79"/>
      <c r="D526" s="92"/>
      <c r="E526" s="98" t="s">
        <v>558</v>
      </c>
      <c r="F526" s="99" t="str">
        <f>IF(ISNUMBER(E526),ROUND(E526*$D526,2),"")</f>
        <v/>
      </c>
      <c r="G526" s="35"/>
      <c r="H526" s="31"/>
      <c r="I526" s="156">
        <v>0</v>
      </c>
    </row>
    <row r="527" spans="1:9" hidden="1" x14ac:dyDescent="0.25">
      <c r="A527" s="209"/>
      <c r="B527" s="36" t="s">
        <v>1434</v>
      </c>
      <c r="C527" s="50" t="s">
        <v>938</v>
      </c>
      <c r="D527" s="37">
        <v>3.3999999999999998E-3</v>
      </c>
      <c r="E527" s="34">
        <v>19.227999999999998</v>
      </c>
      <c r="F527" s="34">
        <f>IF(ISNUMBER(E527),ROUND(E527*$D527,2),"")</f>
        <v>7.0000000000000007E-2</v>
      </c>
      <c r="G527" s="45">
        <f>SUM(F527:F529)</f>
        <v>2.13</v>
      </c>
      <c r="H527" s="46"/>
      <c r="I527" s="156">
        <v>0</v>
      </c>
    </row>
    <row r="528" spans="1:9" hidden="1" x14ac:dyDescent="0.25">
      <c r="A528" s="209"/>
      <c r="B528" s="36" t="s">
        <v>825</v>
      </c>
      <c r="C528" s="50" t="s">
        <v>742</v>
      </c>
      <c r="D528" s="37">
        <v>3.2300000000000002E-2</v>
      </c>
      <c r="E528" s="34">
        <v>18.962</v>
      </c>
      <c r="F528" s="34">
        <f>IF(ISNUMBER(E528),ROUND(E528*$D528,2),"")</f>
        <v>0.61</v>
      </c>
      <c r="G528" s="45"/>
      <c r="H528" s="46"/>
      <c r="I528" s="156">
        <v>0</v>
      </c>
    </row>
    <row r="529" spans="1:9" hidden="1" x14ac:dyDescent="0.25">
      <c r="A529" s="209"/>
      <c r="B529" s="36" t="s">
        <v>1035</v>
      </c>
      <c r="C529" s="50" t="s">
        <v>742</v>
      </c>
      <c r="D529" s="37">
        <v>6.4500000000000002E-2</v>
      </c>
      <c r="E529" s="31">
        <v>22.495999999999999</v>
      </c>
      <c r="F529" s="34">
        <f>IF(ISNUMBER(E529),ROUND(E529*$D529,2),"")</f>
        <v>1.45</v>
      </c>
      <c r="G529" s="45"/>
      <c r="H529" s="46"/>
      <c r="I529" s="156">
        <v>0</v>
      </c>
    </row>
    <row r="530" spans="1:9" ht="15.75" hidden="1" thickBot="1" x14ac:dyDescent="0.3">
      <c r="A530" s="211"/>
      <c r="B530" s="104"/>
      <c r="C530" s="80"/>
      <c r="D530" s="96"/>
      <c r="E530" s="67" t="s">
        <v>558</v>
      </c>
      <c r="F530" s="67" t="str">
        <f>IF(ISNUMBER(E530),ROUND(E530*$D530,2),"")</f>
        <v/>
      </c>
      <c r="G530" s="69"/>
      <c r="H530" s="31"/>
      <c r="I530" s="156">
        <v>0</v>
      </c>
    </row>
    <row r="531" spans="1:9" ht="26.25" hidden="1" customHeight="1" thickBot="1" x14ac:dyDescent="0.3">
      <c r="A531" s="210" t="s">
        <v>3288</v>
      </c>
      <c r="B531" s="41" t="s">
        <v>558</v>
      </c>
      <c r="C531" s="78" t="s">
        <v>122</v>
      </c>
      <c r="D531" s="94"/>
      <c r="E531" s="42" t="s">
        <v>558</v>
      </c>
      <c r="F531" s="42" t="str">
        <f>IF(ISNUMBER(E531),ROUND(E531*$D531,2),"")</f>
        <v/>
      </c>
      <c r="G531" s="29"/>
      <c r="H531" s="30"/>
      <c r="I531" s="156">
        <v>0</v>
      </c>
    </row>
    <row r="532" spans="1:9" hidden="1" x14ac:dyDescent="0.25">
      <c r="A532" s="209"/>
      <c r="B532" s="32" t="s">
        <v>558</v>
      </c>
      <c r="C532" s="79"/>
      <c r="D532" s="92"/>
      <c r="E532" s="98" t="s">
        <v>558</v>
      </c>
      <c r="F532" s="99" t="str">
        <f>IF(ISNUMBER(E532),ROUND(E532*$D532,2),"")</f>
        <v/>
      </c>
      <c r="G532" s="35"/>
      <c r="H532" s="31"/>
      <c r="I532" s="156">
        <v>0</v>
      </c>
    </row>
    <row r="533" spans="1:9" hidden="1" x14ac:dyDescent="0.25">
      <c r="A533" s="209"/>
      <c r="B533" s="36" t="s">
        <v>750</v>
      </c>
      <c r="C533" s="50" t="s">
        <v>742</v>
      </c>
      <c r="D533" s="37">
        <v>8.0998000000000001</v>
      </c>
      <c r="E533" s="34">
        <v>22.704999999999998</v>
      </c>
      <c r="F533" s="34">
        <f>IF(ISNUMBER(E533),ROUND(E533*$D533,2),"")</f>
        <v>183.91</v>
      </c>
      <c r="G533" s="45">
        <f>SUM(F533:F535)</f>
        <v>826.81</v>
      </c>
      <c r="H533" s="46"/>
      <c r="I533" s="156">
        <v>0</v>
      </c>
    </row>
    <row r="534" spans="1:9" hidden="1" x14ac:dyDescent="0.25">
      <c r="A534" s="209"/>
      <c r="B534" s="36" t="s">
        <v>743</v>
      </c>
      <c r="C534" s="50" t="s">
        <v>742</v>
      </c>
      <c r="D534" s="37">
        <v>5.7291999999999996</v>
      </c>
      <c r="E534" s="34">
        <v>16.729499999999998</v>
      </c>
      <c r="F534" s="34">
        <f>IF(ISNUMBER(E534),ROUND(E534*$D534,2),"")</f>
        <v>95.85</v>
      </c>
      <c r="G534" s="45"/>
      <c r="H534" s="46"/>
      <c r="I534" s="156">
        <v>0</v>
      </c>
    </row>
    <row r="535" spans="1:9" ht="38.25" hidden="1" x14ac:dyDescent="0.25">
      <c r="A535" s="209"/>
      <c r="B535" s="36" t="s">
        <v>3290</v>
      </c>
      <c r="C535" s="50" t="s">
        <v>122</v>
      </c>
      <c r="D535" s="37">
        <v>1.2030000000000001</v>
      </c>
      <c r="E535" s="31">
        <v>454.73624813599997</v>
      </c>
      <c r="F535" s="34">
        <f>IF(ISNUMBER(E535),ROUND(E535*$D535,2),"")</f>
        <v>547.04999999999995</v>
      </c>
      <c r="G535" s="45"/>
      <c r="H535" s="46"/>
      <c r="I535" s="156">
        <v>0</v>
      </c>
    </row>
    <row r="536" spans="1:9" ht="15.75" hidden="1" thickBot="1" x14ac:dyDescent="0.3">
      <c r="A536" s="211"/>
      <c r="B536" s="104"/>
      <c r="C536" s="80"/>
      <c r="D536" s="96"/>
      <c r="E536" s="67" t="s">
        <v>558</v>
      </c>
      <c r="F536" s="67" t="str">
        <f>IF(ISNUMBER(E536),ROUND(E536*$D536,2),"")</f>
        <v/>
      </c>
      <c r="G536" s="69"/>
      <c r="H536" s="31"/>
      <c r="I536" s="156">
        <v>0</v>
      </c>
    </row>
    <row r="537" spans="1:9" ht="26.25" hidden="1" customHeight="1" thickBot="1" x14ac:dyDescent="0.3">
      <c r="A537" s="210" t="s">
        <v>3289</v>
      </c>
      <c r="B537" s="41" t="s">
        <v>558</v>
      </c>
      <c r="C537" s="78" t="s">
        <v>122</v>
      </c>
      <c r="D537" s="94"/>
      <c r="E537" s="42" t="s">
        <v>558</v>
      </c>
      <c r="F537" s="42" t="str">
        <f>IF(ISNUMBER(E537),ROUND(E537*$D537,2),"")</f>
        <v/>
      </c>
      <c r="G537" s="29"/>
      <c r="H537" s="30"/>
      <c r="I537" s="156">
        <v>0</v>
      </c>
    </row>
    <row r="538" spans="1:9" hidden="1" x14ac:dyDescent="0.25">
      <c r="A538" s="209"/>
      <c r="B538" s="32" t="s">
        <v>558</v>
      </c>
      <c r="C538" s="79"/>
      <c r="D538" s="92"/>
      <c r="E538" s="98" t="s">
        <v>558</v>
      </c>
      <c r="F538" s="99" t="str">
        <f>IF(ISNUMBER(E538),ROUND(E538*$D538,2),"")</f>
        <v/>
      </c>
      <c r="G538" s="35"/>
      <c r="H538" s="31"/>
      <c r="I538" s="156">
        <v>0</v>
      </c>
    </row>
    <row r="539" spans="1:9" hidden="1" x14ac:dyDescent="0.25">
      <c r="A539" s="209"/>
      <c r="B539" s="36" t="s">
        <v>750</v>
      </c>
      <c r="C539" s="50" t="s">
        <v>742</v>
      </c>
      <c r="D539" s="37">
        <v>7.2382999999999997</v>
      </c>
      <c r="E539" s="34">
        <v>22.704999999999998</v>
      </c>
      <c r="F539" s="34">
        <f>IF(ISNUMBER(E539),ROUND(E539*$D539,2),"")</f>
        <v>164.35</v>
      </c>
      <c r="G539" s="45">
        <f>SUM(F539:F541)</f>
        <v>797.05</v>
      </c>
      <c r="H539" s="46"/>
      <c r="I539" s="156">
        <v>0</v>
      </c>
    </row>
    <row r="540" spans="1:9" hidden="1" x14ac:dyDescent="0.25">
      <c r="A540" s="209"/>
      <c r="B540" s="36" t="s">
        <v>743</v>
      </c>
      <c r="C540" s="50" t="s">
        <v>742</v>
      </c>
      <c r="D540" s="37">
        <v>5.1196999999999999</v>
      </c>
      <c r="E540" s="34">
        <v>16.729499999999998</v>
      </c>
      <c r="F540" s="34">
        <f>IF(ISNUMBER(E540),ROUND(E540*$D540,2),"")</f>
        <v>85.65</v>
      </c>
      <c r="G540" s="45"/>
      <c r="H540" s="46"/>
      <c r="I540" s="156">
        <v>0</v>
      </c>
    </row>
    <row r="541" spans="1:9" ht="38.25" hidden="1" x14ac:dyDescent="0.25">
      <c r="A541" s="209"/>
      <c r="B541" s="36" t="s">
        <v>3290</v>
      </c>
      <c r="C541" s="50" t="s">
        <v>122</v>
      </c>
      <c r="D541" s="37">
        <v>1.2030000000000001</v>
      </c>
      <c r="E541" s="31">
        <v>454.73624813599997</v>
      </c>
      <c r="F541" s="34">
        <f>IF(ISNUMBER(E541),ROUND(E541*$D541,2),"")</f>
        <v>547.04999999999995</v>
      </c>
      <c r="G541" s="45"/>
      <c r="H541" s="46"/>
      <c r="I541" s="156">
        <v>0</v>
      </c>
    </row>
    <row r="542" spans="1:9" ht="15.75" hidden="1" thickBot="1" x14ac:dyDescent="0.3">
      <c r="A542" s="211"/>
      <c r="B542" s="104"/>
      <c r="C542" s="80"/>
      <c r="D542" s="96"/>
      <c r="E542" s="67" t="s">
        <v>558</v>
      </c>
      <c r="F542" s="67" t="str">
        <f>IF(ISNUMBER(E542),ROUND(E542*$D542,2),"")</f>
        <v/>
      </c>
      <c r="G542" s="69"/>
      <c r="H542" s="31"/>
      <c r="I542" s="156">
        <v>0</v>
      </c>
    </row>
    <row r="543" spans="1:9" ht="26.25" hidden="1" customHeight="1" thickBot="1" x14ac:dyDescent="0.3">
      <c r="A543" s="210" t="s">
        <v>3282</v>
      </c>
      <c r="B543" s="41" t="s">
        <v>558</v>
      </c>
      <c r="C543" s="78" t="s">
        <v>938</v>
      </c>
      <c r="D543" s="94"/>
      <c r="E543" s="42" t="s">
        <v>558</v>
      </c>
      <c r="F543" s="42" t="str">
        <f>IF(ISNUMBER(E543),ROUND(E543*$D543,2),"")</f>
        <v/>
      </c>
      <c r="G543" s="29"/>
      <c r="H543" s="30"/>
      <c r="I543" s="156">
        <v>0</v>
      </c>
    </row>
    <row r="544" spans="1:9" hidden="1" x14ac:dyDescent="0.25">
      <c r="A544" s="209"/>
      <c r="B544" s="32" t="s">
        <v>558</v>
      </c>
      <c r="C544" s="79"/>
      <c r="D544" s="92"/>
      <c r="E544" s="98" t="s">
        <v>558</v>
      </c>
      <c r="F544" s="99" t="str">
        <f>IF(ISNUMBER(E544),ROUND(E544*$D544,2),"")</f>
        <v/>
      </c>
      <c r="G544" s="35"/>
      <c r="H544" s="31"/>
      <c r="I544" s="156">
        <v>0</v>
      </c>
    </row>
    <row r="545" spans="1:9" hidden="1" x14ac:dyDescent="0.25">
      <c r="A545" s="209"/>
      <c r="B545" s="36" t="s">
        <v>810</v>
      </c>
      <c r="C545" s="50" t="s">
        <v>938</v>
      </c>
      <c r="D545" s="37">
        <v>1</v>
      </c>
      <c r="E545" s="34">
        <v>11.561499999999999</v>
      </c>
      <c r="F545" s="34">
        <f>IF(ISNUMBER(E545),ROUND(E545*$D545,2),"")</f>
        <v>11.56</v>
      </c>
      <c r="G545" s="45">
        <f>SUM(F545:F547)</f>
        <v>13.72</v>
      </c>
      <c r="H545" s="46"/>
      <c r="I545" s="156">
        <v>0</v>
      </c>
    </row>
    <row r="546" spans="1:9" hidden="1" x14ac:dyDescent="0.25">
      <c r="A546" s="209"/>
      <c r="B546" s="36" t="s">
        <v>750</v>
      </c>
      <c r="C546" s="50" t="s">
        <v>742</v>
      </c>
      <c r="D546" s="37">
        <v>6.2700000000000006E-2</v>
      </c>
      <c r="E546" s="34">
        <v>22.704999999999998</v>
      </c>
      <c r="F546" s="34">
        <f>IF(ISNUMBER(E546),ROUND(E546*$D546,2),"")</f>
        <v>1.42</v>
      </c>
      <c r="G546" s="45"/>
      <c r="H546" s="46"/>
      <c r="I546" s="156">
        <v>0</v>
      </c>
    </row>
    <row r="547" spans="1:9" hidden="1" x14ac:dyDescent="0.25">
      <c r="A547" s="209"/>
      <c r="B547" s="36" t="s">
        <v>743</v>
      </c>
      <c r="C547" s="50" t="s">
        <v>742</v>
      </c>
      <c r="D547" s="37">
        <v>4.4299999999999999E-2</v>
      </c>
      <c r="E547" s="31">
        <v>16.729499999999998</v>
      </c>
      <c r="F547" s="34">
        <f>IF(ISNUMBER(E547),ROUND(E547*$D547,2),"")</f>
        <v>0.74</v>
      </c>
      <c r="G547" s="45"/>
      <c r="H547" s="46"/>
      <c r="I547" s="156">
        <v>0</v>
      </c>
    </row>
    <row r="548" spans="1:9" ht="15.75" hidden="1" thickBot="1" x14ac:dyDescent="0.3">
      <c r="A548" s="211"/>
      <c r="B548" s="104"/>
      <c r="C548" s="80"/>
      <c r="D548" s="96"/>
      <c r="E548" s="67" t="s">
        <v>558</v>
      </c>
      <c r="F548" s="67" t="str">
        <f>IF(ISNUMBER(E548),ROUND(E548*$D548,2),"")</f>
        <v/>
      </c>
      <c r="G548" s="69"/>
      <c r="H548" s="31"/>
      <c r="I548" s="156">
        <v>0</v>
      </c>
    </row>
    <row r="549" spans="1:9" ht="26.25" hidden="1" customHeight="1" thickBot="1" x14ac:dyDescent="0.3">
      <c r="A549" s="210" t="s">
        <v>3283</v>
      </c>
      <c r="B549" s="41" t="s">
        <v>558</v>
      </c>
      <c r="C549" s="78" t="s">
        <v>938</v>
      </c>
      <c r="D549" s="94"/>
      <c r="E549" s="42" t="s">
        <v>558</v>
      </c>
      <c r="F549" s="42" t="str">
        <f>IF(ISNUMBER(E549),ROUND(E549*$D549,2),"")</f>
        <v/>
      </c>
      <c r="G549" s="29"/>
      <c r="H549" s="30"/>
      <c r="I549" s="156">
        <v>0</v>
      </c>
    </row>
    <row r="550" spans="1:9" hidden="1" x14ac:dyDescent="0.25">
      <c r="A550" s="209"/>
      <c r="B550" s="32" t="s">
        <v>558</v>
      </c>
      <c r="C550" s="79"/>
      <c r="D550" s="92"/>
      <c r="E550" s="98" t="s">
        <v>558</v>
      </c>
      <c r="F550" s="99" t="str">
        <f>IF(ISNUMBER(E550),ROUND(E550*$D550,2),"")</f>
        <v/>
      </c>
      <c r="G550" s="35"/>
      <c r="H550" s="31"/>
      <c r="I550" s="156">
        <v>0</v>
      </c>
    </row>
    <row r="551" spans="1:9" hidden="1" x14ac:dyDescent="0.25">
      <c r="A551" s="209"/>
      <c r="B551" s="36" t="s">
        <v>810</v>
      </c>
      <c r="C551" s="50" t="s">
        <v>938</v>
      </c>
      <c r="D551" s="37">
        <v>1</v>
      </c>
      <c r="E551" s="34">
        <v>11.561499999999999</v>
      </c>
      <c r="F551" s="34">
        <f>IF(ISNUMBER(E551),ROUND(E551*$D551,2),"")</f>
        <v>11.56</v>
      </c>
      <c r="G551" s="45">
        <f>SUM(F551:F553)</f>
        <v>13.26</v>
      </c>
      <c r="H551" s="46"/>
      <c r="I551" s="156">
        <v>0</v>
      </c>
    </row>
    <row r="552" spans="1:9" hidden="1" x14ac:dyDescent="0.25">
      <c r="A552" s="209"/>
      <c r="B552" s="36" t="s">
        <v>750</v>
      </c>
      <c r="C552" s="50" t="s">
        <v>742</v>
      </c>
      <c r="D552" s="37">
        <v>4.9200000000000001E-2</v>
      </c>
      <c r="E552" s="34">
        <v>22.704999999999998</v>
      </c>
      <c r="F552" s="34">
        <f>IF(ISNUMBER(E552),ROUND(E552*$D552,2),"")</f>
        <v>1.1200000000000001</v>
      </c>
      <c r="G552" s="45"/>
      <c r="H552" s="46"/>
      <c r="I552" s="156">
        <v>0</v>
      </c>
    </row>
    <row r="553" spans="1:9" hidden="1" x14ac:dyDescent="0.25">
      <c r="A553" s="209"/>
      <c r="B553" s="36" t="s">
        <v>743</v>
      </c>
      <c r="C553" s="50" t="s">
        <v>742</v>
      </c>
      <c r="D553" s="37">
        <v>3.4799999999999998E-2</v>
      </c>
      <c r="E553" s="31">
        <v>16.729499999999998</v>
      </c>
      <c r="F553" s="34">
        <f>IF(ISNUMBER(E553),ROUND(E553*$D553,2),"")</f>
        <v>0.57999999999999996</v>
      </c>
      <c r="G553" s="45"/>
      <c r="H553" s="46"/>
      <c r="I553" s="156">
        <v>0</v>
      </c>
    </row>
    <row r="554" spans="1:9" ht="15.75" hidden="1" thickBot="1" x14ac:dyDescent="0.3">
      <c r="A554" s="211"/>
      <c r="B554" s="104"/>
      <c r="C554" s="80"/>
      <c r="D554" s="96"/>
      <c r="E554" s="67" t="s">
        <v>558</v>
      </c>
      <c r="F554" s="67" t="str">
        <f>IF(ISNUMBER(E554),ROUND(E554*$D554,2),"")</f>
        <v/>
      </c>
      <c r="G554" s="69"/>
      <c r="H554" s="31"/>
      <c r="I554" s="156">
        <v>0</v>
      </c>
    </row>
    <row r="555" spans="1:9" ht="15.75" hidden="1" thickBot="1" x14ac:dyDescent="0.3">
      <c r="A555" s="210" t="s">
        <v>3777</v>
      </c>
      <c r="B555" s="41" t="s">
        <v>558</v>
      </c>
      <c r="C555" s="26" t="s">
        <v>1034</v>
      </c>
      <c r="D555" s="94"/>
      <c r="E555" s="28" t="s">
        <v>558</v>
      </c>
      <c r="F555" s="28" t="str">
        <f>IF(ISNUMBER(E555),E555*$D555,"")</f>
        <v/>
      </c>
      <c r="G555" s="29"/>
      <c r="H555" s="30"/>
      <c r="I555" s="156">
        <v>0</v>
      </c>
    </row>
    <row r="556" spans="1:9" hidden="1" x14ac:dyDescent="0.25">
      <c r="A556" s="209"/>
      <c r="B556" s="32" t="s">
        <v>558</v>
      </c>
      <c r="C556" s="32"/>
      <c r="D556" s="92"/>
      <c r="E556" s="31" t="s">
        <v>558</v>
      </c>
      <c r="F556" s="31" t="str">
        <f>IF(ISNUMBER(E556),E556*$D556,"")</f>
        <v/>
      </c>
      <c r="G556" s="35"/>
      <c r="H556" s="31"/>
      <c r="I556" s="156">
        <v>0</v>
      </c>
    </row>
    <row r="557" spans="1:9" hidden="1" x14ac:dyDescent="0.25">
      <c r="A557" s="209"/>
      <c r="B557" s="36" t="s">
        <v>750</v>
      </c>
      <c r="C557" s="36" t="s">
        <v>742</v>
      </c>
      <c r="D557" s="37">
        <v>5.0700000000000002E-2</v>
      </c>
      <c r="E557" s="31">
        <v>22.704999999999998</v>
      </c>
      <c r="F557" s="34">
        <f>IF(ISNUMBER(E557),E557*$D557,"")</f>
        <v>1.1511434999999999</v>
      </c>
      <c r="G557" s="45">
        <f>SUM(F557:F560)</f>
        <v>2.4927334999999995</v>
      </c>
      <c r="H557" s="46"/>
      <c r="I557" s="156">
        <v>0</v>
      </c>
    </row>
    <row r="558" spans="1:9" hidden="1" x14ac:dyDescent="0.25">
      <c r="A558" s="209"/>
      <c r="B558" s="36" t="s">
        <v>743</v>
      </c>
      <c r="C558" s="36" t="s">
        <v>742</v>
      </c>
      <c r="D558" s="37">
        <v>7.5999999999999998E-2</v>
      </c>
      <c r="E558" s="34">
        <v>16.729499999999998</v>
      </c>
      <c r="F558" s="34">
        <f>IF(ISNUMBER(E558),E558*$D558,"")</f>
        <v>1.2714419999999997</v>
      </c>
      <c r="G558" s="45"/>
      <c r="H558" s="46"/>
      <c r="I558" s="156">
        <v>0</v>
      </c>
    </row>
    <row r="559" spans="1:9" ht="38.25" hidden="1" x14ac:dyDescent="0.25">
      <c r="A559" s="209"/>
      <c r="B559" s="36" t="s">
        <v>981</v>
      </c>
      <c r="C559" s="36" t="s">
        <v>982</v>
      </c>
      <c r="D559" s="37">
        <v>1.6000000000000001E-3</v>
      </c>
      <c r="E559" s="31">
        <v>25.402999999999999</v>
      </c>
      <c r="F559" s="34">
        <f>IF(ISNUMBER(E559),E559*$D559,"")</f>
        <v>4.0644800000000002E-2</v>
      </c>
      <c r="G559" s="45"/>
      <c r="H559" s="46"/>
      <c r="I559" s="156">
        <v>0</v>
      </c>
    </row>
    <row r="560" spans="1:9" ht="38.25" hidden="1" x14ac:dyDescent="0.25">
      <c r="A560" s="209"/>
      <c r="B560" s="36" t="s">
        <v>983</v>
      </c>
      <c r="C560" s="36" t="s">
        <v>984</v>
      </c>
      <c r="D560" s="37">
        <v>1.6000000000000001E-3</v>
      </c>
      <c r="E560" s="31">
        <v>18.439499999999999</v>
      </c>
      <c r="F560" s="34">
        <f>IF(ISNUMBER(E560),E560*$D560,"")</f>
        <v>2.95032E-2</v>
      </c>
      <c r="G560" s="45"/>
      <c r="H560" s="46"/>
      <c r="I560" s="156">
        <v>0</v>
      </c>
    </row>
    <row r="561" spans="1:9" ht="15.75" hidden="1" thickBot="1" x14ac:dyDescent="0.3">
      <c r="A561" s="211"/>
      <c r="B561" s="55" t="s">
        <v>558</v>
      </c>
      <c r="C561" s="55"/>
      <c r="D561" s="96"/>
      <c r="E561" s="67" t="s">
        <v>558</v>
      </c>
      <c r="F561" s="68" t="str">
        <f>IF(ISNUMBER(E561),E561*$D561,"")</f>
        <v/>
      </c>
      <c r="G561" s="69"/>
      <c r="H561" s="31"/>
      <c r="I561" s="156">
        <v>0</v>
      </c>
    </row>
    <row r="562" spans="1:9" ht="26.25" hidden="1" customHeight="1" thickBot="1" x14ac:dyDescent="0.3">
      <c r="A562" s="210" t="s">
        <v>3301</v>
      </c>
      <c r="B562" s="41" t="s">
        <v>558</v>
      </c>
      <c r="C562" s="78" t="s">
        <v>122</v>
      </c>
      <c r="D562" s="94"/>
      <c r="E562" s="42" t="s">
        <v>558</v>
      </c>
      <c r="F562" s="42" t="str">
        <f>IF(ISNUMBER(E562),ROUND(E562*$D562,2),"")</f>
        <v/>
      </c>
      <c r="G562" s="29"/>
      <c r="H562" s="30"/>
      <c r="I562" s="156">
        <v>0</v>
      </c>
    </row>
    <row r="563" spans="1:9" hidden="1" x14ac:dyDescent="0.25">
      <c r="A563" s="209"/>
      <c r="B563" s="32" t="s">
        <v>558</v>
      </c>
      <c r="C563" s="79"/>
      <c r="D563" s="92"/>
      <c r="E563" s="98" t="s">
        <v>558</v>
      </c>
      <c r="F563" s="99" t="str">
        <f>IF(ISNUMBER(E563),ROUND(E563*$D563,2),"")</f>
        <v/>
      </c>
      <c r="G563" s="35"/>
      <c r="H563" s="31"/>
      <c r="I563" s="156">
        <v>0</v>
      </c>
    </row>
    <row r="564" spans="1:9" ht="25.5" hidden="1" x14ac:dyDescent="0.25">
      <c r="A564" s="209"/>
      <c r="B564" s="36" t="s">
        <v>791</v>
      </c>
      <c r="C564" s="50" t="s">
        <v>122</v>
      </c>
      <c r="D564" s="37">
        <v>1.17</v>
      </c>
      <c r="E564" s="34">
        <v>85.5</v>
      </c>
      <c r="F564" s="34">
        <f>IF(ISNUMBER(E564),ROUND(E564*$D564,2),"")</f>
        <v>100.04</v>
      </c>
      <c r="G564" s="45">
        <f>SUM(F564:F573)</f>
        <v>486.65523483850001</v>
      </c>
      <c r="H564" s="46"/>
      <c r="I564" s="156">
        <v>0</v>
      </c>
    </row>
    <row r="565" spans="1:9" hidden="1" x14ac:dyDescent="0.25">
      <c r="A565" s="209"/>
      <c r="B565" s="36" t="s">
        <v>1514</v>
      </c>
      <c r="C565" s="50" t="s">
        <v>938</v>
      </c>
      <c r="D565" s="37">
        <v>117.22</v>
      </c>
      <c r="E565" s="31">
        <v>0.8929999999999999</v>
      </c>
      <c r="F565" s="34">
        <f>IF(ISNUMBER(E565),ROUND(E565*$D565,2),"")</f>
        <v>104.68</v>
      </c>
      <c r="G565" s="45"/>
      <c r="H565" s="46"/>
      <c r="I565" s="156">
        <v>0</v>
      </c>
    </row>
    <row r="566" spans="1:9" hidden="1" x14ac:dyDescent="0.25">
      <c r="A566" s="209"/>
      <c r="B566" s="36" t="s">
        <v>787</v>
      </c>
      <c r="C566" s="50" t="s">
        <v>938</v>
      </c>
      <c r="D566" s="37">
        <v>263.74</v>
      </c>
      <c r="E566" s="31">
        <v>0.52249999999999996</v>
      </c>
      <c r="F566" s="34">
        <f>IF(ISNUMBER(E566),ROUND(E566*$D566,2),"")</f>
        <v>137.80000000000001</v>
      </c>
      <c r="G566" s="45"/>
      <c r="H566" s="46"/>
      <c r="I566" s="156">
        <v>0</v>
      </c>
    </row>
    <row r="567" spans="1:9" ht="25.5" hidden="1" x14ac:dyDescent="0.25">
      <c r="A567" s="209"/>
      <c r="B567" s="36" t="s">
        <v>1512</v>
      </c>
      <c r="C567" s="36" t="s">
        <v>742</v>
      </c>
      <c r="D567" s="37">
        <v>5.16</v>
      </c>
      <c r="E567" s="31">
        <v>16.928999999999998</v>
      </c>
      <c r="F567" s="34">
        <f>IF(ISNUMBER(E567),E567*$D567,"")</f>
        <v>87.353639999999999</v>
      </c>
      <c r="G567" s="45"/>
      <c r="H567" s="46"/>
      <c r="I567" s="156">
        <v>0</v>
      </c>
    </row>
    <row r="568" spans="1:9" ht="38.25" hidden="1" x14ac:dyDescent="0.25">
      <c r="A568" s="209"/>
      <c r="B568" s="36" t="s">
        <v>119</v>
      </c>
      <c r="C568" s="47" t="s">
        <v>982</v>
      </c>
      <c r="D568" s="37">
        <v>1.2</v>
      </c>
      <c r="E568" s="31">
        <v>1.3774999999999999</v>
      </c>
      <c r="F568" s="34">
        <f>IF(ISNUMBER(E568),E568*$D568,"")</f>
        <v>1.6529999999999998</v>
      </c>
      <c r="G568" s="45"/>
      <c r="H568" s="46"/>
      <c r="I568" s="156">
        <v>0</v>
      </c>
    </row>
    <row r="569" spans="1:9" ht="38.25" hidden="1" x14ac:dyDescent="0.25">
      <c r="A569" s="209"/>
      <c r="B569" s="36" t="s">
        <v>120</v>
      </c>
      <c r="C569" s="47" t="s">
        <v>984</v>
      </c>
      <c r="D569" s="37">
        <v>3.96</v>
      </c>
      <c r="E569" s="31">
        <v>0.30399999999999999</v>
      </c>
      <c r="F569" s="34">
        <f>IF(ISNUMBER(E569),E569*$D569,"")</f>
        <v>1.20384</v>
      </c>
      <c r="G569" s="45"/>
      <c r="H569" s="46"/>
      <c r="I569" s="156">
        <v>0</v>
      </c>
    </row>
    <row r="570" spans="1:9" ht="51" hidden="1" x14ac:dyDescent="0.25">
      <c r="A570" s="209"/>
      <c r="B570" s="36" t="s">
        <v>3617</v>
      </c>
      <c r="C570" s="36" t="s">
        <v>122</v>
      </c>
      <c r="D570" s="37">
        <f>ROUND(1*(D564),4)</f>
        <v>1.17</v>
      </c>
      <c r="E570" s="31">
        <v>6.0919690499999994</v>
      </c>
      <c r="F570" s="34">
        <f>IF(ISNUMBER(E570),E570*$D570,"")</f>
        <v>7.1276037884999992</v>
      </c>
      <c r="G570" s="45"/>
      <c r="H570" s="46"/>
      <c r="I570" s="156">
        <v>0</v>
      </c>
    </row>
    <row r="571" spans="1:9" ht="38.25" hidden="1" x14ac:dyDescent="0.25">
      <c r="A571" s="209"/>
      <c r="B571" s="36" t="s">
        <v>3616</v>
      </c>
      <c r="C571" s="47" t="s">
        <v>124</v>
      </c>
      <c r="D571" s="37">
        <f>ROUND(D564*20,4)</f>
        <v>23.4</v>
      </c>
      <c r="E571" s="31">
        <v>1.9998782499999996</v>
      </c>
      <c r="F571" s="34">
        <f>IF(ISNUMBER(E571),E571*$D571,"")</f>
        <v>46.797151049999989</v>
      </c>
      <c r="G571" s="45"/>
      <c r="H571" s="46"/>
      <c r="I571" s="156">
        <v>0</v>
      </c>
    </row>
    <row r="572" spans="1:9" hidden="1" x14ac:dyDescent="0.25">
      <c r="A572" s="209"/>
      <c r="B572" s="51"/>
      <c r="C572" s="131"/>
      <c r="D572" s="37"/>
      <c r="E572" s="31" t="s">
        <v>558</v>
      </c>
      <c r="F572" s="34" t="str">
        <f>IF(ISNUMBER(E572),ROUND(E572*$D572,2),"")</f>
        <v/>
      </c>
      <c r="G572" s="45"/>
      <c r="H572" s="46"/>
      <c r="I572" s="156">
        <v>0</v>
      </c>
    </row>
    <row r="573" spans="1:9" ht="24.95" hidden="1" customHeight="1" x14ac:dyDescent="0.25">
      <c r="A573" s="209"/>
      <c r="B573" s="48" t="s">
        <v>794</v>
      </c>
      <c r="C573" s="131"/>
      <c r="D573" s="37"/>
      <c r="E573" s="31" t="s">
        <v>558</v>
      </c>
      <c r="F573" s="34" t="str">
        <f>IF(ISNUMBER(E573),ROUND(E573*$D573,2),"")</f>
        <v/>
      </c>
      <c r="G573" s="45"/>
      <c r="H573" s="46"/>
      <c r="I573" s="156">
        <v>0</v>
      </c>
    </row>
    <row r="574" spans="1:9" ht="15.75" hidden="1" thickBot="1" x14ac:dyDescent="0.3">
      <c r="A574" s="211"/>
      <c r="B574" s="104"/>
      <c r="C574" s="80"/>
      <c r="D574" s="96"/>
      <c r="E574" s="67" t="s">
        <v>558</v>
      </c>
      <c r="F574" s="67" t="str">
        <f>IF(ISNUMBER(E574),ROUND(E574*$D574,2),"")</f>
        <v/>
      </c>
      <c r="G574" s="69"/>
      <c r="H574" s="31"/>
      <c r="I574" s="156">
        <v>0</v>
      </c>
    </row>
    <row r="575" spans="1:9" ht="26.25" hidden="1" customHeight="1" thickBot="1" x14ac:dyDescent="0.3">
      <c r="A575" s="210" t="s">
        <v>3285</v>
      </c>
      <c r="B575" s="41" t="s">
        <v>558</v>
      </c>
      <c r="C575" s="78" t="s">
        <v>938</v>
      </c>
      <c r="D575" s="94"/>
      <c r="E575" s="42" t="s">
        <v>558</v>
      </c>
      <c r="F575" s="42" t="str">
        <f>IF(ISNUMBER(E575),ROUND(E575*$D575,2),"")</f>
        <v/>
      </c>
      <c r="G575" s="29"/>
      <c r="H575" s="30"/>
      <c r="I575" s="156">
        <v>0</v>
      </c>
    </row>
    <row r="576" spans="1:9" hidden="1" x14ac:dyDescent="0.25">
      <c r="A576" s="209"/>
      <c r="B576" s="32" t="s">
        <v>558</v>
      </c>
      <c r="C576" s="79"/>
      <c r="D576" s="92"/>
      <c r="E576" s="98" t="s">
        <v>558</v>
      </c>
      <c r="F576" s="99" t="str">
        <f>IF(ISNUMBER(E576),ROUND(E576*$D576,2),"")</f>
        <v/>
      </c>
      <c r="G576" s="35"/>
      <c r="H576" s="31"/>
      <c r="I576" s="156">
        <v>0</v>
      </c>
    </row>
    <row r="577" spans="1:9" hidden="1" x14ac:dyDescent="0.25">
      <c r="A577" s="209"/>
      <c r="B577" s="36" t="s">
        <v>806</v>
      </c>
      <c r="C577" s="50" t="s">
        <v>938</v>
      </c>
      <c r="D577" s="37">
        <v>1.07</v>
      </c>
      <c r="E577" s="34">
        <v>12.197999999999999</v>
      </c>
      <c r="F577" s="34">
        <f>IF(ISNUMBER(E577),ROUND(E577*$D577,2),"")</f>
        <v>13.05</v>
      </c>
      <c r="G577" s="45">
        <f>SUM(F577:F579)</f>
        <v>13.83</v>
      </c>
      <c r="H577" s="46"/>
      <c r="I577" s="156">
        <v>0</v>
      </c>
    </row>
    <row r="578" spans="1:9" hidden="1" x14ac:dyDescent="0.25">
      <c r="A578" s="209"/>
      <c r="B578" s="36" t="s">
        <v>940</v>
      </c>
      <c r="C578" s="50" t="s">
        <v>742</v>
      </c>
      <c r="D578" s="37">
        <v>4.4000000000000003E-3</v>
      </c>
      <c r="E578" s="34">
        <v>17.518000000000001</v>
      </c>
      <c r="F578" s="34">
        <f>IF(ISNUMBER(E578),ROUND(E578*$D578,2),"")</f>
        <v>0.08</v>
      </c>
      <c r="G578" s="45"/>
      <c r="H578" s="46"/>
      <c r="I578" s="156">
        <v>0</v>
      </c>
    </row>
    <row r="579" spans="1:9" hidden="1" x14ac:dyDescent="0.25">
      <c r="A579" s="209"/>
      <c r="B579" s="36" t="s">
        <v>941</v>
      </c>
      <c r="C579" s="50" t="s">
        <v>742</v>
      </c>
      <c r="D579" s="37">
        <v>3.1E-2</v>
      </c>
      <c r="E579" s="31">
        <v>22.591000000000001</v>
      </c>
      <c r="F579" s="34">
        <f>IF(ISNUMBER(E579),ROUND(E579*$D579,2),"")</f>
        <v>0.7</v>
      </c>
      <c r="G579" s="45"/>
      <c r="H579" s="46"/>
      <c r="I579" s="156">
        <v>0</v>
      </c>
    </row>
    <row r="580" spans="1:9" ht="15.75" hidden="1" thickBot="1" x14ac:dyDescent="0.3">
      <c r="A580" s="211"/>
      <c r="B580" s="104"/>
      <c r="C580" s="80"/>
      <c r="D580" s="96"/>
      <c r="E580" s="67" t="s">
        <v>558</v>
      </c>
      <c r="F580" s="67" t="str">
        <f>IF(ISNUMBER(E580),ROUND(E580*$D580,2),"")</f>
        <v/>
      </c>
      <c r="G580" s="69"/>
      <c r="H580" s="31"/>
      <c r="I580" s="156">
        <v>0</v>
      </c>
    </row>
    <row r="581" spans="1:9" ht="26.25" hidden="1" customHeight="1" thickBot="1" x14ac:dyDescent="0.3">
      <c r="A581" s="210" t="s">
        <v>3287</v>
      </c>
      <c r="B581" s="41" t="s">
        <v>558</v>
      </c>
      <c r="C581" s="78" t="s">
        <v>938</v>
      </c>
      <c r="D581" s="94"/>
      <c r="E581" s="42" t="s">
        <v>558</v>
      </c>
      <c r="F581" s="42" t="str">
        <f>IF(ISNUMBER(E581),ROUND(E581*$D581,2),"")</f>
        <v/>
      </c>
      <c r="G581" s="29"/>
      <c r="H581" s="30"/>
      <c r="I581" s="156">
        <v>0</v>
      </c>
    </row>
    <row r="582" spans="1:9" hidden="1" x14ac:dyDescent="0.25">
      <c r="A582" s="209"/>
      <c r="B582" s="32" t="s">
        <v>558</v>
      </c>
      <c r="C582" s="79"/>
      <c r="D582" s="92"/>
      <c r="E582" s="98" t="s">
        <v>558</v>
      </c>
      <c r="F582" s="99" t="str">
        <f>IF(ISNUMBER(E582),ROUND(E582*$D582,2),"")</f>
        <v/>
      </c>
      <c r="G582" s="35"/>
      <c r="H582" s="31"/>
      <c r="I582" s="156">
        <v>0</v>
      </c>
    </row>
    <row r="583" spans="1:9" ht="25.5" hidden="1" x14ac:dyDescent="0.25">
      <c r="A583" s="209"/>
      <c r="B583" s="36" t="s">
        <v>3598</v>
      </c>
      <c r="C583" s="50" t="s">
        <v>938</v>
      </c>
      <c r="D583" s="37">
        <v>0.02</v>
      </c>
      <c r="E583" s="34">
        <v>21.754999999999999</v>
      </c>
      <c r="F583" s="34">
        <f>IF(ISNUMBER(E583),ROUND(E583*$D583,2),"")</f>
        <v>0.44</v>
      </c>
      <c r="G583" s="45">
        <f>SUM(F583:F586)</f>
        <v>12.719999999999999</v>
      </c>
      <c r="H583" s="46"/>
      <c r="I583" s="156">
        <v>0</v>
      </c>
    </row>
    <row r="584" spans="1:9" hidden="1" x14ac:dyDescent="0.25">
      <c r="A584" s="209"/>
      <c r="B584" s="36" t="s">
        <v>940</v>
      </c>
      <c r="C584" s="50" t="s">
        <v>742</v>
      </c>
      <c r="D584" s="37">
        <v>5.0000000000000001E-3</v>
      </c>
      <c r="E584" s="34">
        <v>17.518000000000001</v>
      </c>
      <c r="F584" s="34">
        <f>IF(ISNUMBER(E584),ROUND(E584*$D584,2),"")</f>
        <v>0.09</v>
      </c>
      <c r="G584" s="45"/>
      <c r="H584" s="46"/>
      <c r="I584" s="156">
        <v>0</v>
      </c>
    </row>
    <row r="585" spans="1:9" hidden="1" x14ac:dyDescent="0.25">
      <c r="A585" s="209"/>
      <c r="B585" s="36" t="s">
        <v>941</v>
      </c>
      <c r="C585" s="50" t="s">
        <v>742</v>
      </c>
      <c r="D585" s="37">
        <v>4.3999999999999997E-2</v>
      </c>
      <c r="E585" s="34">
        <v>22.591000000000001</v>
      </c>
      <c r="F585" s="34">
        <f>IF(ISNUMBER(E585),ROUND(E585*$D585,2),"")</f>
        <v>0.99</v>
      </c>
      <c r="G585" s="45"/>
      <c r="H585" s="46"/>
      <c r="I585" s="156">
        <v>0</v>
      </c>
    </row>
    <row r="586" spans="1:9" ht="25.5" hidden="1" x14ac:dyDescent="0.25">
      <c r="A586" s="209"/>
      <c r="B586" s="36" t="s">
        <v>3284</v>
      </c>
      <c r="C586" s="50" t="s">
        <v>938</v>
      </c>
      <c r="D586" s="37">
        <v>1</v>
      </c>
      <c r="E586" s="31">
        <v>11.1980167</v>
      </c>
      <c r="F586" s="34">
        <f>IF(ISNUMBER(E586),ROUND(E586*$D586,2),"")</f>
        <v>11.2</v>
      </c>
      <c r="G586" s="45"/>
      <c r="H586" s="46"/>
      <c r="I586" s="156">
        <v>0</v>
      </c>
    </row>
    <row r="587" spans="1:9" ht="15.75" hidden="1" thickBot="1" x14ac:dyDescent="0.3">
      <c r="A587" s="211"/>
      <c r="B587" s="104"/>
      <c r="C587" s="80"/>
      <c r="D587" s="96"/>
      <c r="E587" s="67" t="s">
        <v>558</v>
      </c>
      <c r="F587" s="67" t="str">
        <f>IF(ISNUMBER(E587),ROUND(E587*$D587,2),"")</f>
        <v/>
      </c>
      <c r="G587" s="69"/>
      <c r="H587" s="31"/>
      <c r="I587" s="156">
        <v>0</v>
      </c>
    </row>
    <row r="588" spans="1:9" ht="26.25" hidden="1" customHeight="1" thickBot="1" x14ac:dyDescent="0.3">
      <c r="A588" s="210" t="s">
        <v>3615</v>
      </c>
      <c r="B588" s="41" t="s">
        <v>558</v>
      </c>
      <c r="C588" s="78" t="s">
        <v>1511</v>
      </c>
      <c r="D588" s="94"/>
      <c r="E588" s="42" t="s">
        <v>558</v>
      </c>
      <c r="F588" s="42" t="str">
        <f>IF(ISNUMBER(E588),ROUND(E588*$D588,2),"")</f>
        <v/>
      </c>
      <c r="G588" s="29"/>
      <c r="H588" s="30"/>
      <c r="I588" s="156">
        <v>0</v>
      </c>
    </row>
    <row r="589" spans="1:9" hidden="1" x14ac:dyDescent="0.25">
      <c r="A589" s="209"/>
      <c r="B589" s="32" t="s">
        <v>558</v>
      </c>
      <c r="C589" s="79"/>
      <c r="D589" s="92"/>
      <c r="E589" s="98" t="s">
        <v>558</v>
      </c>
      <c r="F589" s="99" t="str">
        <f>IF(ISNUMBER(E589),ROUND(E589*$D589,2),"")</f>
        <v/>
      </c>
      <c r="G589" s="35"/>
      <c r="H589" s="31"/>
      <c r="I589" s="156">
        <v>0</v>
      </c>
    </row>
    <row r="590" spans="1:9" ht="51" hidden="1" x14ac:dyDescent="0.25">
      <c r="A590" s="209"/>
      <c r="B590" s="36" t="s">
        <v>1119</v>
      </c>
      <c r="C590" s="50" t="s">
        <v>982</v>
      </c>
      <c r="D590" s="37">
        <v>1.52E-2</v>
      </c>
      <c r="E590" s="34">
        <v>127.72749999999998</v>
      </c>
      <c r="F590" s="34">
        <f>IF(ISNUMBER(E590),ROUND(E590*$D590,2),"")</f>
        <v>1.94</v>
      </c>
      <c r="G590" s="45">
        <f>SUM(F590:F591)</f>
        <v>2.1799999999999997</v>
      </c>
      <c r="H590" s="46"/>
      <c r="I590" s="156">
        <v>0</v>
      </c>
    </row>
    <row r="591" spans="1:9" ht="51" hidden="1" x14ac:dyDescent="0.25">
      <c r="A591" s="209"/>
      <c r="B591" s="36" t="s">
        <v>1120</v>
      </c>
      <c r="C591" s="50" t="s">
        <v>984</v>
      </c>
      <c r="D591" s="37">
        <v>6.4999999999999997E-3</v>
      </c>
      <c r="E591" s="34">
        <v>37.411000000000001</v>
      </c>
      <c r="F591" s="34">
        <f>IF(ISNUMBER(E591),ROUND(E591*$D591,2),"")</f>
        <v>0.24</v>
      </c>
      <c r="G591" s="45"/>
      <c r="H591" s="46"/>
      <c r="I591" s="156">
        <v>0</v>
      </c>
    </row>
    <row r="592" spans="1:9" ht="15.75" hidden="1" thickBot="1" x14ac:dyDescent="0.3">
      <c r="A592" s="211"/>
      <c r="B592" s="104"/>
      <c r="C592" s="80"/>
      <c r="D592" s="96"/>
      <c r="E592" s="67" t="s">
        <v>558</v>
      </c>
      <c r="F592" s="67" t="str">
        <f>IF(ISNUMBER(E592),ROUND(E592*$D592,2),"")</f>
        <v/>
      </c>
      <c r="G592" s="69"/>
      <c r="H592" s="31"/>
      <c r="I592" s="156">
        <v>0</v>
      </c>
    </row>
    <row r="593" spans="1:9" ht="26.25" hidden="1" customHeight="1" thickBot="1" x14ac:dyDescent="0.3">
      <c r="A593" s="210" t="s">
        <v>3306</v>
      </c>
      <c r="B593" s="41" t="s">
        <v>558</v>
      </c>
      <c r="C593" s="78" t="s">
        <v>122</v>
      </c>
      <c r="D593" s="94"/>
      <c r="E593" s="42" t="s">
        <v>558</v>
      </c>
      <c r="F593" s="42" t="str">
        <f>IF(ISNUMBER(E593),ROUND(E593*$D593,2),"")</f>
        <v/>
      </c>
      <c r="G593" s="29"/>
      <c r="H593" s="30"/>
      <c r="I593" s="156">
        <v>0</v>
      </c>
    </row>
    <row r="594" spans="1:9" hidden="1" x14ac:dyDescent="0.25">
      <c r="A594" s="209"/>
      <c r="B594" s="32" t="s">
        <v>558</v>
      </c>
      <c r="C594" s="79"/>
      <c r="D594" s="92"/>
      <c r="E594" s="98" t="s">
        <v>558</v>
      </c>
      <c r="F594" s="99" t="str">
        <f>IF(ISNUMBER(E594),ROUND(E594*$D594,2),"")</f>
        <v/>
      </c>
      <c r="G594" s="35"/>
      <c r="H594" s="31"/>
      <c r="I594" s="156">
        <v>0</v>
      </c>
    </row>
    <row r="595" spans="1:9" ht="25.5" hidden="1" x14ac:dyDescent="0.25">
      <c r="A595" s="209"/>
      <c r="B595" s="36" t="s">
        <v>791</v>
      </c>
      <c r="C595" s="50" t="s">
        <v>122</v>
      </c>
      <c r="D595" s="37">
        <v>1.19</v>
      </c>
      <c r="E595" s="34">
        <v>85.5</v>
      </c>
      <c r="F595" s="34">
        <f>IF(ISNUMBER(E595),ROUND(E595*$D595,2),"")</f>
        <v>101.75</v>
      </c>
      <c r="G595" s="45">
        <f>SUM(F595:F604)</f>
        <v>466.44189051949996</v>
      </c>
      <c r="H595" s="46"/>
      <c r="I595" s="156">
        <v>0</v>
      </c>
    </row>
    <row r="596" spans="1:9" hidden="1" x14ac:dyDescent="0.25">
      <c r="A596" s="209"/>
      <c r="B596" s="36" t="s">
        <v>1514</v>
      </c>
      <c r="C596" s="50" t="s">
        <v>938</v>
      </c>
      <c r="D596" s="37">
        <v>158.94999999999999</v>
      </c>
      <c r="E596" s="31">
        <v>0.8929999999999999</v>
      </c>
      <c r="F596" s="34">
        <f>IF(ISNUMBER(E596),ROUND(E596*$D596,2),"")</f>
        <v>141.94</v>
      </c>
      <c r="G596" s="45"/>
      <c r="H596" s="46"/>
      <c r="I596" s="156">
        <v>0</v>
      </c>
    </row>
    <row r="597" spans="1:9" hidden="1" x14ac:dyDescent="0.25">
      <c r="A597" s="209"/>
      <c r="B597" s="36" t="s">
        <v>787</v>
      </c>
      <c r="C597" s="50" t="s">
        <v>938</v>
      </c>
      <c r="D597" s="37">
        <v>178.82</v>
      </c>
      <c r="E597" s="31">
        <v>0.52249999999999996</v>
      </c>
      <c r="F597" s="34">
        <f>IF(ISNUMBER(E597),ROUND(E597*$D597,2),"")</f>
        <v>93.43</v>
      </c>
      <c r="G597" s="45"/>
      <c r="H597" s="46"/>
      <c r="I597" s="156">
        <v>0</v>
      </c>
    </row>
    <row r="598" spans="1:9" ht="25.5" hidden="1" x14ac:dyDescent="0.25">
      <c r="A598" s="209"/>
      <c r="B598" s="36" t="s">
        <v>1512</v>
      </c>
      <c r="C598" s="36" t="s">
        <v>742</v>
      </c>
      <c r="D598" s="37">
        <v>4.26</v>
      </c>
      <c r="E598" s="31">
        <v>16.928999999999998</v>
      </c>
      <c r="F598" s="34">
        <f>IF(ISNUMBER(E598),E598*$D598,"")</f>
        <v>72.117539999999991</v>
      </c>
      <c r="G598" s="45"/>
      <c r="H598" s="46"/>
      <c r="I598" s="156">
        <v>0</v>
      </c>
    </row>
    <row r="599" spans="1:9" ht="38.25" hidden="1" x14ac:dyDescent="0.25">
      <c r="A599" s="209"/>
      <c r="B599" s="36" t="s">
        <v>119</v>
      </c>
      <c r="C599" s="47" t="s">
        <v>982</v>
      </c>
      <c r="D599" s="37">
        <v>0.99</v>
      </c>
      <c r="E599" s="31">
        <v>1.3774999999999999</v>
      </c>
      <c r="F599" s="34">
        <f>IF(ISNUMBER(E599),E599*$D599,"")</f>
        <v>1.3637249999999999</v>
      </c>
      <c r="G599" s="45"/>
      <c r="H599" s="46"/>
      <c r="I599" s="156">
        <v>0</v>
      </c>
    </row>
    <row r="600" spans="1:9" ht="38.25" hidden="1" x14ac:dyDescent="0.25">
      <c r="A600" s="209"/>
      <c r="B600" s="36" t="s">
        <v>120</v>
      </c>
      <c r="C600" s="47" t="s">
        <v>984</v>
      </c>
      <c r="D600" s="37">
        <v>3.27</v>
      </c>
      <c r="E600" s="31">
        <v>0.30399999999999999</v>
      </c>
      <c r="F600" s="34">
        <f>IF(ISNUMBER(E600),E600*$D600,"")</f>
        <v>0.99407999999999996</v>
      </c>
      <c r="G600" s="45"/>
      <c r="H600" s="46"/>
      <c r="I600" s="156">
        <v>0</v>
      </c>
    </row>
    <row r="601" spans="1:9" ht="51" hidden="1" x14ac:dyDescent="0.25">
      <c r="A601" s="209"/>
      <c r="B601" s="36" t="s">
        <v>3617</v>
      </c>
      <c r="C601" s="36" t="s">
        <v>122</v>
      </c>
      <c r="D601" s="37">
        <f>ROUND(1*(D595),4)</f>
        <v>1.19</v>
      </c>
      <c r="E601" s="31">
        <v>6.0919690499999994</v>
      </c>
      <c r="F601" s="34">
        <f>IF(ISNUMBER(E601),E601*$D601,"")</f>
        <v>7.2494431694999992</v>
      </c>
      <c r="G601" s="45"/>
      <c r="H601" s="46"/>
      <c r="I601" s="156">
        <v>0</v>
      </c>
    </row>
    <row r="602" spans="1:9" ht="38.25" hidden="1" x14ac:dyDescent="0.25">
      <c r="A602" s="209"/>
      <c r="B602" s="36" t="s">
        <v>3616</v>
      </c>
      <c r="C602" s="47" t="s">
        <v>124</v>
      </c>
      <c r="D602" s="37">
        <f>ROUND(D595*20,4)</f>
        <v>23.8</v>
      </c>
      <c r="E602" s="31">
        <v>1.9998782499999996</v>
      </c>
      <c r="F602" s="34">
        <f>IF(ISNUMBER(E602),E602*$D602,"")</f>
        <v>47.597102349999993</v>
      </c>
      <c r="G602" s="45"/>
      <c r="H602" s="46"/>
      <c r="I602" s="156">
        <v>0</v>
      </c>
    </row>
    <row r="603" spans="1:9" hidden="1" x14ac:dyDescent="0.25">
      <c r="A603" s="209"/>
      <c r="B603" s="51"/>
      <c r="C603" s="131"/>
      <c r="D603" s="37"/>
      <c r="E603" s="31" t="s">
        <v>558</v>
      </c>
      <c r="F603" s="34" t="str">
        <f t="shared" ref="F603:F605" si="0">IF(ISNUMBER(E603),ROUND(E603*$D603,2),"")</f>
        <v/>
      </c>
      <c r="G603" s="45"/>
      <c r="H603" s="46"/>
      <c r="I603" s="156">
        <v>0</v>
      </c>
    </row>
    <row r="604" spans="1:9" ht="24.95" hidden="1" customHeight="1" x14ac:dyDescent="0.25">
      <c r="A604" s="209"/>
      <c r="B604" s="48" t="s">
        <v>794</v>
      </c>
      <c r="C604" s="131"/>
      <c r="D604" s="37"/>
      <c r="E604" s="31" t="s">
        <v>558</v>
      </c>
      <c r="F604" s="34" t="str">
        <f t="shared" si="0"/>
        <v/>
      </c>
      <c r="G604" s="45"/>
      <c r="H604" s="46"/>
      <c r="I604" s="156">
        <v>0</v>
      </c>
    </row>
    <row r="605" spans="1:9" ht="15.75" hidden="1" thickBot="1" x14ac:dyDescent="0.3">
      <c r="A605" s="211"/>
      <c r="B605" s="104"/>
      <c r="C605" s="80"/>
      <c r="D605" s="96"/>
      <c r="E605" s="67" t="s">
        <v>558</v>
      </c>
      <c r="F605" s="67" t="str">
        <f t="shared" si="0"/>
        <v/>
      </c>
      <c r="G605" s="69"/>
      <c r="H605" s="31"/>
      <c r="I605" s="156">
        <v>0</v>
      </c>
    </row>
    <row r="606" spans="1:9" ht="15.75" hidden="1" thickBot="1" x14ac:dyDescent="0.3">
      <c r="A606" s="210" t="s">
        <v>3286</v>
      </c>
      <c r="B606" s="41" t="s">
        <v>558</v>
      </c>
      <c r="C606" s="26" t="s">
        <v>938</v>
      </c>
      <c r="D606" s="94"/>
      <c r="E606" s="42" t="s">
        <v>558</v>
      </c>
      <c r="F606" s="42" t="str">
        <f t="shared" ref="F606:F624" si="1">IF(ISNUMBER(E606),E606*$D606,"")</f>
        <v/>
      </c>
      <c r="G606" s="29"/>
      <c r="H606" s="30"/>
      <c r="I606" s="156">
        <v>0</v>
      </c>
    </row>
    <row r="607" spans="1:9" hidden="1" x14ac:dyDescent="0.25">
      <c r="A607" s="209"/>
      <c r="B607" s="32" t="s">
        <v>558</v>
      </c>
      <c r="C607" s="32"/>
      <c r="D607" s="92"/>
      <c r="E607" s="43" t="s">
        <v>558</v>
      </c>
      <c r="F607" s="31" t="str">
        <f t="shared" si="1"/>
        <v/>
      </c>
      <c r="G607" s="35"/>
      <c r="H607" s="31"/>
      <c r="I607" s="156">
        <v>0</v>
      </c>
    </row>
    <row r="608" spans="1:9" ht="25.5" hidden="1" x14ac:dyDescent="0.25">
      <c r="A608" s="209"/>
      <c r="B608" s="36" t="s">
        <v>3320</v>
      </c>
      <c r="C608" s="36" t="s">
        <v>938</v>
      </c>
      <c r="D608" s="37">
        <v>1.1100000000000001</v>
      </c>
      <c r="E608" s="34">
        <v>12.416499999999999</v>
      </c>
      <c r="F608" s="34">
        <f t="shared" si="1"/>
        <v>13.782315000000001</v>
      </c>
      <c r="G608" s="45">
        <f>SUM(F608:F609)</f>
        <v>13.8659017</v>
      </c>
      <c r="H608" s="46"/>
      <c r="I608" s="156">
        <v>0</v>
      </c>
    </row>
    <row r="609" spans="1:9" hidden="1" x14ac:dyDescent="0.25">
      <c r="A609" s="209"/>
      <c r="B609" s="36" t="s">
        <v>941</v>
      </c>
      <c r="C609" s="36" t="s">
        <v>742</v>
      </c>
      <c r="D609" s="37">
        <v>3.7000000000000002E-3</v>
      </c>
      <c r="E609" s="34">
        <v>22.591000000000001</v>
      </c>
      <c r="F609" s="34">
        <f t="shared" si="1"/>
        <v>8.3586700000000014E-2</v>
      </c>
      <c r="G609" s="45"/>
      <c r="H609" s="46"/>
      <c r="I609" s="156">
        <v>0</v>
      </c>
    </row>
    <row r="610" spans="1:9" hidden="1" x14ac:dyDescent="0.25">
      <c r="A610" s="209"/>
      <c r="B610" s="36" t="s">
        <v>558</v>
      </c>
      <c r="C610" s="36"/>
      <c r="D610" s="93"/>
      <c r="E610" s="31" t="s">
        <v>558</v>
      </c>
      <c r="F610" s="31" t="str">
        <f t="shared" si="1"/>
        <v/>
      </c>
      <c r="G610" s="35"/>
      <c r="H610" s="31"/>
      <c r="I610" s="156">
        <v>0</v>
      </c>
    </row>
    <row r="611" spans="1:9" ht="15.75" hidden="1" thickBot="1" x14ac:dyDescent="0.3">
      <c r="A611" s="210" t="s">
        <v>1115</v>
      </c>
      <c r="B611" s="41" t="s">
        <v>558</v>
      </c>
      <c r="C611" s="26" t="s">
        <v>122</v>
      </c>
      <c r="D611" s="94"/>
      <c r="E611" s="42" t="s">
        <v>558</v>
      </c>
      <c r="F611" s="42" t="str">
        <f t="shared" si="1"/>
        <v/>
      </c>
      <c r="G611" s="29"/>
      <c r="H611" s="30"/>
      <c r="I611" s="156">
        <v>0</v>
      </c>
    </row>
    <row r="612" spans="1:9" hidden="1" x14ac:dyDescent="0.25">
      <c r="A612" s="209"/>
      <c r="B612" s="160" t="s">
        <v>558</v>
      </c>
      <c r="C612" s="160"/>
      <c r="D612" s="177"/>
      <c r="E612" s="43" t="s">
        <v>558</v>
      </c>
      <c r="F612" s="31" t="str">
        <f t="shared" si="1"/>
        <v/>
      </c>
      <c r="G612" s="35"/>
      <c r="H612" s="31"/>
      <c r="I612" s="156">
        <v>0</v>
      </c>
    </row>
    <row r="613" spans="1:9" ht="25.5" hidden="1" x14ac:dyDescent="0.25">
      <c r="A613" s="209"/>
      <c r="B613" s="162" t="s">
        <v>791</v>
      </c>
      <c r="C613" s="162" t="s">
        <v>122</v>
      </c>
      <c r="D613" s="163">
        <v>0.76100000000000001</v>
      </c>
      <c r="E613" s="34">
        <v>85.5</v>
      </c>
      <c r="F613" s="176">
        <f t="shared" si="1"/>
        <v>65.0655</v>
      </c>
      <c r="G613" s="45">
        <f>SUM(F613:F621)</f>
        <v>430.14854703560002</v>
      </c>
      <c r="H613" s="46"/>
      <c r="I613" s="156">
        <v>0</v>
      </c>
    </row>
    <row r="614" spans="1:9" hidden="1" x14ac:dyDescent="0.25">
      <c r="A614" s="209"/>
      <c r="B614" s="162" t="s">
        <v>787</v>
      </c>
      <c r="C614" s="162" t="s">
        <v>938</v>
      </c>
      <c r="D614" s="163">
        <v>325.16000000000003</v>
      </c>
      <c r="E614" s="34">
        <v>0.52249999999999996</v>
      </c>
      <c r="F614" s="176">
        <f t="shared" si="1"/>
        <v>169.89609999999999</v>
      </c>
      <c r="G614" s="45"/>
      <c r="H614" s="46"/>
      <c r="I614" s="156">
        <v>0</v>
      </c>
    </row>
    <row r="615" spans="1:9" ht="25.5" hidden="1" x14ac:dyDescent="0.25">
      <c r="A615" s="209"/>
      <c r="B615" s="162" t="s">
        <v>799</v>
      </c>
      <c r="C615" s="162" t="s">
        <v>122</v>
      </c>
      <c r="D615" s="163">
        <v>0.59099999999999997</v>
      </c>
      <c r="E615" s="34">
        <v>124.982</v>
      </c>
      <c r="F615" s="176">
        <f t="shared" si="1"/>
        <v>73.864362</v>
      </c>
      <c r="G615" s="45"/>
      <c r="H615" s="46"/>
      <c r="I615" s="156">
        <v>0</v>
      </c>
    </row>
    <row r="616" spans="1:9" hidden="1" x14ac:dyDescent="0.25">
      <c r="A616" s="209"/>
      <c r="B616" s="162" t="s">
        <v>743</v>
      </c>
      <c r="C616" s="162" t="s">
        <v>742</v>
      </c>
      <c r="D616" s="163">
        <v>2.0299999999999998</v>
      </c>
      <c r="E616" s="31">
        <v>16.729499999999998</v>
      </c>
      <c r="F616" s="176">
        <f t="shared" si="1"/>
        <v>33.96088499999999</v>
      </c>
      <c r="G616" s="45"/>
      <c r="H616" s="46"/>
      <c r="I616" s="156">
        <v>0</v>
      </c>
    </row>
    <row r="617" spans="1:9" ht="25.5" hidden="1" x14ac:dyDescent="0.25">
      <c r="A617" s="209"/>
      <c r="B617" s="162" t="s">
        <v>1512</v>
      </c>
      <c r="C617" s="162" t="s">
        <v>742</v>
      </c>
      <c r="D617" s="163">
        <v>1.28</v>
      </c>
      <c r="E617" s="31">
        <v>16.928999999999998</v>
      </c>
      <c r="F617" s="178">
        <f t="shared" si="1"/>
        <v>21.669119999999999</v>
      </c>
      <c r="G617" s="45"/>
      <c r="H617" s="46"/>
      <c r="I617" s="156">
        <v>0</v>
      </c>
    </row>
    <row r="618" spans="1:9" ht="38.25" hidden="1" x14ac:dyDescent="0.25">
      <c r="A618" s="209"/>
      <c r="B618" s="162" t="s">
        <v>1433</v>
      </c>
      <c r="C618" s="162" t="s">
        <v>982</v>
      </c>
      <c r="D618" s="163">
        <v>0.66</v>
      </c>
      <c r="E618" s="31">
        <v>3.9425000000000003</v>
      </c>
      <c r="F618" s="178">
        <f t="shared" si="1"/>
        <v>2.6020500000000002</v>
      </c>
      <c r="G618" s="45"/>
      <c r="H618" s="46"/>
      <c r="I618" s="156">
        <v>0</v>
      </c>
    </row>
    <row r="619" spans="1:9" ht="38.25" hidden="1" x14ac:dyDescent="0.25">
      <c r="A619" s="209"/>
      <c r="B619" s="162" t="s">
        <v>1513</v>
      </c>
      <c r="C619" s="164" t="s">
        <v>984</v>
      </c>
      <c r="D619" s="163">
        <v>0.62</v>
      </c>
      <c r="E619" s="31">
        <v>1.254</v>
      </c>
      <c r="F619" s="176">
        <f t="shared" si="1"/>
        <v>0.77747999999999995</v>
      </c>
      <c r="G619" s="45"/>
      <c r="H619" s="46"/>
      <c r="I619" s="156">
        <v>0</v>
      </c>
    </row>
    <row r="620" spans="1:9" ht="51" hidden="1" x14ac:dyDescent="0.25">
      <c r="A620" s="209"/>
      <c r="B620" s="162" t="s">
        <v>3617</v>
      </c>
      <c r="C620" s="162" t="s">
        <v>122</v>
      </c>
      <c r="D620" s="163">
        <f>ROUND(1*(D613+D615),4)</f>
        <v>1.3520000000000001</v>
      </c>
      <c r="E620" s="31">
        <v>6.0919690499999994</v>
      </c>
      <c r="F620" s="176">
        <f t="shared" si="1"/>
        <v>8.2363421555999992</v>
      </c>
      <c r="G620" s="45"/>
      <c r="H620" s="46"/>
      <c r="I620" s="156">
        <v>0</v>
      </c>
    </row>
    <row r="621" spans="1:9" ht="38.25" hidden="1" x14ac:dyDescent="0.25">
      <c r="A621" s="209"/>
      <c r="B621" s="162" t="s">
        <v>3616</v>
      </c>
      <c r="C621" s="164" t="s">
        <v>124</v>
      </c>
      <c r="D621" s="163">
        <f>ROUND((D613+D615)*20,4)</f>
        <v>27.04</v>
      </c>
      <c r="E621" s="31">
        <v>1.9998782499999996</v>
      </c>
      <c r="F621" s="176">
        <f t="shared" si="1"/>
        <v>54.076707879999987</v>
      </c>
      <c r="G621" s="45"/>
      <c r="H621" s="46"/>
      <c r="I621" s="156">
        <v>0</v>
      </c>
    </row>
    <row r="622" spans="1:9" hidden="1" x14ac:dyDescent="0.25">
      <c r="A622" s="209"/>
      <c r="B622" s="179"/>
      <c r="C622" s="164"/>
      <c r="D622" s="163"/>
      <c r="E622" s="31" t="s">
        <v>558</v>
      </c>
      <c r="F622" s="34" t="str">
        <f t="shared" si="1"/>
        <v/>
      </c>
      <c r="G622" s="45"/>
      <c r="H622" s="46"/>
      <c r="I622" s="156">
        <v>0</v>
      </c>
    </row>
    <row r="623" spans="1:9" ht="25.5" hidden="1" x14ac:dyDescent="0.25">
      <c r="A623" s="209"/>
      <c r="B623" s="157" t="s">
        <v>125</v>
      </c>
      <c r="C623" s="164"/>
      <c r="D623" s="163"/>
      <c r="E623" s="31" t="s">
        <v>558</v>
      </c>
      <c r="F623" s="34" t="str">
        <f t="shared" si="1"/>
        <v/>
      </c>
      <c r="G623" s="45"/>
      <c r="H623" s="46"/>
      <c r="I623" s="156">
        <v>0</v>
      </c>
    </row>
    <row r="624" spans="1:9" ht="15.75" hidden="1" thickBot="1" x14ac:dyDescent="0.3">
      <c r="A624" s="211"/>
      <c r="B624" s="55" t="s">
        <v>558</v>
      </c>
      <c r="C624" s="55"/>
      <c r="D624" s="96"/>
      <c r="E624" s="67" t="s">
        <v>558</v>
      </c>
      <c r="F624" s="67" t="str">
        <f t="shared" si="1"/>
        <v/>
      </c>
      <c r="G624" s="69"/>
      <c r="H624" s="31"/>
      <c r="I624" s="156">
        <v>0</v>
      </c>
    </row>
  </sheetData>
  <autoFilter ref="A5:I624">
    <filterColumn colId="8">
      <filters>
        <filter val="13,7800"/>
      </filters>
    </filterColumn>
  </autoFilter>
  <mergeCells count="69">
    <mergeCell ref="A593:A605"/>
    <mergeCell ref="A549:A554"/>
    <mergeCell ref="A555:A561"/>
    <mergeCell ref="A562:A574"/>
    <mergeCell ref="A575:A580"/>
    <mergeCell ref="A581:A587"/>
    <mergeCell ref="A525:A530"/>
    <mergeCell ref="A531:A536"/>
    <mergeCell ref="A537:A542"/>
    <mergeCell ref="A543:A548"/>
    <mergeCell ref="A588:A592"/>
    <mergeCell ref="A502:A513"/>
    <mergeCell ref="A438:A449"/>
    <mergeCell ref="A450:A468"/>
    <mergeCell ref="A469:A482"/>
    <mergeCell ref="A514:A524"/>
    <mergeCell ref="A48:A60"/>
    <mergeCell ref="A6:A15"/>
    <mergeCell ref="A16:A20"/>
    <mergeCell ref="A21:A26"/>
    <mergeCell ref="A27:A37"/>
    <mergeCell ref="A38:A47"/>
    <mergeCell ref="A285:A295"/>
    <mergeCell ref="A296:A303"/>
    <mergeCell ref="A304:A309"/>
    <mergeCell ref="A225:A238"/>
    <mergeCell ref="A277:A284"/>
    <mergeCell ref="A61:A68"/>
    <mergeCell ref="A69:A78"/>
    <mergeCell ref="A79:A85"/>
    <mergeCell ref="A86:A95"/>
    <mergeCell ref="A96:A105"/>
    <mergeCell ref="A106:A111"/>
    <mergeCell ref="A112:A117"/>
    <mergeCell ref="A118:A123"/>
    <mergeCell ref="A124:A129"/>
    <mergeCell ref="A192:A197"/>
    <mergeCell ref="A180:A185"/>
    <mergeCell ref="A186:A191"/>
    <mergeCell ref="A130:A135"/>
    <mergeCell ref="A136:A141"/>
    <mergeCell ref="A142:A147"/>
    <mergeCell ref="A148:A153"/>
    <mergeCell ref="A198:A202"/>
    <mergeCell ref="A203:A206"/>
    <mergeCell ref="A207:A214"/>
    <mergeCell ref="A154:A167"/>
    <mergeCell ref="A168:A179"/>
    <mergeCell ref="A215:A219"/>
    <mergeCell ref="A220:A224"/>
    <mergeCell ref="A239:A252"/>
    <mergeCell ref="A253:A266"/>
    <mergeCell ref="A267:A276"/>
    <mergeCell ref="A606:A610"/>
    <mergeCell ref="A611:A624"/>
    <mergeCell ref="A310:A323"/>
    <mergeCell ref="A324:A337"/>
    <mergeCell ref="A338:A349"/>
    <mergeCell ref="A350:A356"/>
    <mergeCell ref="A357:A363"/>
    <mergeCell ref="A427:A437"/>
    <mergeCell ref="A415:A426"/>
    <mergeCell ref="A403:A414"/>
    <mergeCell ref="A364:A371"/>
    <mergeCell ref="A372:A377"/>
    <mergeCell ref="A378:A383"/>
    <mergeCell ref="A384:A392"/>
    <mergeCell ref="A393:A402"/>
    <mergeCell ref="A483:A501"/>
  </mergeCells>
  <conditionalFormatting sqref="F4">
    <cfRule type="containsText" dxfId="34" priority="334" operator="containsText" text="Pesquisa">
      <formula>NOT(ISERROR(SEARCH("Pesquisa",F4)))</formula>
    </cfRule>
  </conditionalFormatting>
  <conditionalFormatting sqref="C15:D15">
    <cfRule type="containsText" dxfId="33" priority="368" operator="containsText" text="Pesquisa de Preços">
      <formula>NOT(ISERROR(SEARCH("Pesquisa de Preços",C15)))</formula>
    </cfRule>
  </conditionalFormatting>
  <conditionalFormatting sqref="C7:D7">
    <cfRule type="containsText" dxfId="32" priority="367" operator="containsText" text="Pesquisa de Preços">
      <formula>NOT(ISERROR(SEARCH("Pesquisa de Preços",C7)))</formula>
    </cfRule>
  </conditionalFormatting>
  <conditionalFormatting sqref="C6:D6">
    <cfRule type="containsText" dxfId="31" priority="366" operator="containsText" text="Pesquisa de Preços">
      <formula>NOT(ISERROR(SEARCH("Pesquisa de Preços",C6)))</formula>
    </cfRule>
  </conditionalFormatting>
  <conditionalFormatting sqref="C8:D10">
    <cfRule type="containsText" dxfId="30" priority="365" operator="containsText" text="Pesquisa de Preços">
      <formula>NOT(ISERROR(SEARCH("Pesquisa de Preços",C8)))</formula>
    </cfRule>
  </conditionalFormatting>
  <conditionalFormatting sqref="C29:D36">
    <cfRule type="containsText" dxfId="29" priority="364" operator="containsText" text="Pesquisa de Preços">
      <formula>NOT(ISERROR(SEARCH("Pesquisa de Preços",C29)))</formula>
    </cfRule>
  </conditionalFormatting>
  <conditionalFormatting sqref="D27">
    <cfRule type="containsText" dxfId="28" priority="361" operator="containsText" text="Pesquisa de Preços">
      <formula>NOT(ISERROR(SEARCH("Pesquisa de Preços",D27)))</formula>
    </cfRule>
  </conditionalFormatting>
  <conditionalFormatting sqref="C37:D37">
    <cfRule type="containsText" dxfId="27" priority="363" operator="containsText" text="Pesquisa de Preços">
      <formula>NOT(ISERROR(SEARCH("Pesquisa de Preços",C37)))</formula>
    </cfRule>
  </conditionalFormatting>
  <conditionalFormatting sqref="C28:D28">
    <cfRule type="containsText" dxfId="26" priority="362" operator="containsText" text="Pesquisa de Preços">
      <formula>NOT(ISERROR(SEARCH("Pesquisa de Preços",C28)))</formula>
    </cfRule>
  </conditionalFormatting>
  <conditionalFormatting sqref="C27">
    <cfRule type="containsText" dxfId="25" priority="360"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I126"/>
  <sheetViews>
    <sheetView zoomScale="80" zoomScaleNormal="80" workbookViewId="0">
      <pane ySplit="5" topLeftCell="A6" activePane="bottomLeft" state="frozen"/>
      <selection pane="bottomLeft" activeCell="E4" sqref="E4"/>
    </sheetView>
  </sheetViews>
  <sheetFormatPr defaultRowHeight="15" x14ac:dyDescent="0.25"/>
  <cols>
    <col min="1" max="1" width="46.85546875" customWidth="1"/>
    <col min="2" max="2" width="65.7109375" style="5" customWidth="1"/>
    <col min="3" max="3" width="15.7109375" style="4"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1" t="str">
        <f>Composições!A1</f>
        <v xml:space="preserve"> Substituição do carpete azul royal em partes do Edifício Principal do Senado Federal.</v>
      </c>
      <c r="B1" s="105"/>
      <c r="C1" s="81"/>
      <c r="D1" s="81"/>
      <c r="E1" s="81"/>
      <c r="F1" s="81"/>
      <c r="G1" s="81"/>
      <c r="H1" s="82"/>
      <c r="I1" s="84"/>
    </row>
    <row r="2" spans="1:9" ht="24.95" customHeight="1" x14ac:dyDescent="0.25">
      <c r="A2" s="10" t="s">
        <v>1525</v>
      </c>
      <c r="B2" s="11"/>
      <c r="C2" s="132"/>
      <c r="D2" s="11"/>
      <c r="E2" s="11"/>
      <c r="F2" s="11"/>
      <c r="G2" s="11"/>
      <c r="H2" s="13"/>
      <c r="I2" s="84"/>
    </row>
    <row r="3" spans="1:9" ht="20.100000000000001" customHeight="1" x14ac:dyDescent="0.25">
      <c r="A3" s="14" t="str">
        <f>Composições!A3</f>
        <v>Data: Agosto de 2021</v>
      </c>
      <c r="B3" s="14"/>
      <c r="C3" s="133"/>
      <c r="D3" s="14"/>
      <c r="E3" s="14"/>
      <c r="F3" s="14"/>
      <c r="G3" s="14"/>
      <c r="H3" s="14"/>
      <c r="I3" s="84"/>
    </row>
    <row r="4" spans="1:9" ht="20.100000000000001" customHeight="1" thickBot="1" x14ac:dyDescent="0.3">
      <c r="A4" s="85"/>
      <c r="B4" s="86"/>
      <c r="C4" s="129"/>
      <c r="D4" s="86"/>
      <c r="E4" s="86"/>
      <c r="F4" s="86"/>
      <c r="G4" s="86"/>
      <c r="H4" s="87"/>
      <c r="I4" s="88"/>
    </row>
    <row r="5" spans="1:9" ht="65.099999999999994" customHeight="1" thickBot="1" x14ac:dyDescent="0.3">
      <c r="A5" s="102" t="s">
        <v>2</v>
      </c>
      <c r="B5" s="103" t="s">
        <v>3</v>
      </c>
      <c r="C5" s="130" t="s">
        <v>4</v>
      </c>
      <c r="D5" s="103" t="s">
        <v>5</v>
      </c>
      <c r="E5" s="103" t="s">
        <v>6</v>
      </c>
      <c r="F5" s="21" t="s">
        <v>7</v>
      </c>
      <c r="G5" s="21" t="s">
        <v>1484</v>
      </c>
      <c r="H5" s="24"/>
      <c r="I5" s="89" t="s">
        <v>9</v>
      </c>
    </row>
    <row r="6" spans="1:9" ht="15.75" thickBot="1" x14ac:dyDescent="0.3">
      <c r="A6" s="210" t="s">
        <v>3616</v>
      </c>
      <c r="B6" s="41" t="s">
        <v>558</v>
      </c>
      <c r="C6" s="78" t="s">
        <v>124</v>
      </c>
      <c r="D6" s="94"/>
      <c r="E6" s="42" t="s">
        <v>558</v>
      </c>
      <c r="F6" s="42" t="str">
        <f>IF(ISNUMBER(E6),ROUND(E6*$D6,2),"")</f>
        <v/>
      </c>
      <c r="G6" s="29"/>
      <c r="H6" s="30"/>
      <c r="I6" s="156">
        <v>372.06</v>
      </c>
    </row>
    <row r="7" spans="1:9" x14ac:dyDescent="0.25">
      <c r="A7" s="209"/>
      <c r="B7" s="32" t="s">
        <v>558</v>
      </c>
      <c r="C7" s="79"/>
      <c r="D7" s="92"/>
      <c r="E7" s="43" t="s">
        <v>558</v>
      </c>
      <c r="F7" s="31" t="str">
        <f>IF(ISNUMBER(E7),ROUND(E7*$D7,2),"")</f>
        <v/>
      </c>
      <c r="G7" s="35"/>
      <c r="H7" s="31"/>
      <c r="I7" s="156">
        <v>372.06</v>
      </c>
    </row>
    <row r="8" spans="1:9" ht="51" x14ac:dyDescent="0.25">
      <c r="A8" s="209"/>
      <c r="B8" s="36" t="s">
        <v>1119</v>
      </c>
      <c r="C8" s="50" t="s">
        <v>982</v>
      </c>
      <c r="D8" s="37">
        <v>1.3899999999999999E-2</v>
      </c>
      <c r="E8" s="34">
        <v>127.72749999999998</v>
      </c>
      <c r="F8" s="34">
        <f>IF(ISNUMBER(E8),ROUND(E8*$D8,2),"")</f>
        <v>1.78</v>
      </c>
      <c r="G8" s="45">
        <f>SUM(F8:F9)</f>
        <v>2</v>
      </c>
      <c r="H8" s="46"/>
      <c r="I8" s="156">
        <v>372.06</v>
      </c>
    </row>
    <row r="9" spans="1:9" ht="51" x14ac:dyDescent="0.25">
      <c r="A9" s="209"/>
      <c r="B9" s="36" t="s">
        <v>1120</v>
      </c>
      <c r="C9" s="50" t="s">
        <v>984</v>
      </c>
      <c r="D9" s="37">
        <v>6.0000000000000001E-3</v>
      </c>
      <c r="E9" s="34">
        <v>37.411000000000001</v>
      </c>
      <c r="F9" s="34">
        <f>IF(ISNUMBER(E9),ROUND(E9*$D9,2),"")</f>
        <v>0.22</v>
      </c>
      <c r="G9" s="45"/>
      <c r="H9" s="46"/>
      <c r="I9" s="156">
        <v>372.06</v>
      </c>
    </row>
    <row r="10" spans="1:9" ht="15.75" thickBot="1" x14ac:dyDescent="0.3">
      <c r="A10" s="211"/>
      <c r="B10" s="55" t="s">
        <v>558</v>
      </c>
      <c r="C10" s="80"/>
      <c r="D10" s="96"/>
      <c r="E10" s="67" t="s">
        <v>558</v>
      </c>
      <c r="F10" s="67" t="str">
        <f>IF(ISNUMBER(E10),ROUND(E10*$D10,2),"")</f>
        <v/>
      </c>
      <c r="G10" s="69"/>
      <c r="H10" s="31"/>
      <c r="I10" s="156">
        <v>372.06</v>
      </c>
    </row>
    <row r="11" spans="1:9" ht="15.75" hidden="1" thickBot="1" x14ac:dyDescent="0.3">
      <c r="A11" s="210" t="s">
        <v>1518</v>
      </c>
      <c r="B11" s="41" t="s">
        <v>558</v>
      </c>
      <c r="C11" s="78" t="s">
        <v>938</v>
      </c>
      <c r="D11" s="94"/>
      <c r="E11" s="28" t="s">
        <v>558</v>
      </c>
      <c r="F11" s="26" t="str">
        <f>IF(ISNUMBER(E11),ROUND(E11*$D11,2),"")</f>
        <v/>
      </c>
      <c r="G11" s="29"/>
      <c r="H11" s="30"/>
      <c r="I11" s="156">
        <v>0</v>
      </c>
    </row>
    <row r="12" spans="1:9" ht="15.75" hidden="1" thickBot="1" x14ac:dyDescent="0.3">
      <c r="A12" s="209"/>
      <c r="B12" s="32" t="s">
        <v>558</v>
      </c>
      <c r="C12" s="79"/>
      <c r="D12" s="92"/>
      <c r="E12" s="31" t="s">
        <v>558</v>
      </c>
      <c r="F12" s="31" t="str">
        <f>IF(ISNUMBER(E12),ROUND(E12*$D12,2),"")</f>
        <v/>
      </c>
      <c r="G12" s="35"/>
      <c r="H12" s="31"/>
      <c r="I12" s="156">
        <v>0</v>
      </c>
    </row>
    <row r="13" spans="1:9" ht="15.75" hidden="1" thickBot="1" x14ac:dyDescent="0.3">
      <c r="A13" s="209"/>
      <c r="B13" s="36" t="s">
        <v>1524</v>
      </c>
      <c r="C13" s="50" t="s">
        <v>938</v>
      </c>
      <c r="D13" s="37">
        <v>1.07</v>
      </c>
      <c r="E13" s="31">
        <v>10.9345</v>
      </c>
      <c r="F13" s="34">
        <f>IF(ISNUMBER(E13),ROUND(E13*$D13,2),"")</f>
        <v>11.7</v>
      </c>
      <c r="G13" s="45">
        <f>SUM(F13:F15)</f>
        <v>14.04</v>
      </c>
      <c r="H13" s="46"/>
      <c r="I13" s="156">
        <v>0</v>
      </c>
    </row>
    <row r="14" spans="1:9" ht="15.75" hidden="1" thickBot="1" x14ac:dyDescent="0.3">
      <c r="A14" s="209"/>
      <c r="B14" s="36" t="s">
        <v>940</v>
      </c>
      <c r="C14" s="50" t="s">
        <v>742</v>
      </c>
      <c r="D14" s="37">
        <v>1.3100000000000001E-2</v>
      </c>
      <c r="E14" s="34">
        <v>17.518000000000001</v>
      </c>
      <c r="F14" s="34">
        <f>IF(ISNUMBER(E14),ROUND(E14*$D14,2),"")</f>
        <v>0.23</v>
      </c>
      <c r="G14" s="45"/>
      <c r="H14" s="46"/>
      <c r="I14" s="156">
        <v>0</v>
      </c>
    </row>
    <row r="15" spans="1:9" ht="15.75" hidden="1" thickBot="1" x14ac:dyDescent="0.3">
      <c r="A15" s="209"/>
      <c r="B15" s="36" t="s">
        <v>941</v>
      </c>
      <c r="C15" s="50" t="s">
        <v>742</v>
      </c>
      <c r="D15" s="37">
        <v>9.3299999999999994E-2</v>
      </c>
      <c r="E15" s="31">
        <v>22.591000000000001</v>
      </c>
      <c r="F15" s="34">
        <f>IF(ISNUMBER(E15),ROUND(E15*$D15,2),"")</f>
        <v>2.11</v>
      </c>
      <c r="G15" s="45"/>
      <c r="H15" s="46"/>
      <c r="I15" s="156">
        <v>0</v>
      </c>
    </row>
    <row r="16" spans="1:9" ht="15.75" hidden="1" thickBot="1" x14ac:dyDescent="0.3">
      <c r="A16" s="211"/>
      <c r="B16" s="55" t="s">
        <v>558</v>
      </c>
      <c r="C16" s="80"/>
      <c r="D16" s="96"/>
      <c r="E16" s="67" t="s">
        <v>558</v>
      </c>
      <c r="F16" s="68" t="str">
        <f>IF(ISNUMBER(E16),ROUND(E16*$D16,2),"")</f>
        <v/>
      </c>
      <c r="G16" s="69"/>
      <c r="H16" s="31"/>
      <c r="I16" s="156">
        <v>0</v>
      </c>
    </row>
    <row r="17" spans="1:9" ht="15.75" customHeight="1" thickBot="1" x14ac:dyDescent="0.3">
      <c r="A17" s="210" t="s">
        <v>3617</v>
      </c>
      <c r="B17" s="41" t="s">
        <v>558</v>
      </c>
      <c r="C17" s="78" t="s">
        <v>122</v>
      </c>
      <c r="D17" s="94"/>
      <c r="E17" s="28" t="s">
        <v>558</v>
      </c>
      <c r="F17" s="26" t="str">
        <f>IF(ISNUMBER(E17),ROUND(E17*$D17,2),"")</f>
        <v/>
      </c>
      <c r="G17" s="29"/>
      <c r="H17" s="30"/>
      <c r="I17" s="156">
        <v>18.603000000000002</v>
      </c>
    </row>
    <row r="18" spans="1:9" x14ac:dyDescent="0.25">
      <c r="A18" s="209"/>
      <c r="B18" s="32" t="s">
        <v>558</v>
      </c>
      <c r="C18" s="79"/>
      <c r="D18" s="92"/>
      <c r="E18" s="31" t="s">
        <v>558</v>
      </c>
      <c r="F18" s="31" t="str">
        <f>IF(ISNUMBER(E18),ROUND(E18*$D18,2),"")</f>
        <v/>
      </c>
      <c r="G18" s="35"/>
      <c r="H18" s="31"/>
      <c r="I18" s="156">
        <v>18.603000000000002</v>
      </c>
    </row>
    <row r="19" spans="1:9" ht="51" x14ac:dyDescent="0.25">
      <c r="A19" s="209"/>
      <c r="B19" s="36" t="s">
        <v>1143</v>
      </c>
      <c r="C19" s="50" t="s">
        <v>982</v>
      </c>
      <c r="D19" s="37">
        <v>8.3000000000000001E-3</v>
      </c>
      <c r="E19" s="31">
        <v>144.84649999999999</v>
      </c>
      <c r="F19" s="34">
        <f>IF(ISNUMBER(E19),ROUND(E19*$D19,2),"")</f>
        <v>1.2</v>
      </c>
      <c r="G19" s="45">
        <f>SUM(F19:F22)</f>
        <v>6.0897430999999989</v>
      </c>
      <c r="H19" s="46"/>
      <c r="I19" s="156">
        <v>18.603000000000002</v>
      </c>
    </row>
    <row r="20" spans="1:9" ht="38.25" x14ac:dyDescent="0.25">
      <c r="A20" s="209"/>
      <c r="B20" s="36" t="s">
        <v>3277</v>
      </c>
      <c r="C20" s="47" t="s">
        <v>984</v>
      </c>
      <c r="D20" s="37">
        <v>1.5100000000000001E-2</v>
      </c>
      <c r="E20" s="31">
        <v>47.680499999999995</v>
      </c>
      <c r="F20" s="34">
        <f>IF(ISNUMBER(E20),E20*$D20,"")</f>
        <v>0.71997554999999991</v>
      </c>
      <c r="G20" s="45"/>
      <c r="H20" s="46"/>
      <c r="I20" s="156">
        <v>18.603000000000002</v>
      </c>
    </row>
    <row r="21" spans="1:9" ht="51" x14ac:dyDescent="0.25">
      <c r="A21" s="209"/>
      <c r="B21" s="36" t="s">
        <v>1119</v>
      </c>
      <c r="C21" s="47" t="s">
        <v>982</v>
      </c>
      <c r="D21" s="37">
        <v>2.6700000000000002E-2</v>
      </c>
      <c r="E21" s="31">
        <v>127.72749999999998</v>
      </c>
      <c r="F21" s="34">
        <f>IF(ISNUMBER(E21),E21*$D21,"")</f>
        <v>3.4103242499999995</v>
      </c>
      <c r="G21" s="45"/>
      <c r="H21" s="46"/>
      <c r="I21" s="156">
        <v>18.603000000000002</v>
      </c>
    </row>
    <row r="22" spans="1:9" ht="51" x14ac:dyDescent="0.25">
      <c r="A22" s="209"/>
      <c r="B22" s="36" t="s">
        <v>1120</v>
      </c>
      <c r="C22" s="47" t="s">
        <v>984</v>
      </c>
      <c r="D22" s="37">
        <v>2.0299999999999999E-2</v>
      </c>
      <c r="E22" s="31">
        <v>37.411000000000001</v>
      </c>
      <c r="F22" s="34">
        <f>IF(ISNUMBER(E22),E22*$D22,"")</f>
        <v>0.75944329999999993</v>
      </c>
      <c r="G22" s="45"/>
      <c r="H22" s="46"/>
      <c r="I22" s="156">
        <v>18.603000000000002</v>
      </c>
    </row>
    <row r="23" spans="1:9" ht="15.75" thickBot="1" x14ac:dyDescent="0.3">
      <c r="A23" s="211"/>
      <c r="B23" s="55" t="s">
        <v>558</v>
      </c>
      <c r="C23" s="80"/>
      <c r="D23" s="96"/>
      <c r="E23" s="67" t="s">
        <v>558</v>
      </c>
      <c r="F23" s="68" t="str">
        <f>IF(ISNUMBER(E23),ROUND(E23*$D23,2),"")</f>
        <v/>
      </c>
      <c r="G23" s="69"/>
      <c r="H23" s="31"/>
      <c r="I23" s="156">
        <v>18.603000000000002</v>
      </c>
    </row>
    <row r="24" spans="1:9" ht="15.75" hidden="1" thickBot="1" x14ac:dyDescent="0.3">
      <c r="A24" s="210" t="s">
        <v>1411</v>
      </c>
      <c r="B24" s="41" t="s">
        <v>558</v>
      </c>
      <c r="C24" s="78" t="s">
        <v>122</v>
      </c>
      <c r="D24" s="94"/>
      <c r="E24" s="42" t="s">
        <v>558</v>
      </c>
      <c r="F24" s="42" t="str">
        <f>IF(ISNUMBER(E24),ROUND(E24*$D24,2),"")</f>
        <v/>
      </c>
      <c r="G24" s="29"/>
      <c r="H24" s="30"/>
      <c r="I24" s="156">
        <v>0</v>
      </c>
    </row>
    <row r="25" spans="1:9" hidden="1" x14ac:dyDescent="0.25">
      <c r="A25" s="209"/>
      <c r="B25" s="32" t="s">
        <v>558</v>
      </c>
      <c r="C25" s="79"/>
      <c r="D25" s="92"/>
      <c r="E25" s="98" t="s">
        <v>558</v>
      </c>
      <c r="F25" s="99" t="str">
        <f>IF(ISNUMBER(E25),ROUND(E25*$D25,2),"")</f>
        <v/>
      </c>
      <c r="G25" s="35"/>
      <c r="H25" s="31"/>
      <c r="I25" s="156">
        <v>0</v>
      </c>
    </row>
    <row r="26" spans="1:9" hidden="1" x14ac:dyDescent="0.25">
      <c r="A26" s="209"/>
      <c r="B26" s="36" t="s">
        <v>115</v>
      </c>
      <c r="C26" s="50" t="s">
        <v>122</v>
      </c>
      <c r="D26" s="37">
        <v>1.36</v>
      </c>
      <c r="E26" s="34">
        <v>85.5</v>
      </c>
      <c r="F26" s="34">
        <f>IF(ISNUMBER(E26),ROUND(E26*$D26,2),"")</f>
        <v>116.28</v>
      </c>
      <c r="G26" s="45">
        <f>SUM(F26:F32)</f>
        <v>504.03507790800001</v>
      </c>
      <c r="H26" s="46"/>
      <c r="I26" s="156">
        <v>0</v>
      </c>
    </row>
    <row r="27" spans="1:9" hidden="1" x14ac:dyDescent="0.25">
      <c r="A27" s="209"/>
      <c r="B27" s="36" t="s">
        <v>116</v>
      </c>
      <c r="C27" s="50" t="s">
        <v>938</v>
      </c>
      <c r="D27" s="37">
        <v>459.85</v>
      </c>
      <c r="E27" s="34">
        <v>0.52249999999999996</v>
      </c>
      <c r="F27" s="34">
        <f>IF(ISNUMBER(E27),ROUND(E27*$D27,2),"")</f>
        <v>240.27</v>
      </c>
      <c r="G27" s="45"/>
      <c r="H27" s="46"/>
      <c r="I27" s="156">
        <v>0</v>
      </c>
    </row>
    <row r="28" spans="1:9" ht="25.5" hidden="1" x14ac:dyDescent="0.25">
      <c r="A28" s="209"/>
      <c r="B28" s="36" t="s">
        <v>118</v>
      </c>
      <c r="C28" s="50" t="s">
        <v>742</v>
      </c>
      <c r="D28" s="37">
        <v>4.8499999999999996</v>
      </c>
      <c r="E28" s="31">
        <v>16.928999999999998</v>
      </c>
      <c r="F28" s="34">
        <f>IF(ISNUMBER(E28),ROUND(E28*$D28,2),"")</f>
        <v>82.11</v>
      </c>
      <c r="G28" s="45"/>
      <c r="H28" s="46"/>
      <c r="I28" s="156">
        <v>0</v>
      </c>
    </row>
    <row r="29" spans="1:9" ht="38.25" hidden="1" x14ac:dyDescent="0.25">
      <c r="A29" s="209"/>
      <c r="B29" s="36" t="s">
        <v>1493</v>
      </c>
      <c r="C29" s="50" t="s">
        <v>982</v>
      </c>
      <c r="D29" s="37">
        <v>1.1299999999999999</v>
      </c>
      <c r="E29" s="31">
        <v>1.3774999999999999</v>
      </c>
      <c r="F29" s="34">
        <f>IF(ISNUMBER(E29),ROUND(E29*$D29,2),"")</f>
        <v>1.56</v>
      </c>
      <c r="G29" s="45"/>
      <c r="H29" s="46"/>
      <c r="I29" s="156">
        <v>0</v>
      </c>
    </row>
    <row r="30" spans="1:9" ht="38.25" hidden="1" x14ac:dyDescent="0.25">
      <c r="A30" s="209"/>
      <c r="B30" s="36" t="s">
        <v>1494</v>
      </c>
      <c r="C30" s="50" t="s">
        <v>984</v>
      </c>
      <c r="D30" s="37">
        <v>3.72</v>
      </c>
      <c r="E30" s="31">
        <v>0.30399999999999999</v>
      </c>
      <c r="F30" s="34">
        <f>IF(ISNUMBER(E30),ROUND(E30*$D30,2),"")</f>
        <v>1.1299999999999999</v>
      </c>
      <c r="G30" s="45"/>
      <c r="H30" s="46"/>
      <c r="I30" s="156">
        <v>0</v>
      </c>
    </row>
    <row r="31" spans="1:9" ht="51" hidden="1" x14ac:dyDescent="0.25">
      <c r="A31" s="209"/>
      <c r="B31" s="36" t="s">
        <v>3617</v>
      </c>
      <c r="C31" s="36" t="s">
        <v>122</v>
      </c>
      <c r="D31" s="37">
        <f>D26</f>
        <v>1.36</v>
      </c>
      <c r="E31" s="31">
        <v>6.0919690499999994</v>
      </c>
      <c r="F31" s="34">
        <f>IF(ISNUMBER(E31),E31*$D31,"")</f>
        <v>8.2850779079999999</v>
      </c>
      <c r="G31" s="45"/>
      <c r="H31" s="46"/>
      <c r="I31" s="156">
        <v>0</v>
      </c>
    </row>
    <row r="32" spans="1:9" ht="38.25" hidden="1" x14ac:dyDescent="0.25">
      <c r="A32" s="209"/>
      <c r="B32" s="36" t="s">
        <v>3616</v>
      </c>
      <c r="C32" s="50" t="s">
        <v>124</v>
      </c>
      <c r="D32" s="37">
        <f>20*D26</f>
        <v>27.200000000000003</v>
      </c>
      <c r="E32" s="34">
        <v>1.9998782499999996</v>
      </c>
      <c r="F32" s="34">
        <f>IF(ISNUMBER(E32),ROUND(E32*$D32,2),"")</f>
        <v>54.4</v>
      </c>
      <c r="G32" s="45"/>
      <c r="H32" s="46"/>
      <c r="I32" s="156">
        <v>0</v>
      </c>
    </row>
    <row r="33" spans="1:9" hidden="1" x14ac:dyDescent="0.25">
      <c r="A33" s="209"/>
      <c r="B33" s="51"/>
      <c r="C33" s="131"/>
      <c r="D33" s="37"/>
      <c r="E33" s="31" t="s">
        <v>558</v>
      </c>
      <c r="F33" s="34" t="str">
        <f>IF(ISNUMBER(E33),ROUND(E33*$D33,2),"")</f>
        <v/>
      </c>
      <c r="G33" s="45"/>
      <c r="H33" s="46"/>
      <c r="I33" s="156">
        <v>0</v>
      </c>
    </row>
    <row r="34" spans="1:9" hidden="1" x14ac:dyDescent="0.25">
      <c r="A34" s="209"/>
      <c r="B34" s="48" t="s">
        <v>794</v>
      </c>
      <c r="C34" s="131"/>
      <c r="D34" s="37"/>
      <c r="E34" s="31" t="s">
        <v>558</v>
      </c>
      <c r="F34" s="34" t="str">
        <f>IF(ISNUMBER(E34),ROUND(E34*$D34,2),"")</f>
        <v/>
      </c>
      <c r="G34" s="45"/>
      <c r="H34" s="46"/>
      <c r="I34" s="156">
        <v>0</v>
      </c>
    </row>
    <row r="35" spans="1:9" ht="15.75" hidden="1" thickBot="1" x14ac:dyDescent="0.3">
      <c r="A35" s="211"/>
      <c r="B35" s="104" t="s">
        <v>6494</v>
      </c>
      <c r="C35" s="80"/>
      <c r="D35" s="96"/>
      <c r="E35" s="67" t="s">
        <v>558</v>
      </c>
      <c r="F35" s="67" t="str">
        <f>IF(ISNUMBER(E35),ROUND(E35*$D35,2),"")</f>
        <v/>
      </c>
      <c r="G35" s="69"/>
      <c r="H35" s="31"/>
      <c r="I35" s="156">
        <v>0</v>
      </c>
    </row>
    <row r="36" spans="1:9" ht="27.75" hidden="1" customHeight="1" thickBot="1" x14ac:dyDescent="0.3">
      <c r="A36" s="210" t="s">
        <v>3775</v>
      </c>
      <c r="B36" s="41" t="s">
        <v>558</v>
      </c>
      <c r="C36" s="78" t="s">
        <v>1034</v>
      </c>
      <c r="D36" s="94"/>
      <c r="E36" s="42" t="s">
        <v>558</v>
      </c>
      <c r="F36" s="42" t="str">
        <f>IF(ISNUMBER(E36),ROUND(E36*$D36,2),"")</f>
        <v/>
      </c>
      <c r="G36" s="29"/>
      <c r="H36" s="30"/>
      <c r="I36" s="156">
        <v>0</v>
      </c>
    </row>
    <row r="37" spans="1:9" ht="27.75" hidden="1" customHeight="1" x14ac:dyDescent="0.25">
      <c r="A37" s="209"/>
      <c r="B37" s="32" t="s">
        <v>558</v>
      </c>
      <c r="C37" s="79"/>
      <c r="D37" s="92"/>
      <c r="E37" s="98" t="s">
        <v>558</v>
      </c>
      <c r="F37" s="99" t="str">
        <f>IF(ISNUMBER(E37),ROUND(E37*$D37,2),"")</f>
        <v/>
      </c>
      <c r="G37" s="35"/>
      <c r="H37" s="31"/>
      <c r="I37" s="156">
        <v>0</v>
      </c>
    </row>
    <row r="38" spans="1:9" ht="27.75" hidden="1" customHeight="1" x14ac:dyDescent="0.25">
      <c r="A38" s="209"/>
      <c r="B38" s="36" t="s">
        <v>3794</v>
      </c>
      <c r="C38" s="50" t="s">
        <v>513</v>
      </c>
      <c r="D38" s="37">
        <v>4.4320000000000004</v>
      </c>
      <c r="E38" s="34">
        <v>2.4129999999999998</v>
      </c>
      <c r="F38" s="34">
        <f>IF(ISNUMBER(E38),ROUND(E38*$D38,2),"")</f>
        <v>10.69</v>
      </c>
      <c r="G38" s="45">
        <f>SUM(F38:F44)</f>
        <v>193.02</v>
      </c>
      <c r="H38" s="46"/>
      <c r="I38" s="156">
        <v>0</v>
      </c>
    </row>
    <row r="39" spans="1:9" ht="27.75" hidden="1" customHeight="1" x14ac:dyDescent="0.25">
      <c r="A39" s="209"/>
      <c r="B39" s="36" t="s">
        <v>1434</v>
      </c>
      <c r="C39" s="50" t="s">
        <v>938</v>
      </c>
      <c r="D39" s="37">
        <v>8.5999999999999993E-2</v>
      </c>
      <c r="E39" s="34">
        <v>19.227999999999998</v>
      </c>
      <c r="F39" s="34">
        <f>IF(ISNUMBER(E39),ROUND(E39*$D39,2),"")</f>
        <v>1.65</v>
      </c>
      <c r="G39" s="45"/>
      <c r="H39" s="46"/>
      <c r="I39" s="156">
        <v>0</v>
      </c>
    </row>
    <row r="40" spans="1:9" ht="27.75" hidden="1" customHeight="1" x14ac:dyDescent="0.25">
      <c r="A40" s="209"/>
      <c r="B40" s="36" t="s">
        <v>98</v>
      </c>
      <c r="C40" s="50" t="s">
        <v>513</v>
      </c>
      <c r="D40" s="37">
        <v>6.53</v>
      </c>
      <c r="E40" s="31">
        <v>24.386500000000002</v>
      </c>
      <c r="F40" s="34">
        <f>IF(ISNUMBER(E40),ROUND(E40*$D40,2),"")</f>
        <v>159.24</v>
      </c>
      <c r="G40" s="45"/>
      <c r="H40" s="46"/>
      <c r="I40" s="156">
        <v>0</v>
      </c>
    </row>
    <row r="41" spans="1:9" ht="27.75" hidden="1" customHeight="1" x14ac:dyDescent="0.25">
      <c r="A41" s="209"/>
      <c r="B41" s="36" t="s">
        <v>825</v>
      </c>
      <c r="C41" s="50" t="s">
        <v>742</v>
      </c>
      <c r="D41" s="37">
        <v>0.14299999999999999</v>
      </c>
      <c r="E41" s="31">
        <v>18.962</v>
      </c>
      <c r="F41" s="34">
        <f>IF(ISNUMBER(E41),ROUND(E41*$D41,2),"")</f>
        <v>2.71</v>
      </c>
      <c r="G41" s="45"/>
      <c r="H41" s="46"/>
      <c r="I41" s="156">
        <v>0</v>
      </c>
    </row>
    <row r="42" spans="1:9" ht="27.75" hidden="1" customHeight="1" x14ac:dyDescent="0.25">
      <c r="A42" s="209"/>
      <c r="B42" s="36" t="s">
        <v>1035</v>
      </c>
      <c r="C42" s="50" t="s">
        <v>742</v>
      </c>
      <c r="D42" s="37">
        <v>0.71499999999999997</v>
      </c>
      <c r="E42" s="31">
        <v>22.495999999999999</v>
      </c>
      <c r="F42" s="34">
        <f>IF(ISNUMBER(E42),ROUND(E42*$D42,2),"")</f>
        <v>16.079999999999998</v>
      </c>
      <c r="G42" s="45"/>
      <c r="H42" s="46"/>
      <c r="I42" s="156">
        <v>0</v>
      </c>
    </row>
    <row r="43" spans="1:9" ht="27.75" hidden="1" customHeight="1" x14ac:dyDescent="0.25">
      <c r="A43" s="209"/>
      <c r="B43" s="36" t="s">
        <v>1207</v>
      </c>
      <c r="C43" s="50" t="s">
        <v>982</v>
      </c>
      <c r="D43" s="37">
        <v>0.05</v>
      </c>
      <c r="E43" s="31">
        <v>19.9025</v>
      </c>
      <c r="F43" s="34">
        <f>IF(ISNUMBER(E43),ROUND(E43*$D43,2),"")</f>
        <v>1</v>
      </c>
      <c r="G43" s="45"/>
      <c r="H43" s="46"/>
      <c r="I43" s="156">
        <v>0</v>
      </c>
    </row>
    <row r="44" spans="1:9" ht="27.75" hidden="1" customHeight="1" x14ac:dyDescent="0.25">
      <c r="A44" s="209"/>
      <c r="B44" s="36" t="s">
        <v>1208</v>
      </c>
      <c r="C44" s="50" t="s">
        <v>984</v>
      </c>
      <c r="D44" s="37">
        <v>9.2999999999999999E-2</v>
      </c>
      <c r="E44" s="34">
        <v>17.783999999999999</v>
      </c>
      <c r="F44" s="34">
        <f>IF(ISNUMBER(E44),ROUND(E44*$D44,2),"")</f>
        <v>1.65</v>
      </c>
      <c r="G44" s="45"/>
      <c r="H44" s="46"/>
      <c r="I44" s="156">
        <v>0</v>
      </c>
    </row>
    <row r="45" spans="1:9" ht="27.75" hidden="1" customHeight="1" thickBot="1" x14ac:dyDescent="0.3">
      <c r="A45" s="211"/>
      <c r="B45" s="104"/>
      <c r="C45" s="80"/>
      <c r="D45" s="96"/>
      <c r="E45" s="67" t="s">
        <v>558</v>
      </c>
      <c r="F45" s="67" t="str">
        <f>IF(ISNUMBER(E45),ROUND(E45*$D45,2),"")</f>
        <v/>
      </c>
      <c r="G45" s="69"/>
      <c r="H45" s="31"/>
      <c r="I45" s="156">
        <v>0</v>
      </c>
    </row>
    <row r="46" spans="1:9" ht="15.75" hidden="1" thickBot="1" x14ac:dyDescent="0.3">
      <c r="A46" s="210" t="s">
        <v>3303</v>
      </c>
      <c r="B46" s="41" t="s">
        <v>558</v>
      </c>
      <c r="C46" s="78" t="s">
        <v>122</v>
      </c>
      <c r="D46" s="94"/>
      <c r="E46" s="42" t="s">
        <v>558</v>
      </c>
      <c r="F46" s="42" t="str">
        <f>IF(ISNUMBER(E46),ROUND(E46*$D46,2),"")</f>
        <v/>
      </c>
      <c r="G46" s="29"/>
      <c r="H46" s="30"/>
      <c r="I46" s="156">
        <v>0</v>
      </c>
    </row>
    <row r="47" spans="1:9" hidden="1" x14ac:dyDescent="0.25">
      <c r="A47" s="209"/>
      <c r="B47" s="32" t="s">
        <v>558</v>
      </c>
      <c r="C47" s="79"/>
      <c r="D47" s="92"/>
      <c r="E47" s="98" t="s">
        <v>558</v>
      </c>
      <c r="F47" s="99" t="str">
        <f>IF(ISNUMBER(E47),ROUND(E47*$D47,2),"")</f>
        <v/>
      </c>
      <c r="G47" s="35"/>
      <c r="H47" s="31"/>
      <c r="I47" s="156">
        <v>0</v>
      </c>
    </row>
    <row r="48" spans="1:9" ht="25.5" hidden="1" x14ac:dyDescent="0.25">
      <c r="A48" s="209"/>
      <c r="B48" s="36" t="s">
        <v>1349</v>
      </c>
      <c r="C48" s="50" t="s">
        <v>122</v>
      </c>
      <c r="D48" s="37">
        <v>0.95</v>
      </c>
      <c r="E48" s="34">
        <v>133.38</v>
      </c>
      <c r="F48" s="34">
        <f>IF(ISNUMBER(E48),ROUND(E48*$D48,2),"")</f>
        <v>126.71</v>
      </c>
      <c r="G48" s="45">
        <f>SUM(F48:F57)</f>
        <v>468.86737059749998</v>
      </c>
      <c r="H48" s="46"/>
      <c r="I48" s="156">
        <v>0</v>
      </c>
    </row>
    <row r="49" spans="1:9" hidden="1" x14ac:dyDescent="0.25">
      <c r="A49" s="209"/>
      <c r="B49" s="36" t="s">
        <v>787</v>
      </c>
      <c r="C49" s="50" t="s">
        <v>938</v>
      </c>
      <c r="D49" s="37">
        <v>426.49</v>
      </c>
      <c r="E49" s="34">
        <v>0.52249999999999996</v>
      </c>
      <c r="F49" s="34">
        <f>IF(ISNUMBER(E49),ROUND(E49*$D49,2),"")</f>
        <v>222.84</v>
      </c>
      <c r="G49" s="45"/>
      <c r="H49" s="46"/>
      <c r="I49" s="156">
        <v>0</v>
      </c>
    </row>
    <row r="50" spans="1:9" ht="25.5" hidden="1" x14ac:dyDescent="0.25">
      <c r="A50" s="209"/>
      <c r="B50" s="36" t="s">
        <v>1512</v>
      </c>
      <c r="C50" s="50" t="s">
        <v>742</v>
      </c>
      <c r="D50" s="37">
        <v>4.32</v>
      </c>
      <c r="E50" s="31">
        <v>16.928999999999998</v>
      </c>
      <c r="F50" s="34">
        <f>IF(ISNUMBER(E50),ROUND(E50*$D50,2),"")</f>
        <v>73.13</v>
      </c>
      <c r="G50" s="45"/>
      <c r="H50" s="46"/>
      <c r="I50" s="156">
        <v>0</v>
      </c>
    </row>
    <row r="51" spans="1:9" ht="38.25" hidden="1" x14ac:dyDescent="0.25">
      <c r="A51" s="209"/>
      <c r="B51" s="36" t="s">
        <v>119</v>
      </c>
      <c r="C51" s="50" t="s">
        <v>982</v>
      </c>
      <c r="D51" s="37">
        <v>1.01</v>
      </c>
      <c r="E51" s="31">
        <v>1.3774999999999999</v>
      </c>
      <c r="F51" s="34">
        <f>IF(ISNUMBER(E51),ROUND(E51*$D51,2),"")</f>
        <v>1.39</v>
      </c>
      <c r="G51" s="45"/>
      <c r="H51" s="46"/>
      <c r="I51" s="156">
        <v>0</v>
      </c>
    </row>
    <row r="52" spans="1:9" ht="38.25" hidden="1" x14ac:dyDescent="0.25">
      <c r="A52" s="209"/>
      <c r="B52" s="36" t="s">
        <v>120</v>
      </c>
      <c r="C52" s="50" t="s">
        <v>984</v>
      </c>
      <c r="D52" s="37">
        <v>3.31</v>
      </c>
      <c r="E52" s="31">
        <v>0.30399999999999999</v>
      </c>
      <c r="F52" s="34">
        <f>IF(ISNUMBER(E52),ROUND(E52*$D52,2),"")</f>
        <v>1.01</v>
      </c>
      <c r="G52" s="45"/>
      <c r="H52" s="46"/>
      <c r="I52" s="156">
        <v>0</v>
      </c>
    </row>
    <row r="53" spans="1:9" ht="51" hidden="1" x14ac:dyDescent="0.25">
      <c r="A53" s="209"/>
      <c r="B53" s="36" t="s">
        <v>3617</v>
      </c>
      <c r="C53" s="36" t="s">
        <v>122</v>
      </c>
      <c r="D53" s="37">
        <f>D48</f>
        <v>0.95</v>
      </c>
      <c r="E53" s="31">
        <v>6.0919690499999994</v>
      </c>
      <c r="F53" s="34">
        <f>IF(ISNUMBER(E53),E53*$D53,"")</f>
        <v>5.7873705974999989</v>
      </c>
      <c r="G53" s="45"/>
      <c r="H53" s="46"/>
      <c r="I53" s="156">
        <v>0</v>
      </c>
    </row>
    <row r="54" spans="1:9" ht="38.25" hidden="1" x14ac:dyDescent="0.25">
      <c r="A54" s="209"/>
      <c r="B54" s="36" t="s">
        <v>3616</v>
      </c>
      <c r="C54" s="50" t="s">
        <v>124</v>
      </c>
      <c r="D54" s="37">
        <f>20*D48</f>
        <v>19</v>
      </c>
      <c r="E54" s="34">
        <v>1.9998782499999996</v>
      </c>
      <c r="F54" s="34">
        <f>IF(ISNUMBER(E54),ROUND(E54*$D54,2),"")</f>
        <v>38</v>
      </c>
      <c r="G54" s="45"/>
      <c r="H54" s="46"/>
      <c r="I54" s="156">
        <v>0</v>
      </c>
    </row>
    <row r="55" spans="1:9" hidden="1" x14ac:dyDescent="0.25">
      <c r="A55" s="209"/>
      <c r="B55" s="51"/>
      <c r="C55" s="131"/>
      <c r="D55" s="37"/>
      <c r="E55" s="31" t="s">
        <v>558</v>
      </c>
      <c r="F55" s="34" t="str">
        <f>IF(ISNUMBER(E55),ROUND(E55*$D55,2),"")</f>
        <v/>
      </c>
      <c r="G55" s="45"/>
      <c r="H55" s="46"/>
      <c r="I55" s="156">
        <v>0</v>
      </c>
    </row>
    <row r="56" spans="1:9" hidden="1" x14ac:dyDescent="0.25">
      <c r="A56" s="209"/>
      <c r="B56" s="48" t="s">
        <v>794</v>
      </c>
      <c r="C56" s="131"/>
      <c r="D56" s="37"/>
      <c r="E56" s="31" t="s">
        <v>558</v>
      </c>
      <c r="F56" s="34" t="str">
        <f>IF(ISNUMBER(E56),ROUND(E56*$D56,2),"")</f>
        <v/>
      </c>
      <c r="G56" s="45"/>
      <c r="H56" s="46"/>
      <c r="I56" s="156">
        <v>0</v>
      </c>
    </row>
    <row r="57" spans="1:9" hidden="1" x14ac:dyDescent="0.25">
      <c r="A57" s="209"/>
      <c r="B57" s="157" t="s">
        <v>3780</v>
      </c>
      <c r="C57" s="158"/>
      <c r="D57" s="159"/>
      <c r="E57" s="31" t="s">
        <v>558</v>
      </c>
      <c r="F57" s="31" t="str">
        <f>IF(ISNUMBER(E57),ROUND(E57*$D57,2),"")</f>
        <v/>
      </c>
      <c r="G57" s="45"/>
      <c r="H57" s="46"/>
      <c r="I57" s="156">
        <v>0</v>
      </c>
    </row>
    <row r="58" spans="1:9" ht="15.75" hidden="1" thickBot="1" x14ac:dyDescent="0.3">
      <c r="A58" s="211"/>
      <c r="B58" s="104"/>
      <c r="C58" s="80"/>
      <c r="D58" s="96"/>
      <c r="E58" s="67" t="s">
        <v>558</v>
      </c>
      <c r="F58" s="67" t="str">
        <f>IF(ISNUMBER(E58),ROUND(E58*$D58,2),"")</f>
        <v/>
      </c>
      <c r="G58" s="69"/>
      <c r="H58" s="31"/>
      <c r="I58" s="156">
        <v>0</v>
      </c>
    </row>
    <row r="59" spans="1:9" ht="15.75" hidden="1" thickBot="1" x14ac:dyDescent="0.3">
      <c r="A59" s="210" t="s">
        <v>157</v>
      </c>
      <c r="B59" s="41" t="s">
        <v>558</v>
      </c>
      <c r="C59" s="78" t="s">
        <v>122</v>
      </c>
      <c r="D59" s="94"/>
      <c r="E59" s="42" t="s">
        <v>558</v>
      </c>
      <c r="F59" s="42" t="str">
        <f>IF(ISNUMBER(E59),ROUND(E59*$D59,2),"")</f>
        <v/>
      </c>
      <c r="G59" s="29"/>
      <c r="H59" s="30"/>
      <c r="I59" s="156">
        <v>0</v>
      </c>
    </row>
    <row r="60" spans="1:9" hidden="1" x14ac:dyDescent="0.25">
      <c r="A60" s="209"/>
      <c r="B60" s="32" t="s">
        <v>558</v>
      </c>
      <c r="C60" s="79"/>
      <c r="D60" s="92"/>
      <c r="E60" s="98" t="s">
        <v>558</v>
      </c>
      <c r="F60" s="99" t="str">
        <f>IF(ISNUMBER(E60),ROUND(E60*$D60,2),"")</f>
        <v/>
      </c>
      <c r="G60" s="35"/>
      <c r="H60" s="31"/>
      <c r="I60" s="156">
        <v>0</v>
      </c>
    </row>
    <row r="61" spans="1:9" ht="25.5" hidden="1" x14ac:dyDescent="0.25">
      <c r="A61" s="209"/>
      <c r="B61" s="36" t="s">
        <v>791</v>
      </c>
      <c r="C61" s="50" t="s">
        <v>122</v>
      </c>
      <c r="D61" s="37">
        <v>1.1599999999999999</v>
      </c>
      <c r="E61" s="34">
        <v>85.5</v>
      </c>
      <c r="F61" s="34">
        <f>IF(ISNUMBER(E61),ROUND(E61*$D61,2),"")</f>
        <v>99.18</v>
      </c>
      <c r="G61" s="45">
        <f>SUM(F61:F70)</f>
        <v>488.08668409799998</v>
      </c>
      <c r="H61" s="46"/>
      <c r="I61" s="156">
        <v>0</v>
      </c>
    </row>
    <row r="62" spans="1:9" hidden="1" x14ac:dyDescent="0.25">
      <c r="A62" s="209"/>
      <c r="B62" s="36" t="s">
        <v>1514</v>
      </c>
      <c r="C62" s="50" t="s">
        <v>938</v>
      </c>
      <c r="D62" s="37">
        <v>174.1</v>
      </c>
      <c r="E62" s="34">
        <v>0.8929999999999999</v>
      </c>
      <c r="F62" s="34">
        <f>IF(ISNUMBER(E62),ROUND(E62*$D62,2),"")</f>
        <v>155.47</v>
      </c>
      <c r="G62" s="45"/>
      <c r="H62" s="46"/>
      <c r="I62" s="156">
        <v>0</v>
      </c>
    </row>
    <row r="63" spans="1:9" hidden="1" x14ac:dyDescent="0.25">
      <c r="A63" s="209"/>
      <c r="B63" s="36" t="s">
        <v>787</v>
      </c>
      <c r="C63" s="50" t="s">
        <v>938</v>
      </c>
      <c r="D63" s="37">
        <v>195.86</v>
      </c>
      <c r="E63" s="31">
        <v>0.52249999999999996</v>
      </c>
      <c r="F63" s="34">
        <f>IF(ISNUMBER(E63),ROUND(E63*$D63,2),"")</f>
        <v>102.34</v>
      </c>
      <c r="G63" s="45"/>
      <c r="H63" s="46"/>
      <c r="I63" s="156">
        <v>0</v>
      </c>
    </row>
    <row r="64" spans="1:9" ht="25.5" hidden="1" x14ac:dyDescent="0.25">
      <c r="A64" s="209"/>
      <c r="B64" s="36" t="s">
        <v>1512</v>
      </c>
      <c r="C64" s="50" t="s">
        <v>742</v>
      </c>
      <c r="D64" s="37">
        <v>4.5</v>
      </c>
      <c r="E64" s="31">
        <v>16.928999999999998</v>
      </c>
      <c r="F64" s="34">
        <f>IF(ISNUMBER(E64),ROUND(E64*$D64,2),"")</f>
        <v>76.180000000000007</v>
      </c>
      <c r="G64" s="45"/>
      <c r="H64" s="46"/>
      <c r="I64" s="156">
        <v>0</v>
      </c>
    </row>
    <row r="65" spans="1:9" ht="38.25" hidden="1" x14ac:dyDescent="0.25">
      <c r="A65" s="209"/>
      <c r="B65" s="36" t="s">
        <v>119</v>
      </c>
      <c r="C65" s="50" t="s">
        <v>982</v>
      </c>
      <c r="D65" s="37">
        <v>1.05</v>
      </c>
      <c r="E65" s="31">
        <v>1.3774999999999999</v>
      </c>
      <c r="F65" s="34">
        <f>IF(ISNUMBER(E65),ROUND(E65*$D65,2),"")</f>
        <v>1.45</v>
      </c>
      <c r="G65" s="45"/>
      <c r="H65" s="46"/>
      <c r="I65" s="156">
        <v>0</v>
      </c>
    </row>
    <row r="66" spans="1:9" ht="51" hidden="1" x14ac:dyDescent="0.25">
      <c r="A66" s="209"/>
      <c r="B66" s="36" t="s">
        <v>3617</v>
      </c>
      <c r="C66" s="36" t="s">
        <v>122</v>
      </c>
      <c r="D66" s="37">
        <f>D61</f>
        <v>1.1599999999999999</v>
      </c>
      <c r="E66" s="31">
        <v>6.0919690499999994</v>
      </c>
      <c r="F66" s="34">
        <f>IF(ISNUMBER(E66),E66*$D66,"")</f>
        <v>7.0666840979999987</v>
      </c>
      <c r="G66" s="45"/>
      <c r="H66" s="46"/>
      <c r="I66" s="156">
        <v>0</v>
      </c>
    </row>
    <row r="67" spans="1:9" ht="38.25" hidden="1" x14ac:dyDescent="0.25">
      <c r="A67" s="209"/>
      <c r="B67" s="36" t="s">
        <v>3616</v>
      </c>
      <c r="C67" s="50" t="s">
        <v>124</v>
      </c>
      <c r="D67" s="37">
        <f>20*D61</f>
        <v>23.2</v>
      </c>
      <c r="E67" s="34">
        <v>1.9998782499999996</v>
      </c>
      <c r="F67" s="34">
        <f>IF(ISNUMBER(E67),ROUND(E67*$D67,2),"")</f>
        <v>46.4</v>
      </c>
      <c r="G67" s="45"/>
      <c r="H67" s="46"/>
      <c r="I67" s="156">
        <v>0</v>
      </c>
    </row>
    <row r="68" spans="1:9" hidden="1" x14ac:dyDescent="0.25">
      <c r="A68" s="209"/>
      <c r="B68" s="51"/>
      <c r="C68" s="131"/>
      <c r="D68" s="37"/>
      <c r="E68" s="31" t="s">
        <v>558</v>
      </c>
      <c r="F68" s="34" t="str">
        <f>IF(ISNUMBER(E68),ROUND(E68*$D68,2),"")</f>
        <v/>
      </c>
      <c r="G68" s="45"/>
      <c r="H68" s="46"/>
      <c r="I68" s="156">
        <v>0</v>
      </c>
    </row>
    <row r="69" spans="1:9" hidden="1" x14ac:dyDescent="0.25">
      <c r="A69" s="209"/>
      <c r="B69" s="48" t="s">
        <v>794</v>
      </c>
      <c r="C69" s="131"/>
      <c r="D69" s="37"/>
      <c r="E69" s="31" t="s">
        <v>558</v>
      </c>
      <c r="F69" s="34" t="str">
        <f>IF(ISNUMBER(E69),ROUND(E69*$D69,2),"")</f>
        <v/>
      </c>
      <c r="G69" s="45"/>
      <c r="H69" s="46"/>
      <c r="I69" s="156">
        <v>0</v>
      </c>
    </row>
    <row r="70" spans="1:9" hidden="1" x14ac:dyDescent="0.25">
      <c r="A70" s="209"/>
      <c r="B70" s="157" t="s">
        <v>3780</v>
      </c>
      <c r="C70" s="158"/>
      <c r="D70" s="159"/>
      <c r="E70" s="31" t="s">
        <v>558</v>
      </c>
      <c r="F70" s="31" t="str">
        <f>IF(ISNUMBER(E70),ROUND(E70*$D70,2),"")</f>
        <v/>
      </c>
      <c r="G70" s="45"/>
      <c r="H70" s="46"/>
      <c r="I70" s="156">
        <v>0</v>
      </c>
    </row>
    <row r="71" spans="1:9" ht="15.75" hidden="1" thickBot="1" x14ac:dyDescent="0.3">
      <c r="A71" s="211"/>
      <c r="B71" s="104"/>
      <c r="C71" s="80"/>
      <c r="D71" s="96"/>
      <c r="E71" s="67" t="s">
        <v>558</v>
      </c>
      <c r="F71" s="67" t="str">
        <f>IF(ISNUMBER(E71),ROUND(E71*$D71,2),"")</f>
        <v/>
      </c>
      <c r="G71" s="69"/>
      <c r="H71" s="31"/>
      <c r="I71" s="156">
        <v>0</v>
      </c>
    </row>
    <row r="72" spans="1:9" ht="27.75" hidden="1" customHeight="1" thickBot="1" x14ac:dyDescent="0.3">
      <c r="A72" s="210" t="s">
        <v>1209</v>
      </c>
      <c r="B72" s="41" t="s">
        <v>558</v>
      </c>
      <c r="C72" s="78" t="s">
        <v>938</v>
      </c>
      <c r="D72" s="94"/>
      <c r="E72" s="42" t="s">
        <v>558</v>
      </c>
      <c r="F72" s="42" t="str">
        <f>IF(ISNUMBER(E72),ROUND(E72*$D72,2),"")</f>
        <v/>
      </c>
      <c r="G72" s="29"/>
      <c r="H72" s="30"/>
      <c r="I72" s="156">
        <v>0</v>
      </c>
    </row>
    <row r="73" spans="1:9" ht="27.75" hidden="1" customHeight="1" x14ac:dyDescent="0.25">
      <c r="A73" s="209"/>
      <c r="B73" s="32" t="s">
        <v>558</v>
      </c>
      <c r="C73" s="79"/>
      <c r="D73" s="92"/>
      <c r="E73" s="98" t="s">
        <v>558</v>
      </c>
      <c r="F73" s="99" t="str">
        <f>IF(ISNUMBER(E73),ROUND(E73*$D73,2),"")</f>
        <v/>
      </c>
      <c r="G73" s="35"/>
      <c r="H73" s="31"/>
      <c r="I73" s="156">
        <v>0</v>
      </c>
    </row>
    <row r="74" spans="1:9" ht="27.75" hidden="1" customHeight="1" x14ac:dyDescent="0.25">
      <c r="A74" s="209"/>
      <c r="B74" s="36" t="s">
        <v>939</v>
      </c>
      <c r="C74" s="50" t="s">
        <v>292</v>
      </c>
      <c r="D74" s="37">
        <v>2.8159999999999998</v>
      </c>
      <c r="E74" s="34">
        <v>0.19949999999999998</v>
      </c>
      <c r="F74" s="34">
        <f>IF(ISNUMBER(E74),ROUND(E74*$D74,2),"")</f>
        <v>0.56000000000000005</v>
      </c>
      <c r="G74" s="45">
        <f>SUM(F74:F78)</f>
        <v>19.96</v>
      </c>
      <c r="H74" s="46"/>
      <c r="I74" s="156">
        <v>0</v>
      </c>
    </row>
    <row r="75" spans="1:9" ht="27.75" hidden="1" customHeight="1" x14ac:dyDescent="0.25">
      <c r="A75" s="209"/>
      <c r="B75" s="36" t="s">
        <v>3598</v>
      </c>
      <c r="C75" s="50" t="s">
        <v>938</v>
      </c>
      <c r="D75" s="37">
        <v>2.5000000000000001E-2</v>
      </c>
      <c r="E75" s="34">
        <v>21.754999999999999</v>
      </c>
      <c r="F75" s="34">
        <f>IF(ISNUMBER(E75),ROUND(E75*$D75,2),"")</f>
        <v>0.54</v>
      </c>
      <c r="G75" s="45"/>
      <c r="H75" s="46"/>
      <c r="I75" s="156">
        <v>0</v>
      </c>
    </row>
    <row r="76" spans="1:9" ht="27.75" hidden="1" customHeight="1" x14ac:dyDescent="0.25">
      <c r="A76" s="209"/>
      <c r="B76" s="36" t="s">
        <v>940</v>
      </c>
      <c r="C76" s="50" t="s">
        <v>742</v>
      </c>
      <c r="D76" s="37">
        <v>3.1E-2</v>
      </c>
      <c r="E76" s="31">
        <v>17.518000000000001</v>
      </c>
      <c r="F76" s="34">
        <f>IF(ISNUMBER(E76),ROUND(E76*$D76,2),"")</f>
        <v>0.54</v>
      </c>
      <c r="G76" s="45"/>
      <c r="H76" s="46"/>
      <c r="I76" s="156">
        <v>0</v>
      </c>
    </row>
    <row r="77" spans="1:9" ht="27.75" hidden="1" customHeight="1" x14ac:dyDescent="0.25">
      <c r="A77" s="209"/>
      <c r="B77" s="36" t="s">
        <v>941</v>
      </c>
      <c r="C77" s="50" t="s">
        <v>742</v>
      </c>
      <c r="D77" s="37">
        <v>0.18959999999999999</v>
      </c>
      <c r="E77" s="31">
        <v>22.591000000000001</v>
      </c>
      <c r="F77" s="34">
        <f>IF(ISNUMBER(E77),ROUND(E77*$D77,2),"")</f>
        <v>4.28</v>
      </c>
      <c r="G77" s="45"/>
      <c r="H77" s="46"/>
      <c r="I77" s="156">
        <v>0</v>
      </c>
    </row>
    <row r="78" spans="1:9" ht="27.75" hidden="1" customHeight="1" x14ac:dyDescent="0.25">
      <c r="A78" s="209"/>
      <c r="B78" s="36" t="s">
        <v>1518</v>
      </c>
      <c r="C78" s="50" t="s">
        <v>938</v>
      </c>
      <c r="D78" s="37">
        <v>1</v>
      </c>
      <c r="E78" s="31">
        <v>14.037141099999999</v>
      </c>
      <c r="F78" s="34">
        <f>IF(ISNUMBER(E78),ROUND(E78*$D78,2),"")</f>
        <v>14.04</v>
      </c>
      <c r="G78" s="45"/>
      <c r="H78" s="46"/>
      <c r="I78" s="156">
        <v>0</v>
      </c>
    </row>
    <row r="79" spans="1:9" ht="27.75" hidden="1" customHeight="1" thickBot="1" x14ac:dyDescent="0.3">
      <c r="A79" s="211"/>
      <c r="B79" s="104"/>
      <c r="C79" s="80"/>
      <c r="D79" s="96"/>
      <c r="E79" s="67" t="s">
        <v>558</v>
      </c>
      <c r="F79" s="67" t="str">
        <f t="shared" ref="F79:F86" si="0">IF(ISNUMBER(E79),ROUND(E79*$D79,2),"")</f>
        <v/>
      </c>
      <c r="G79" s="69"/>
      <c r="H79" s="31"/>
      <c r="I79" s="156">
        <v>0</v>
      </c>
    </row>
    <row r="80" spans="1:9" ht="15.75" hidden="1" thickBot="1" x14ac:dyDescent="0.3">
      <c r="A80" s="210" t="s">
        <v>3293</v>
      </c>
      <c r="B80" s="41" t="s">
        <v>558</v>
      </c>
      <c r="C80" s="78" t="s">
        <v>122</v>
      </c>
      <c r="D80" s="94"/>
      <c r="E80" s="42" t="s">
        <v>558</v>
      </c>
      <c r="F80" s="42" t="str">
        <f t="shared" si="0"/>
        <v/>
      </c>
      <c r="G80" s="29"/>
      <c r="H80" s="30"/>
      <c r="I80" s="156">
        <v>0</v>
      </c>
    </row>
    <row r="81" spans="1:9" hidden="1" x14ac:dyDescent="0.25">
      <c r="A81" s="209"/>
      <c r="B81" s="32" t="s">
        <v>558</v>
      </c>
      <c r="C81" s="79"/>
      <c r="D81" s="92"/>
      <c r="E81" s="98" t="s">
        <v>558</v>
      </c>
      <c r="F81" s="99" t="str">
        <f t="shared" si="0"/>
        <v/>
      </c>
      <c r="G81" s="35"/>
      <c r="H81" s="31"/>
      <c r="I81" s="156">
        <v>0</v>
      </c>
    </row>
    <row r="82" spans="1:9" ht="25.5" hidden="1" x14ac:dyDescent="0.25">
      <c r="A82" s="209"/>
      <c r="B82" s="36" t="s">
        <v>791</v>
      </c>
      <c r="C82" s="50" t="s">
        <v>122</v>
      </c>
      <c r="D82" s="37">
        <v>0.71199999999999997</v>
      </c>
      <c r="E82" s="34">
        <v>85.5</v>
      </c>
      <c r="F82" s="34">
        <f t="shared" si="0"/>
        <v>60.88</v>
      </c>
      <c r="G82" s="45">
        <f>SUM(F82:F90)</f>
        <v>456.54633201953499</v>
      </c>
      <c r="H82" s="46"/>
      <c r="I82" s="156">
        <v>0</v>
      </c>
    </row>
    <row r="83" spans="1:9" hidden="1" x14ac:dyDescent="0.25">
      <c r="A83" s="209"/>
      <c r="B83" s="36" t="s">
        <v>787</v>
      </c>
      <c r="C83" s="50" t="s">
        <v>938</v>
      </c>
      <c r="D83" s="37">
        <v>391.17</v>
      </c>
      <c r="E83" s="34">
        <v>0.52249999999999996</v>
      </c>
      <c r="F83" s="34">
        <f t="shared" si="0"/>
        <v>204.39</v>
      </c>
      <c r="G83" s="45"/>
      <c r="H83" s="46"/>
      <c r="I83" s="156">
        <v>0</v>
      </c>
    </row>
    <row r="84" spans="1:9" ht="25.5" hidden="1" x14ac:dyDescent="0.25">
      <c r="A84" s="209"/>
      <c r="B84" s="36" t="s">
        <v>799</v>
      </c>
      <c r="C84" s="50" t="s">
        <v>122</v>
      </c>
      <c r="D84" s="37">
        <v>0.5927</v>
      </c>
      <c r="E84" s="31">
        <v>124.982</v>
      </c>
      <c r="F84" s="34">
        <f t="shared" si="0"/>
        <v>74.08</v>
      </c>
      <c r="G84" s="45"/>
      <c r="H84" s="46"/>
      <c r="I84" s="156">
        <v>0</v>
      </c>
    </row>
    <row r="85" spans="1:9" hidden="1" x14ac:dyDescent="0.25">
      <c r="A85" s="209"/>
      <c r="B85" s="36" t="s">
        <v>743</v>
      </c>
      <c r="C85" s="50" t="s">
        <v>742</v>
      </c>
      <c r="D85" s="37">
        <v>1.96</v>
      </c>
      <c r="E85" s="31">
        <v>16.729499999999998</v>
      </c>
      <c r="F85" s="34">
        <f t="shared" si="0"/>
        <v>32.79</v>
      </c>
      <c r="G85" s="45"/>
      <c r="H85" s="46"/>
      <c r="I85" s="156">
        <v>0</v>
      </c>
    </row>
    <row r="86" spans="1:9" ht="25.5" hidden="1" x14ac:dyDescent="0.25">
      <c r="A86" s="209"/>
      <c r="B86" s="36" t="s">
        <v>1512</v>
      </c>
      <c r="C86" s="50" t="s">
        <v>742</v>
      </c>
      <c r="D86" s="37">
        <v>1.24</v>
      </c>
      <c r="E86" s="31">
        <v>16.928999999999998</v>
      </c>
      <c r="F86" s="34">
        <f t="shared" si="0"/>
        <v>20.99</v>
      </c>
      <c r="G86" s="45"/>
      <c r="H86" s="46"/>
      <c r="I86" s="156">
        <v>0</v>
      </c>
    </row>
    <row r="87" spans="1:9" ht="38.25" hidden="1" x14ac:dyDescent="0.25">
      <c r="A87" s="209"/>
      <c r="B87" s="36" t="s">
        <v>1433</v>
      </c>
      <c r="C87" s="36" t="s">
        <v>982</v>
      </c>
      <c r="D87" s="37">
        <v>0.64</v>
      </c>
      <c r="E87" s="31">
        <v>3.9425000000000003</v>
      </c>
      <c r="F87" s="34">
        <f t="shared" ref="F87:F88" si="1">IF(ISNUMBER(E87),E87*$D87,"")</f>
        <v>2.5232000000000001</v>
      </c>
      <c r="G87" s="45"/>
      <c r="H87" s="46"/>
      <c r="I87" s="156">
        <v>0</v>
      </c>
    </row>
    <row r="88" spans="1:9" ht="38.25" hidden="1" x14ac:dyDescent="0.25">
      <c r="A88" s="209"/>
      <c r="B88" s="36" t="s">
        <v>1513</v>
      </c>
      <c r="C88" s="47" t="s">
        <v>984</v>
      </c>
      <c r="D88" s="37">
        <v>0.61</v>
      </c>
      <c r="E88" s="31">
        <v>1.254</v>
      </c>
      <c r="F88" s="34">
        <f t="shared" si="1"/>
        <v>0.76493999999999995</v>
      </c>
      <c r="G88" s="45"/>
      <c r="H88" s="46"/>
      <c r="I88" s="156">
        <v>0</v>
      </c>
    </row>
    <row r="89" spans="1:9" ht="51" hidden="1" x14ac:dyDescent="0.25">
      <c r="A89" s="209"/>
      <c r="B89" s="36" t="s">
        <v>3617</v>
      </c>
      <c r="C89" s="36" t="s">
        <v>122</v>
      </c>
      <c r="D89" s="37">
        <f>D82+D84</f>
        <v>1.3047</v>
      </c>
      <c r="E89" s="31">
        <v>6.0919690499999994</v>
      </c>
      <c r="F89" s="34">
        <f t="shared" ref="F89" si="2">IF(ISNUMBER(E89),E89*$D89,"")</f>
        <v>7.9481920195349991</v>
      </c>
      <c r="G89" s="45"/>
      <c r="H89" s="46"/>
      <c r="I89" s="156">
        <v>0</v>
      </c>
    </row>
    <row r="90" spans="1:9" ht="38.25" hidden="1" x14ac:dyDescent="0.25">
      <c r="A90" s="209"/>
      <c r="B90" s="36" t="s">
        <v>3616</v>
      </c>
      <c r="C90" s="50" t="s">
        <v>124</v>
      </c>
      <c r="D90" s="37">
        <f>20*(D82+D84)</f>
        <v>26.094000000000001</v>
      </c>
      <c r="E90" s="34">
        <v>1.9998782499999996</v>
      </c>
      <c r="F90" s="34">
        <f>IF(ISNUMBER(E90),ROUND(E90*$D90,2),"")</f>
        <v>52.18</v>
      </c>
      <c r="G90" s="45"/>
      <c r="H90" s="46"/>
      <c r="I90" s="156">
        <v>0</v>
      </c>
    </row>
    <row r="91" spans="1:9" hidden="1" x14ac:dyDescent="0.25">
      <c r="A91" s="209"/>
      <c r="B91" s="51"/>
      <c r="C91" s="131"/>
      <c r="D91" s="37"/>
      <c r="E91" s="31" t="s">
        <v>558</v>
      </c>
      <c r="F91" s="34" t="str">
        <f t="shared" ref="F91:F100" si="3">IF(ISNUMBER(E91),ROUND(E91*$D91,2),"")</f>
        <v/>
      </c>
      <c r="G91" s="45"/>
      <c r="H91" s="46"/>
      <c r="I91" s="156">
        <v>0</v>
      </c>
    </row>
    <row r="92" spans="1:9" hidden="1" x14ac:dyDescent="0.25">
      <c r="A92" s="209"/>
      <c r="B92" s="48" t="s">
        <v>794</v>
      </c>
      <c r="C92" s="131"/>
      <c r="D92" s="37"/>
      <c r="E92" s="31" t="s">
        <v>558</v>
      </c>
      <c r="F92" s="34" t="str">
        <f t="shared" si="3"/>
        <v/>
      </c>
      <c r="G92" s="45"/>
      <c r="H92" s="46"/>
      <c r="I92" s="156">
        <v>0</v>
      </c>
    </row>
    <row r="93" spans="1:9" ht="15.75" hidden="1" thickBot="1" x14ac:dyDescent="0.3">
      <c r="A93" s="211"/>
      <c r="B93" s="104"/>
      <c r="C93" s="80"/>
      <c r="D93" s="96"/>
      <c r="E93" s="67" t="s">
        <v>558</v>
      </c>
      <c r="F93" s="67" t="str">
        <f t="shared" si="3"/>
        <v/>
      </c>
      <c r="G93" s="69"/>
      <c r="H93" s="31"/>
      <c r="I93" s="156">
        <v>0</v>
      </c>
    </row>
    <row r="94" spans="1:9" ht="15.75" hidden="1" thickBot="1" x14ac:dyDescent="0.3">
      <c r="A94" s="210" t="s">
        <v>3292</v>
      </c>
      <c r="B94" s="41" t="s">
        <v>558</v>
      </c>
      <c r="C94" s="78" t="s">
        <v>122</v>
      </c>
      <c r="D94" s="94"/>
      <c r="E94" s="42" t="s">
        <v>558</v>
      </c>
      <c r="F94" s="42" t="str">
        <f t="shared" si="3"/>
        <v/>
      </c>
      <c r="G94" s="29"/>
      <c r="H94" s="30"/>
      <c r="I94" s="156">
        <v>0</v>
      </c>
    </row>
    <row r="95" spans="1:9" hidden="1" x14ac:dyDescent="0.25">
      <c r="A95" s="209"/>
      <c r="B95" s="32" t="s">
        <v>558</v>
      </c>
      <c r="C95" s="79"/>
      <c r="D95" s="92"/>
      <c r="E95" s="98" t="s">
        <v>558</v>
      </c>
      <c r="F95" s="99" t="str">
        <f t="shared" si="3"/>
        <v/>
      </c>
      <c r="G95" s="35"/>
      <c r="H95" s="31"/>
      <c r="I95" s="156">
        <v>0</v>
      </c>
    </row>
    <row r="96" spans="1:9" ht="25.5" hidden="1" x14ac:dyDescent="0.25">
      <c r="A96" s="209"/>
      <c r="B96" s="36" t="s">
        <v>791</v>
      </c>
      <c r="C96" s="50" t="s">
        <v>122</v>
      </c>
      <c r="D96" s="37">
        <v>0.72699999999999998</v>
      </c>
      <c r="E96" s="34">
        <v>85.5</v>
      </c>
      <c r="F96" s="34">
        <f t="shared" si="3"/>
        <v>62.16</v>
      </c>
      <c r="G96" s="45">
        <f>SUM(F96:F104)</f>
        <v>446.04390702220002</v>
      </c>
      <c r="H96" s="46"/>
      <c r="I96" s="156">
        <v>0</v>
      </c>
    </row>
    <row r="97" spans="1:9" hidden="1" x14ac:dyDescent="0.25">
      <c r="A97" s="209"/>
      <c r="B97" s="36" t="s">
        <v>787</v>
      </c>
      <c r="C97" s="50" t="s">
        <v>938</v>
      </c>
      <c r="D97" s="37">
        <v>364.94</v>
      </c>
      <c r="E97" s="34">
        <v>0.52249999999999996</v>
      </c>
      <c r="F97" s="34">
        <f t="shared" si="3"/>
        <v>190.68</v>
      </c>
      <c r="G97" s="45"/>
      <c r="H97" s="46"/>
      <c r="I97" s="156">
        <v>0</v>
      </c>
    </row>
    <row r="98" spans="1:9" ht="25.5" hidden="1" x14ac:dyDescent="0.25">
      <c r="A98" s="209"/>
      <c r="B98" s="36" t="s">
        <v>799</v>
      </c>
      <c r="C98" s="50" t="s">
        <v>122</v>
      </c>
      <c r="D98" s="37">
        <v>0.59699999999999998</v>
      </c>
      <c r="E98" s="31">
        <v>124.982</v>
      </c>
      <c r="F98" s="34">
        <f t="shared" si="3"/>
        <v>74.61</v>
      </c>
      <c r="G98" s="45"/>
      <c r="H98" s="46"/>
      <c r="I98" s="156">
        <v>0</v>
      </c>
    </row>
    <row r="99" spans="1:9" hidden="1" x14ac:dyDescent="0.25">
      <c r="A99" s="209"/>
      <c r="B99" s="36" t="s">
        <v>743</v>
      </c>
      <c r="C99" s="50" t="s">
        <v>742</v>
      </c>
      <c r="D99" s="37">
        <v>1.98</v>
      </c>
      <c r="E99" s="31">
        <v>16.729499999999998</v>
      </c>
      <c r="F99" s="34">
        <f t="shared" si="3"/>
        <v>33.119999999999997</v>
      </c>
      <c r="G99" s="45"/>
      <c r="H99" s="46"/>
      <c r="I99" s="156">
        <v>0</v>
      </c>
    </row>
    <row r="100" spans="1:9" ht="25.5" hidden="1" x14ac:dyDescent="0.25">
      <c r="A100" s="209"/>
      <c r="B100" s="36" t="s">
        <v>1512</v>
      </c>
      <c r="C100" s="50" t="s">
        <v>742</v>
      </c>
      <c r="D100" s="37">
        <v>1.25</v>
      </c>
      <c r="E100" s="31">
        <v>16.928999999999998</v>
      </c>
      <c r="F100" s="34">
        <f t="shared" si="3"/>
        <v>21.16</v>
      </c>
      <c r="G100" s="45"/>
      <c r="H100" s="46"/>
      <c r="I100" s="156">
        <v>0</v>
      </c>
    </row>
    <row r="101" spans="1:9" ht="38.25" hidden="1" x14ac:dyDescent="0.25">
      <c r="A101" s="209"/>
      <c r="B101" s="36" t="s">
        <v>1433</v>
      </c>
      <c r="C101" s="36" t="s">
        <v>982</v>
      </c>
      <c r="D101" s="37">
        <v>0.64</v>
      </c>
      <c r="E101" s="31">
        <v>3.9425000000000003</v>
      </c>
      <c r="F101" s="34">
        <f>IF(ISNUMBER(E101),E101*$D101,"")</f>
        <v>2.5232000000000001</v>
      </c>
      <c r="G101" s="45"/>
      <c r="H101" s="46"/>
      <c r="I101" s="156">
        <v>0</v>
      </c>
    </row>
    <row r="102" spans="1:9" ht="38.25" hidden="1" x14ac:dyDescent="0.25">
      <c r="A102" s="209"/>
      <c r="B102" s="36" t="s">
        <v>1513</v>
      </c>
      <c r="C102" s="47" t="s">
        <v>984</v>
      </c>
      <c r="D102" s="37">
        <v>0.61</v>
      </c>
      <c r="E102" s="31">
        <v>1.254</v>
      </c>
      <c r="F102" s="34">
        <f>IF(ISNUMBER(E102),E102*$D102,"")</f>
        <v>0.76493999999999995</v>
      </c>
      <c r="G102" s="45"/>
      <c r="H102" s="46"/>
      <c r="I102" s="156">
        <v>0</v>
      </c>
    </row>
    <row r="103" spans="1:9" ht="51" hidden="1" x14ac:dyDescent="0.25">
      <c r="A103" s="209"/>
      <c r="B103" s="36" t="s">
        <v>3617</v>
      </c>
      <c r="C103" s="36" t="s">
        <v>122</v>
      </c>
      <c r="D103" s="37">
        <f>D96+D98</f>
        <v>1.3239999999999998</v>
      </c>
      <c r="E103" s="31">
        <v>6.0919690499999994</v>
      </c>
      <c r="F103" s="34">
        <f>IF(ISNUMBER(E103),E103*$D103,"")</f>
        <v>8.0657670221999975</v>
      </c>
      <c r="G103" s="45"/>
      <c r="H103" s="46"/>
      <c r="I103" s="156">
        <v>0</v>
      </c>
    </row>
    <row r="104" spans="1:9" ht="38.25" hidden="1" x14ac:dyDescent="0.25">
      <c r="A104" s="209"/>
      <c r="B104" s="36" t="s">
        <v>3616</v>
      </c>
      <c r="C104" s="50" t="s">
        <v>124</v>
      </c>
      <c r="D104" s="37">
        <f>20*(D96+D98)</f>
        <v>26.479999999999997</v>
      </c>
      <c r="E104" s="34">
        <v>1.9998782499999996</v>
      </c>
      <c r="F104" s="34">
        <f>IF(ISNUMBER(E104),ROUND(E104*$D104,2),"")</f>
        <v>52.96</v>
      </c>
      <c r="G104" s="45"/>
      <c r="H104" s="46"/>
      <c r="I104" s="156">
        <v>0</v>
      </c>
    </row>
    <row r="105" spans="1:9" hidden="1" x14ac:dyDescent="0.25">
      <c r="A105" s="209"/>
      <c r="B105" s="51"/>
      <c r="C105" s="131"/>
      <c r="D105" s="37"/>
      <c r="E105" s="31" t="s">
        <v>558</v>
      </c>
      <c r="F105" s="34" t="str">
        <f t="shared" ref="F105:F114" si="4">IF(ISNUMBER(E105),ROUND(E105*$D105,2),"")</f>
        <v/>
      </c>
      <c r="G105" s="45"/>
      <c r="H105" s="46"/>
      <c r="I105" s="156">
        <v>0</v>
      </c>
    </row>
    <row r="106" spans="1:9" hidden="1" x14ac:dyDescent="0.25">
      <c r="A106" s="209"/>
      <c r="B106" s="48" t="s">
        <v>794</v>
      </c>
      <c r="C106" s="131"/>
      <c r="D106" s="37"/>
      <c r="E106" s="31" t="s">
        <v>558</v>
      </c>
      <c r="F106" s="34" t="str">
        <f t="shared" si="4"/>
        <v/>
      </c>
      <c r="G106" s="45"/>
      <c r="H106" s="46"/>
      <c r="I106" s="156">
        <v>0</v>
      </c>
    </row>
    <row r="107" spans="1:9" ht="15.75" hidden="1" thickBot="1" x14ac:dyDescent="0.3">
      <c r="A107" s="211"/>
      <c r="B107" s="104"/>
      <c r="C107" s="80"/>
      <c r="D107" s="96"/>
      <c r="E107" s="67" t="s">
        <v>558</v>
      </c>
      <c r="F107" s="67" t="str">
        <f t="shared" si="4"/>
        <v/>
      </c>
      <c r="G107" s="69"/>
      <c r="H107" s="31"/>
      <c r="I107" s="156">
        <v>0</v>
      </c>
    </row>
    <row r="108" spans="1:9" ht="15.75" hidden="1" thickBot="1" x14ac:dyDescent="0.3">
      <c r="A108" s="210" t="s">
        <v>3290</v>
      </c>
      <c r="B108" s="41" t="s">
        <v>558</v>
      </c>
      <c r="C108" s="78" t="s">
        <v>122</v>
      </c>
      <c r="D108" s="94"/>
      <c r="E108" s="42" t="s">
        <v>558</v>
      </c>
      <c r="F108" s="42" t="str">
        <f t="shared" si="4"/>
        <v/>
      </c>
      <c r="G108" s="29"/>
      <c r="H108" s="30"/>
      <c r="I108" s="156">
        <v>0</v>
      </c>
    </row>
    <row r="109" spans="1:9" hidden="1" x14ac:dyDescent="0.25">
      <c r="A109" s="209"/>
      <c r="B109" s="32" t="s">
        <v>558</v>
      </c>
      <c r="C109" s="79"/>
      <c r="D109" s="92"/>
      <c r="E109" s="98" t="s">
        <v>558</v>
      </c>
      <c r="F109" s="99" t="str">
        <f t="shared" si="4"/>
        <v/>
      </c>
      <c r="G109" s="35"/>
      <c r="H109" s="31"/>
      <c r="I109" s="156">
        <v>0</v>
      </c>
    </row>
    <row r="110" spans="1:9" ht="25.5" hidden="1" x14ac:dyDescent="0.25">
      <c r="A110" s="209"/>
      <c r="B110" s="36" t="s">
        <v>1349</v>
      </c>
      <c r="C110" s="50" t="s">
        <v>122</v>
      </c>
      <c r="D110" s="37">
        <v>0.56000000000000005</v>
      </c>
      <c r="E110" s="34">
        <v>133.38</v>
      </c>
      <c r="F110" s="34">
        <f t="shared" si="4"/>
        <v>74.69</v>
      </c>
      <c r="G110" s="45">
        <f>SUM(F110:F118)</f>
        <v>454.74712533600001</v>
      </c>
      <c r="H110" s="46"/>
      <c r="I110" s="156">
        <v>0</v>
      </c>
    </row>
    <row r="111" spans="1:9" hidden="1" x14ac:dyDescent="0.25">
      <c r="A111" s="209"/>
      <c r="B111" s="36" t="s">
        <v>1514</v>
      </c>
      <c r="C111" s="50" t="s">
        <v>938</v>
      </c>
      <c r="D111" s="37">
        <v>12.81</v>
      </c>
      <c r="E111" s="34">
        <v>0.8929999999999999</v>
      </c>
      <c r="F111" s="34">
        <f t="shared" si="4"/>
        <v>11.44</v>
      </c>
      <c r="G111" s="45"/>
      <c r="H111" s="46"/>
      <c r="I111" s="156">
        <v>0</v>
      </c>
    </row>
    <row r="112" spans="1:9" hidden="1" x14ac:dyDescent="0.25">
      <c r="A112" s="209"/>
      <c r="B112" s="36" t="s">
        <v>787</v>
      </c>
      <c r="C112" s="50" t="s">
        <v>938</v>
      </c>
      <c r="D112" s="37">
        <v>355.88</v>
      </c>
      <c r="E112" s="31">
        <v>0.52249999999999996</v>
      </c>
      <c r="F112" s="34">
        <f t="shared" si="4"/>
        <v>185.95</v>
      </c>
      <c r="G112" s="45"/>
      <c r="H112" s="46"/>
      <c r="I112" s="156">
        <v>0</v>
      </c>
    </row>
    <row r="113" spans="1:9" ht="25.5" hidden="1" x14ac:dyDescent="0.25">
      <c r="A113" s="209"/>
      <c r="B113" s="36" t="s">
        <v>796</v>
      </c>
      <c r="C113" s="50" t="s">
        <v>122</v>
      </c>
      <c r="D113" s="37">
        <v>0.56000000000000005</v>
      </c>
      <c r="E113" s="31">
        <v>144.29549999999998</v>
      </c>
      <c r="F113" s="34">
        <f t="shared" si="4"/>
        <v>80.81</v>
      </c>
      <c r="G113" s="45"/>
      <c r="H113" s="46"/>
      <c r="I113" s="156">
        <v>0</v>
      </c>
    </row>
    <row r="114" spans="1:9" ht="25.5" hidden="1" x14ac:dyDescent="0.25">
      <c r="A114" s="209"/>
      <c r="B114" s="36" t="s">
        <v>1512</v>
      </c>
      <c r="C114" s="50" t="s">
        <v>742</v>
      </c>
      <c r="D114" s="37">
        <v>2.86</v>
      </c>
      <c r="E114" s="31">
        <v>16.928999999999998</v>
      </c>
      <c r="F114" s="34">
        <f t="shared" si="4"/>
        <v>48.42</v>
      </c>
      <c r="G114" s="45"/>
      <c r="H114" s="46"/>
      <c r="I114" s="156">
        <v>0</v>
      </c>
    </row>
    <row r="115" spans="1:9" ht="38.25" hidden="1" x14ac:dyDescent="0.25">
      <c r="A115" s="209"/>
      <c r="B115" s="36" t="s">
        <v>119</v>
      </c>
      <c r="C115" s="36" t="s">
        <v>982</v>
      </c>
      <c r="D115" s="37">
        <v>0.88</v>
      </c>
      <c r="E115" s="31">
        <v>1.3774999999999999</v>
      </c>
      <c r="F115" s="34">
        <f>IF(ISNUMBER(E115),E115*$D115,"")</f>
        <v>1.2121999999999999</v>
      </c>
      <c r="G115" s="45"/>
      <c r="H115" s="46"/>
      <c r="I115" s="156">
        <v>0</v>
      </c>
    </row>
    <row r="116" spans="1:9" ht="38.25" hidden="1" x14ac:dyDescent="0.25">
      <c r="A116" s="209"/>
      <c r="B116" s="36" t="s">
        <v>120</v>
      </c>
      <c r="C116" s="47" t="s">
        <v>984</v>
      </c>
      <c r="D116" s="37">
        <v>1.98</v>
      </c>
      <c r="E116" s="31">
        <v>0.30399999999999999</v>
      </c>
      <c r="F116" s="34">
        <f>IF(ISNUMBER(E116),E116*$D116,"")</f>
        <v>0.60192000000000001</v>
      </c>
      <c r="G116" s="45"/>
      <c r="H116" s="46"/>
      <c r="I116" s="156">
        <v>0</v>
      </c>
    </row>
    <row r="117" spans="1:9" ht="51" hidden="1" x14ac:dyDescent="0.25">
      <c r="A117" s="209"/>
      <c r="B117" s="36" t="s">
        <v>3617</v>
      </c>
      <c r="C117" s="36" t="s">
        <v>122</v>
      </c>
      <c r="D117" s="37">
        <f>D110+D113</f>
        <v>1.1200000000000001</v>
      </c>
      <c r="E117" s="31">
        <v>6.0919690499999994</v>
      </c>
      <c r="F117" s="34">
        <f>IF(ISNUMBER(E117),E117*$D117,"")</f>
        <v>6.8230053359999996</v>
      </c>
      <c r="G117" s="45"/>
      <c r="H117" s="46"/>
      <c r="I117" s="156">
        <v>0</v>
      </c>
    </row>
    <row r="118" spans="1:9" ht="38.25" hidden="1" x14ac:dyDescent="0.25">
      <c r="A118" s="209"/>
      <c r="B118" s="36" t="s">
        <v>3616</v>
      </c>
      <c r="C118" s="50" t="s">
        <v>124</v>
      </c>
      <c r="D118" s="37">
        <f>20*(D110+D113)</f>
        <v>22.400000000000002</v>
      </c>
      <c r="E118" s="34">
        <v>1.9998782499999996</v>
      </c>
      <c r="F118" s="34">
        <f>IF(ISNUMBER(E118),ROUND(E118*$D118,2),"")</f>
        <v>44.8</v>
      </c>
      <c r="G118" s="45"/>
      <c r="H118" s="46"/>
      <c r="I118" s="156">
        <v>0</v>
      </c>
    </row>
    <row r="119" spans="1:9" hidden="1" x14ac:dyDescent="0.25">
      <c r="A119" s="209"/>
      <c r="B119" s="51"/>
      <c r="C119" s="131"/>
      <c r="D119" s="37"/>
      <c r="E119" s="31" t="s">
        <v>558</v>
      </c>
      <c r="F119" s="34" t="str">
        <f t="shared" ref="F119:F126" si="5">IF(ISNUMBER(E119),ROUND(E119*$D119,2),"")</f>
        <v/>
      </c>
      <c r="G119" s="45"/>
      <c r="H119" s="46"/>
      <c r="I119" s="156">
        <v>0</v>
      </c>
    </row>
    <row r="120" spans="1:9" hidden="1" x14ac:dyDescent="0.25">
      <c r="A120" s="209"/>
      <c r="B120" s="48" t="s">
        <v>794</v>
      </c>
      <c r="C120" s="131"/>
      <c r="D120" s="37"/>
      <c r="E120" s="31" t="s">
        <v>558</v>
      </c>
      <c r="F120" s="34" t="str">
        <f t="shared" si="5"/>
        <v/>
      </c>
      <c r="G120" s="45"/>
      <c r="H120" s="46"/>
      <c r="I120" s="156">
        <v>0</v>
      </c>
    </row>
    <row r="121" spans="1:9" ht="15.75" hidden="1" thickBot="1" x14ac:dyDescent="0.3">
      <c r="A121" s="211"/>
      <c r="B121" s="104"/>
      <c r="C121" s="80"/>
      <c r="D121" s="96"/>
      <c r="E121" s="67" t="s">
        <v>558</v>
      </c>
      <c r="F121" s="67" t="str">
        <f t="shared" si="5"/>
        <v/>
      </c>
      <c r="G121" s="69"/>
      <c r="H121" s="31"/>
      <c r="I121" s="156">
        <v>0</v>
      </c>
    </row>
    <row r="122" spans="1:9" ht="15.75" hidden="1" thickBot="1" x14ac:dyDescent="0.3">
      <c r="A122" s="210" t="s">
        <v>3284</v>
      </c>
      <c r="B122" s="41" t="s">
        <v>558</v>
      </c>
      <c r="C122" s="78" t="s">
        <v>938</v>
      </c>
      <c r="D122" s="94"/>
      <c r="E122" s="28" t="s">
        <v>558</v>
      </c>
      <c r="F122" s="26" t="str">
        <f t="shared" si="5"/>
        <v/>
      </c>
      <c r="G122" s="29"/>
      <c r="H122" s="30"/>
      <c r="I122" s="156">
        <v>0</v>
      </c>
    </row>
    <row r="123" spans="1:9" hidden="1" x14ac:dyDescent="0.25">
      <c r="A123" s="209"/>
      <c r="B123" s="32" t="s">
        <v>558</v>
      </c>
      <c r="C123" s="79"/>
      <c r="D123" s="92"/>
      <c r="E123" s="31" t="s">
        <v>558</v>
      </c>
      <c r="F123" s="31" t="str">
        <f t="shared" si="5"/>
        <v/>
      </c>
      <c r="G123" s="35"/>
      <c r="H123" s="31"/>
      <c r="I123" s="156">
        <v>0</v>
      </c>
    </row>
    <row r="124" spans="1:9" hidden="1" x14ac:dyDescent="0.25">
      <c r="A124" s="209"/>
      <c r="B124" s="36" t="s">
        <v>812</v>
      </c>
      <c r="C124" s="50" t="s">
        <v>938</v>
      </c>
      <c r="D124" s="37">
        <v>1.1100000000000001</v>
      </c>
      <c r="E124" s="31">
        <v>10.012999999999998</v>
      </c>
      <c r="F124" s="34">
        <f t="shared" si="5"/>
        <v>11.11</v>
      </c>
      <c r="G124" s="45">
        <f>SUM(F124:F125)</f>
        <v>11.19</v>
      </c>
      <c r="H124" s="46"/>
      <c r="I124" s="156">
        <v>0</v>
      </c>
    </row>
    <row r="125" spans="1:9" hidden="1" x14ac:dyDescent="0.25">
      <c r="A125" s="209"/>
      <c r="B125" s="36" t="s">
        <v>941</v>
      </c>
      <c r="C125" s="50" t="s">
        <v>742</v>
      </c>
      <c r="D125" s="37">
        <v>3.7000000000000002E-3</v>
      </c>
      <c r="E125" s="31">
        <v>22.591000000000001</v>
      </c>
      <c r="F125" s="34">
        <f t="shared" si="5"/>
        <v>0.08</v>
      </c>
      <c r="G125" s="45"/>
      <c r="H125" s="46"/>
      <c r="I125" s="156">
        <v>0</v>
      </c>
    </row>
    <row r="126" spans="1:9" ht="15.75" hidden="1" thickBot="1" x14ac:dyDescent="0.3">
      <c r="A126" s="211"/>
      <c r="B126" s="55" t="s">
        <v>558</v>
      </c>
      <c r="C126" s="80"/>
      <c r="D126" s="96"/>
      <c r="E126" s="67" t="s">
        <v>558</v>
      </c>
      <c r="F126" s="68" t="str">
        <f t="shared" si="5"/>
        <v/>
      </c>
      <c r="G126" s="69"/>
      <c r="H126" s="31"/>
      <c r="I126" s="156">
        <v>0</v>
      </c>
    </row>
  </sheetData>
  <autoFilter ref="A5:I126">
    <filterColumn colId="8">
      <filters>
        <filter val="18,6030"/>
        <filter val="372,0600"/>
      </filters>
    </filterColumn>
  </autoFilter>
  <mergeCells count="12">
    <mergeCell ref="A108:A121"/>
    <mergeCell ref="A122:A126"/>
    <mergeCell ref="A94:A107"/>
    <mergeCell ref="A72:A79"/>
    <mergeCell ref="A80:A93"/>
    <mergeCell ref="A46:A58"/>
    <mergeCell ref="A59:A71"/>
    <mergeCell ref="A6:A10"/>
    <mergeCell ref="A11:A16"/>
    <mergeCell ref="A17:A23"/>
    <mergeCell ref="A24:A35"/>
    <mergeCell ref="A36:A45"/>
  </mergeCells>
  <conditionalFormatting sqref="F4">
    <cfRule type="containsText" dxfId="24" priority="159"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filterMode="1">
    <pageSetUpPr fitToPage="1"/>
  </sheetPr>
  <dimension ref="A1:I2686"/>
  <sheetViews>
    <sheetView tabSelected="1" zoomScale="85" zoomScaleNormal="85" zoomScaleSheetLayoutView="85" workbookViewId="0">
      <pane ySplit="5" topLeftCell="A6" activePane="bottomLeft" state="frozen"/>
      <selection pane="bottomLeft" activeCell="B2696" sqref="B2696"/>
    </sheetView>
  </sheetViews>
  <sheetFormatPr defaultRowHeight="15" x14ac:dyDescent="0.25"/>
  <cols>
    <col min="1" max="1" width="14.7109375" customWidth="1"/>
    <col min="2" max="2" width="80.7109375" style="5" customWidth="1"/>
    <col min="3" max="4" width="15.7109375" customWidth="1"/>
    <col min="5" max="6" width="20.7109375" customWidth="1"/>
    <col min="7" max="7" width="15.7109375" customWidth="1"/>
    <col min="8" max="9" width="20.7109375" customWidth="1"/>
  </cols>
  <sheetData>
    <row r="1" spans="1:9" ht="24.95" customHeight="1" x14ac:dyDescent="0.25">
      <c r="A1" s="106" t="s">
        <v>6703</v>
      </c>
      <c r="B1" s="124"/>
      <c r="C1" s="106"/>
      <c r="D1" s="106"/>
      <c r="E1" s="106"/>
      <c r="F1" s="106"/>
      <c r="G1" s="106"/>
      <c r="H1" s="106"/>
      <c r="I1" s="106"/>
    </row>
    <row r="2" spans="1:9" ht="24.95" customHeight="1" x14ac:dyDescent="0.25">
      <c r="A2" s="107" t="s">
        <v>1526</v>
      </c>
      <c r="B2" s="125"/>
      <c r="C2" s="107"/>
      <c r="D2" s="107"/>
      <c r="E2" s="107"/>
      <c r="F2" s="107"/>
      <c r="G2" s="107"/>
      <c r="H2" s="107"/>
      <c r="I2" s="107"/>
    </row>
    <row r="3" spans="1:9" ht="20.100000000000001" customHeight="1" x14ac:dyDescent="0.25">
      <c r="A3" s="108" t="s">
        <v>6702</v>
      </c>
      <c r="B3" s="108"/>
      <c r="C3" s="108"/>
      <c r="D3" s="108"/>
      <c r="E3" s="108"/>
      <c r="F3" s="108"/>
      <c r="G3" s="108"/>
      <c r="H3" s="108"/>
      <c r="I3" s="108"/>
    </row>
    <row r="4" spans="1:9" ht="18" customHeight="1" thickBot="1" x14ac:dyDescent="0.3">
      <c r="A4" s="109"/>
      <c r="B4" s="110"/>
      <c r="C4" s="111"/>
      <c r="D4" s="111"/>
      <c r="E4" s="112"/>
      <c r="F4" s="112"/>
      <c r="G4" s="110"/>
      <c r="H4" s="110"/>
      <c r="I4" s="113"/>
    </row>
    <row r="5" spans="1:9" ht="45" customHeight="1" x14ac:dyDescent="0.25">
      <c r="A5" s="212" t="s">
        <v>1</v>
      </c>
      <c r="B5" s="213" t="s">
        <v>2</v>
      </c>
      <c r="C5" s="213" t="s">
        <v>4</v>
      </c>
      <c r="D5" s="214" t="s">
        <v>1527</v>
      </c>
      <c r="E5" s="215" t="s">
        <v>6</v>
      </c>
      <c r="F5" s="215" t="s">
        <v>3266</v>
      </c>
      <c r="G5" s="215" t="s">
        <v>1529</v>
      </c>
      <c r="H5" s="215" t="s">
        <v>1530</v>
      </c>
      <c r="I5" s="215" t="s">
        <v>3807</v>
      </c>
    </row>
    <row r="6" spans="1:9" x14ac:dyDescent="0.25">
      <c r="A6" s="216" t="s">
        <v>10</v>
      </c>
      <c r="B6" s="217" t="s">
        <v>1531</v>
      </c>
      <c r="C6" s="218" t="s">
        <v>1532</v>
      </c>
      <c r="D6" s="218">
        <v>40</v>
      </c>
      <c r="E6" s="135">
        <f ca="1">OFFSET(INDEX(Composições!A:J,MATCH(Orçamentária!A6,Composições!A:A,0),8),2,0)</f>
        <v>88.283500000000004</v>
      </c>
      <c r="F6" s="136">
        <f ca="1">IF(ISNUMBER(E6),D6*E6,"")</f>
        <v>3531.34</v>
      </c>
      <c r="G6" s="137">
        <f>BDI!$B$17</f>
        <v>0.191</v>
      </c>
      <c r="H6" s="138">
        <f ca="1">IF(ISNUMBER(E6),ROUND(E6*(1+G6),2),"")</f>
        <v>105.15</v>
      </c>
      <c r="I6" s="136">
        <f ca="1">IF(ISNUMBER(E6),ROUND(H6*D6,2),"")</f>
        <v>4206</v>
      </c>
    </row>
    <row r="7" spans="1:9" hidden="1" x14ac:dyDescent="0.25">
      <c r="A7" s="114" t="s">
        <v>13</v>
      </c>
      <c r="B7" s="115" t="s">
        <v>1533</v>
      </c>
      <c r="C7" s="116" t="s">
        <v>1532</v>
      </c>
      <c r="D7" s="116">
        <v>0</v>
      </c>
      <c r="E7" s="135">
        <f ca="1">OFFSET(INDEX(Composições!A:J,MATCH(Orçamentária!A7,Composições!A:A,0),8),2,0)</f>
        <v>27.179499999999997</v>
      </c>
      <c r="F7" s="136">
        <f t="shared" ref="F7:F70" ca="1" si="0">IF(ISNUMBER(E7),D7*E7,"")</f>
        <v>0</v>
      </c>
      <c r="G7" s="137" t="e">
        <f>IF(A7&lt;&gt;"",IF(AND(#REF!="Padrão",$H$4=#REF!),BDI!$B$17,IF(AND(#REF!="Padrão",$H$4=#REF!),BDI!#REF!,IF(AND(#REF!="Diferenciado",$H$4=#REF!),BDI!$E$17,IF(AND(#REF!="Diferenciado",$H$4=#REF!),BDI!#REF!,IF(#REF!="ZERO",0))))),"")</f>
        <v>#REF!</v>
      </c>
      <c r="H7" s="138" t="e">
        <f t="shared" ref="H7:H70" ca="1" si="1">IF(ISNUMBER(E7),ROUND(E7*(1+G7),2),"")</f>
        <v>#REF!</v>
      </c>
      <c r="I7" s="136" t="e">
        <f t="shared" ref="I7:I70" ca="1" si="2">IF(ISNUMBER(E7),ROUND(H7*D7,2),"")</f>
        <v>#REF!</v>
      </c>
    </row>
    <row r="8" spans="1:9" x14ac:dyDescent="0.25">
      <c r="A8" s="216" t="s">
        <v>15</v>
      </c>
      <c r="B8" s="217" t="s">
        <v>1534</v>
      </c>
      <c r="C8" s="218" t="s">
        <v>20</v>
      </c>
      <c r="D8" s="218">
        <v>1</v>
      </c>
      <c r="E8" s="135">
        <f ca="1">OFFSET(INDEX(Composições!A:J,MATCH(Orçamentária!A8,Composições!A:A,0),8),2,0)</f>
        <v>1605.2719999999999</v>
      </c>
      <c r="F8" s="136">
        <f t="shared" ca="1" si="0"/>
        <v>1605.2719999999999</v>
      </c>
      <c r="G8" s="137">
        <f>BDI!$B$17</f>
        <v>0.191</v>
      </c>
      <c r="H8" s="138">
        <f t="shared" ca="1" si="1"/>
        <v>1911.88</v>
      </c>
      <c r="I8" s="136">
        <f t="shared" ca="1" si="2"/>
        <v>1911.88</v>
      </c>
    </row>
    <row r="9" spans="1:9" x14ac:dyDescent="0.25">
      <c r="A9" s="216" t="s">
        <v>17</v>
      </c>
      <c r="B9" s="217" t="s">
        <v>1535</v>
      </c>
      <c r="C9" s="218" t="s">
        <v>20</v>
      </c>
      <c r="D9" s="218">
        <v>1</v>
      </c>
      <c r="E9" s="135">
        <f ca="1">OFFSET(INDEX(Composições!A:J,MATCH(Orçamentária!A9,Composições!A:A,0),8),2,0)</f>
        <v>2246.9900000000002</v>
      </c>
      <c r="F9" s="136">
        <f t="shared" ca="1" si="0"/>
        <v>2246.9900000000002</v>
      </c>
      <c r="G9" s="137">
        <f>BDI!$B$17</f>
        <v>0.191</v>
      </c>
      <c r="H9" s="138">
        <f t="shared" ca="1" si="1"/>
        <v>2676.17</v>
      </c>
      <c r="I9" s="136">
        <f t="shared" ca="1" si="2"/>
        <v>2676.17</v>
      </c>
    </row>
    <row r="10" spans="1:9" hidden="1" x14ac:dyDescent="0.25">
      <c r="A10" s="114" t="s">
        <v>21</v>
      </c>
      <c r="B10" s="115" t="s">
        <v>1536</v>
      </c>
      <c r="C10" s="116" t="s">
        <v>110</v>
      </c>
      <c r="D10" s="116">
        <v>0</v>
      </c>
      <c r="E10" s="135">
        <f ca="1">OFFSET(INDEX(Composições!A:J,MATCH(Orçamentária!A10,Composições!A:A,0),8),2,0)</f>
        <v>44.001366599999997</v>
      </c>
      <c r="F10" s="136">
        <f t="shared" ca="1" si="0"/>
        <v>0</v>
      </c>
      <c r="G10" s="137" t="e">
        <f>IF(A10&lt;&gt;"",IF(AND(#REF!="Padrão",$H$4=#REF!),BDI!$B$17,IF(AND(#REF!="Padrão",$H$4=#REF!),BDI!#REF!,IF(AND(#REF!="Diferenciado",$H$4=#REF!),BDI!$E$17,IF(AND(#REF!="Diferenciado",$H$4=#REF!),BDI!#REF!,IF(#REF!="ZERO",0))))),"")</f>
        <v>#REF!</v>
      </c>
      <c r="H10" s="138" t="e">
        <f t="shared" ca="1" si="1"/>
        <v>#REF!</v>
      </c>
      <c r="I10" s="136" t="e">
        <f t="shared" ca="1" si="2"/>
        <v>#REF!</v>
      </c>
    </row>
    <row r="11" spans="1:9" hidden="1" x14ac:dyDescent="0.25">
      <c r="A11" s="114" t="s">
        <v>24</v>
      </c>
      <c r="B11" s="115" t="s">
        <v>1537</v>
      </c>
      <c r="C11" s="116" t="s">
        <v>110</v>
      </c>
      <c r="D11" s="116">
        <v>0</v>
      </c>
      <c r="E11" s="135">
        <f ca="1">OFFSET(INDEX(Composições!A:J,MATCH(Orçamentária!A11,Composições!A:A,0),8),2,0)</f>
        <v>246.99999999999997</v>
      </c>
      <c r="F11" s="136">
        <f t="shared" ca="1" si="0"/>
        <v>0</v>
      </c>
      <c r="G11" s="137" t="e">
        <f>IF(A11&lt;&gt;"",IF(AND(#REF!="Padrão",$H$4=#REF!),BDI!$B$17,IF(AND(#REF!="Padrão",$H$4=#REF!),BDI!#REF!,IF(AND(#REF!="Diferenciado",$H$4=#REF!),BDI!$E$17,IF(AND(#REF!="Diferenciado",$H$4=#REF!),BDI!#REF!,IF(#REF!="ZERO",0))))),"")</f>
        <v>#REF!</v>
      </c>
      <c r="H11" s="138" t="e">
        <f t="shared" ca="1" si="1"/>
        <v>#REF!</v>
      </c>
      <c r="I11" s="136" t="e">
        <f t="shared" ca="1" si="2"/>
        <v>#REF!</v>
      </c>
    </row>
    <row r="12" spans="1:9" x14ac:dyDescent="0.25">
      <c r="A12" s="216" t="s">
        <v>25</v>
      </c>
      <c r="B12" s="217" t="s">
        <v>1538</v>
      </c>
      <c r="C12" s="218" t="s">
        <v>95</v>
      </c>
      <c r="D12" s="218">
        <v>260</v>
      </c>
      <c r="E12" s="135">
        <f ca="1">OFFSET(INDEX(Composições!A:J,MATCH(Orçamentária!A12,Composições!A:A,0),8),2,0)</f>
        <v>11.710649999999998</v>
      </c>
      <c r="F12" s="136">
        <f t="shared" ca="1" si="0"/>
        <v>3044.7689999999993</v>
      </c>
      <c r="G12" s="137">
        <f>BDI!$B$17</f>
        <v>0.191</v>
      </c>
      <c r="H12" s="138">
        <f t="shared" ca="1" si="1"/>
        <v>13.95</v>
      </c>
      <c r="I12" s="136">
        <f t="shared" ca="1" si="2"/>
        <v>3627</v>
      </c>
    </row>
    <row r="13" spans="1:9" hidden="1" x14ac:dyDescent="0.25">
      <c r="A13" s="114" t="s">
        <v>26</v>
      </c>
      <c r="B13" s="115" t="s">
        <v>1539</v>
      </c>
      <c r="C13" s="116" t="s">
        <v>95</v>
      </c>
      <c r="D13" s="116">
        <v>0</v>
      </c>
      <c r="E13" s="135">
        <f ca="1">OFFSET(INDEX(Composições!A:J,MATCH(Orçamentária!A13,Composições!A:A,0),8),2,0)</f>
        <v>5.9480212499999991</v>
      </c>
      <c r="F13" s="136">
        <f t="shared" ca="1" si="0"/>
        <v>0</v>
      </c>
      <c r="G13" s="137" t="e">
        <f>IF(A13&lt;&gt;"",IF(AND(#REF!="Padrão",$H$4=#REF!),BDI!$B$17,IF(AND(#REF!="Padrão",$H$4=#REF!),BDI!#REF!,IF(AND(#REF!="Diferenciado",$H$4=#REF!),BDI!$E$17,IF(AND(#REF!="Diferenciado",$H$4=#REF!),BDI!#REF!,IF(#REF!="ZERO",0))))),"")</f>
        <v>#REF!</v>
      </c>
      <c r="H13" s="138" t="e">
        <f t="shared" ca="1" si="1"/>
        <v>#REF!</v>
      </c>
      <c r="I13" s="136" t="e">
        <f t="shared" ca="1" si="2"/>
        <v>#REF!</v>
      </c>
    </row>
    <row r="14" spans="1:9" hidden="1" x14ac:dyDescent="0.25">
      <c r="A14" s="114" t="s">
        <v>28</v>
      </c>
      <c r="B14" s="115" t="s">
        <v>6355</v>
      </c>
      <c r="C14" s="116" t="s">
        <v>95</v>
      </c>
      <c r="D14" s="116">
        <v>0</v>
      </c>
      <c r="E14" s="135">
        <f ca="1">OFFSET(INDEX(Composições!A:J,MATCH(Orçamentária!A14,Composições!A:A,0),8),2,0)</f>
        <v>1.29451275</v>
      </c>
      <c r="F14" s="136">
        <f t="shared" ca="1" si="0"/>
        <v>0</v>
      </c>
      <c r="G14" s="137" t="e">
        <f>IF(A14&lt;&gt;"",IF(AND(#REF!="Padrão",$H$4=#REF!),BDI!$B$17,IF(AND(#REF!="Padrão",$H$4=#REF!),BDI!#REF!,IF(AND(#REF!="Diferenciado",$H$4=#REF!),BDI!$E$17,IF(AND(#REF!="Diferenciado",$H$4=#REF!),BDI!#REF!,IF(#REF!="ZERO",0))))),"")</f>
        <v>#REF!</v>
      </c>
      <c r="H14" s="138" t="e">
        <f t="shared" ca="1" si="1"/>
        <v>#REF!</v>
      </c>
      <c r="I14" s="136" t="e">
        <f t="shared" ca="1" si="2"/>
        <v>#REF!</v>
      </c>
    </row>
    <row r="15" spans="1:9" hidden="1" x14ac:dyDescent="0.25">
      <c r="A15" s="114" t="s">
        <v>29</v>
      </c>
      <c r="B15" s="115" t="s">
        <v>1540</v>
      </c>
      <c r="C15" s="116" t="s">
        <v>93</v>
      </c>
      <c r="D15" s="116">
        <v>0</v>
      </c>
      <c r="E15" s="135">
        <f ca="1">OFFSET(INDEX(Composições!A:J,MATCH(Orçamentária!A15,Composições!A:A,0),8),2,0)</f>
        <v>2.6715329999999997</v>
      </c>
      <c r="F15" s="136">
        <f t="shared" ca="1" si="0"/>
        <v>0</v>
      </c>
      <c r="G15" s="137" t="e">
        <f>IF(A15&lt;&gt;"",IF(AND(#REF!="Padrão",$H$4=#REF!),BDI!$B$17,IF(AND(#REF!="Padrão",$H$4=#REF!),BDI!#REF!,IF(AND(#REF!="Diferenciado",$H$4=#REF!),BDI!$E$17,IF(AND(#REF!="Diferenciado",$H$4=#REF!),BDI!#REF!,IF(#REF!="ZERO",0))))),"")</f>
        <v>#REF!</v>
      </c>
      <c r="H15" s="138" t="e">
        <f t="shared" ca="1" si="1"/>
        <v>#REF!</v>
      </c>
      <c r="I15" s="136" t="e">
        <f t="shared" ca="1" si="2"/>
        <v>#REF!</v>
      </c>
    </row>
    <row r="16" spans="1:9" hidden="1" x14ac:dyDescent="0.25">
      <c r="A16" s="114" t="s">
        <v>31</v>
      </c>
      <c r="B16" s="115" t="s">
        <v>1541</v>
      </c>
      <c r="C16" s="116" t="s">
        <v>95</v>
      </c>
      <c r="D16" s="116">
        <v>0</v>
      </c>
      <c r="E16" s="135">
        <f ca="1">OFFSET(INDEX(Composições!A:J,MATCH(Orçamentária!A16,Composições!A:A,0),8),2,0)</f>
        <v>9.7758248999999999</v>
      </c>
      <c r="F16" s="136">
        <f t="shared" ca="1" si="0"/>
        <v>0</v>
      </c>
      <c r="G16" s="137" t="e">
        <f>IF(A16&lt;&gt;"",IF(AND(#REF!="Padrão",$H$4=#REF!),BDI!$B$17,IF(AND(#REF!="Padrão",$H$4=#REF!),BDI!#REF!,IF(AND(#REF!="Diferenciado",$H$4=#REF!),BDI!$E$17,IF(AND(#REF!="Diferenciado",$H$4=#REF!),BDI!#REF!,IF(#REF!="ZERO",0))))),"")</f>
        <v>#REF!</v>
      </c>
      <c r="H16" s="138" t="e">
        <f t="shared" ca="1" si="1"/>
        <v>#REF!</v>
      </c>
      <c r="I16" s="136" t="e">
        <f t="shared" ca="1" si="2"/>
        <v>#REF!</v>
      </c>
    </row>
    <row r="17" spans="1:9" hidden="1" x14ac:dyDescent="0.25">
      <c r="A17" s="114" t="s">
        <v>37</v>
      </c>
      <c r="B17" s="115" t="s">
        <v>1542</v>
      </c>
      <c r="C17" s="116" t="s">
        <v>95</v>
      </c>
      <c r="D17" s="116">
        <v>0</v>
      </c>
      <c r="E17" s="135">
        <f ca="1">OFFSET(INDEX(Composições!A:J,MATCH(Orçamentária!A17,Composições!A:A,0),8),2,0)</f>
        <v>2.6107833500000002</v>
      </c>
      <c r="F17" s="136">
        <f t="shared" ca="1" si="0"/>
        <v>0</v>
      </c>
      <c r="G17" s="137" t="e">
        <f>IF(A17&lt;&gt;"",IF(AND(#REF!="Padrão",$H$4=#REF!),BDI!$B$17,IF(AND(#REF!="Padrão",$H$4=#REF!),BDI!#REF!,IF(AND(#REF!="Diferenciado",$H$4=#REF!),BDI!$E$17,IF(AND(#REF!="Diferenciado",$H$4=#REF!),BDI!#REF!,IF(#REF!="ZERO",0))))),"")</f>
        <v>#REF!</v>
      </c>
      <c r="H17" s="138" t="e">
        <f t="shared" ca="1" si="1"/>
        <v>#REF!</v>
      </c>
      <c r="I17" s="136" t="e">
        <f t="shared" ca="1" si="2"/>
        <v>#REF!</v>
      </c>
    </row>
    <row r="18" spans="1:9" hidden="1" x14ac:dyDescent="0.25">
      <c r="A18" s="114" t="s">
        <v>38</v>
      </c>
      <c r="B18" s="115" t="s">
        <v>1543</v>
      </c>
      <c r="C18" s="116" t="s">
        <v>93</v>
      </c>
      <c r="D18" s="116">
        <v>0</v>
      </c>
      <c r="E18" s="135">
        <f ca="1">OFFSET(INDEX(Composições!A:J,MATCH(Orçamentária!A18,Composições!A:A,0),8),2,0)</f>
        <v>0.39211344999999997</v>
      </c>
      <c r="F18" s="136">
        <f t="shared" ca="1" si="0"/>
        <v>0</v>
      </c>
      <c r="G18" s="137" t="e">
        <f>IF(A18&lt;&gt;"",IF(AND(#REF!="Padrão",$H$4=#REF!),BDI!$B$17,IF(AND(#REF!="Padrão",$H$4=#REF!),BDI!#REF!,IF(AND(#REF!="Diferenciado",$H$4=#REF!),BDI!$E$17,IF(AND(#REF!="Diferenciado",$H$4=#REF!),BDI!#REF!,IF(#REF!="ZERO",0))))),"")</f>
        <v>#REF!</v>
      </c>
      <c r="H18" s="138" t="e">
        <f t="shared" ca="1" si="1"/>
        <v>#REF!</v>
      </c>
      <c r="I18" s="136" t="e">
        <f t="shared" ca="1" si="2"/>
        <v>#REF!</v>
      </c>
    </row>
    <row r="19" spans="1:9" hidden="1" x14ac:dyDescent="0.25">
      <c r="A19" s="114" t="s">
        <v>40</v>
      </c>
      <c r="B19" s="115" t="s">
        <v>1544</v>
      </c>
      <c r="C19" s="116" t="s">
        <v>110</v>
      </c>
      <c r="D19" s="116">
        <v>0</v>
      </c>
      <c r="E19" s="135">
        <f ca="1">OFFSET(INDEX(Composições!A:J,MATCH(Orçamentária!A19,Composições!A:A,0),8),2,0)</f>
        <v>230.55569094999996</v>
      </c>
      <c r="F19" s="136">
        <f t="shared" ca="1" si="0"/>
        <v>0</v>
      </c>
      <c r="G19" s="137" t="e">
        <f>IF(A19&lt;&gt;"",IF(AND(#REF!="Padrão",$H$4=#REF!),BDI!$B$17,IF(AND(#REF!="Padrão",$H$4=#REF!),BDI!#REF!,IF(AND(#REF!="Diferenciado",$H$4=#REF!),BDI!$E$17,IF(AND(#REF!="Diferenciado",$H$4=#REF!),BDI!#REF!,IF(#REF!="ZERO",0))))),"")</f>
        <v>#REF!</v>
      </c>
      <c r="H19" s="138" t="e">
        <f t="shared" ca="1" si="1"/>
        <v>#REF!</v>
      </c>
      <c r="I19" s="136" t="e">
        <f t="shared" ca="1" si="2"/>
        <v>#REF!</v>
      </c>
    </row>
    <row r="20" spans="1:9" x14ac:dyDescent="0.25">
      <c r="A20" s="216" t="s">
        <v>1545</v>
      </c>
      <c r="B20" s="217" t="s">
        <v>1546</v>
      </c>
      <c r="C20" s="218" t="s">
        <v>20</v>
      </c>
      <c r="D20" s="218">
        <v>10</v>
      </c>
      <c r="E20" s="232">
        <v>320</v>
      </c>
      <c r="F20" s="136">
        <f t="shared" si="0"/>
        <v>3200</v>
      </c>
      <c r="G20" s="137">
        <f>BDI!$B$17</f>
        <v>0.191</v>
      </c>
      <c r="H20" s="138">
        <f t="shared" si="1"/>
        <v>381.12</v>
      </c>
      <c r="I20" s="136">
        <f t="shared" si="2"/>
        <v>3811.2</v>
      </c>
    </row>
    <row r="21" spans="1:9" hidden="1" x14ac:dyDescent="0.25">
      <c r="A21" s="114" t="s">
        <v>43</v>
      </c>
      <c r="B21" s="115" t="s">
        <v>1547</v>
      </c>
      <c r="C21" s="116" t="s">
        <v>95</v>
      </c>
      <c r="D21" s="116">
        <v>0</v>
      </c>
      <c r="E21" s="135">
        <f ca="1">OFFSET(INDEX(Composições!A:J,MATCH(Orçamentária!A21,Composições!A:A,0),8),2,0)</f>
        <v>13.742224999999998</v>
      </c>
      <c r="F21" s="136">
        <f t="shared" ca="1" si="0"/>
        <v>0</v>
      </c>
      <c r="G21" s="137" t="e">
        <f>IF(A21&lt;&gt;"",IF(AND(#REF!="Padrão",$H$4=#REF!),BDI!$B$17,IF(AND(#REF!="Padrão",$H$4=#REF!),BDI!#REF!,IF(AND(#REF!="Diferenciado",$H$4=#REF!),BDI!$E$17,IF(AND(#REF!="Diferenciado",$H$4=#REF!),BDI!#REF!,IF(#REF!="ZERO",0))))),"")</f>
        <v>#REF!</v>
      </c>
      <c r="H21" s="138" t="e">
        <f t="shared" ca="1" si="1"/>
        <v>#REF!</v>
      </c>
      <c r="I21" s="136" t="e">
        <f t="shared" ca="1" si="2"/>
        <v>#REF!</v>
      </c>
    </row>
    <row r="22" spans="1:9" hidden="1" x14ac:dyDescent="0.25">
      <c r="A22" s="114" t="s">
        <v>45</v>
      </c>
      <c r="B22" s="115" t="s">
        <v>1548</v>
      </c>
      <c r="C22" s="116" t="s">
        <v>95</v>
      </c>
      <c r="D22" s="116">
        <v>0</v>
      </c>
      <c r="E22" s="135">
        <f ca="1">OFFSET(INDEX(Composições!A:J,MATCH(Orçamentária!A22,Composições!A:A,0),8),2,0)</f>
        <v>20.135249999999999</v>
      </c>
      <c r="F22" s="136">
        <f t="shared" ca="1" si="0"/>
        <v>0</v>
      </c>
      <c r="G22" s="137" t="e">
        <f>IF(A22&lt;&gt;"",IF(AND(#REF!="Padrão",$H$4=#REF!),BDI!$B$17,IF(AND(#REF!="Padrão",$H$4=#REF!),BDI!#REF!,IF(AND(#REF!="Diferenciado",$H$4=#REF!),BDI!$E$17,IF(AND(#REF!="Diferenciado",$H$4=#REF!),BDI!#REF!,IF(#REF!="ZERO",0))))),"")</f>
        <v>#REF!</v>
      </c>
      <c r="H22" s="138" t="e">
        <f t="shared" ca="1" si="1"/>
        <v>#REF!</v>
      </c>
      <c r="I22" s="136" t="e">
        <f t="shared" ca="1" si="2"/>
        <v>#REF!</v>
      </c>
    </row>
    <row r="23" spans="1:9" hidden="1" x14ac:dyDescent="0.25">
      <c r="A23" s="114" t="s">
        <v>46</v>
      </c>
      <c r="B23" s="115" t="s">
        <v>1549</v>
      </c>
      <c r="C23" s="116" t="s">
        <v>20</v>
      </c>
      <c r="D23" s="116">
        <v>0</v>
      </c>
      <c r="E23" s="135">
        <f ca="1">OFFSET(INDEX(Composições!A:J,MATCH(Orçamentária!A23,Composições!A:A,0),8),2,0)</f>
        <v>7.6</v>
      </c>
      <c r="F23" s="136">
        <f t="shared" ca="1" si="0"/>
        <v>0</v>
      </c>
      <c r="G23" s="137" t="e">
        <f>IF(A23&lt;&gt;"",IF(AND(#REF!="Padrão",$H$4=#REF!),BDI!$B$17,IF(AND(#REF!="Padrão",$H$4=#REF!),BDI!#REF!,IF(AND(#REF!="Diferenciado",$H$4=#REF!),BDI!$E$17,IF(AND(#REF!="Diferenciado",$H$4=#REF!),BDI!#REF!,IF(#REF!="ZERO",0))))),"")</f>
        <v>#REF!</v>
      </c>
      <c r="H23" s="138" t="e">
        <f t="shared" ca="1" si="1"/>
        <v>#REF!</v>
      </c>
      <c r="I23" s="136" t="e">
        <f t="shared" ca="1" si="2"/>
        <v>#REF!</v>
      </c>
    </row>
    <row r="24" spans="1:9" hidden="1" x14ac:dyDescent="0.25">
      <c r="A24" s="114" t="s">
        <v>47</v>
      </c>
      <c r="B24" s="115" t="s">
        <v>1550</v>
      </c>
      <c r="C24" s="116" t="s">
        <v>93</v>
      </c>
      <c r="D24" s="116">
        <v>0</v>
      </c>
      <c r="E24" s="135">
        <f ca="1">OFFSET(INDEX(Composições!A:J,MATCH(Orçamentária!A24,Composições!A:A,0),8),2,0)</f>
        <v>4.2265500000000005</v>
      </c>
      <c r="F24" s="136">
        <f t="shared" ca="1" si="0"/>
        <v>0</v>
      </c>
      <c r="G24" s="137" t="e">
        <f>IF(A24&lt;&gt;"",IF(AND(#REF!="Padrão",$H$4=#REF!),BDI!$B$17,IF(AND(#REF!="Padrão",$H$4=#REF!),BDI!#REF!,IF(AND(#REF!="Diferenciado",$H$4=#REF!),BDI!$E$17,IF(AND(#REF!="Diferenciado",$H$4=#REF!),BDI!#REF!,IF(#REF!="ZERO",0))))),"")</f>
        <v>#REF!</v>
      </c>
      <c r="H24" s="138" t="e">
        <f t="shared" ca="1" si="1"/>
        <v>#REF!</v>
      </c>
      <c r="I24" s="136" t="e">
        <f t="shared" ca="1" si="2"/>
        <v>#REF!</v>
      </c>
    </row>
    <row r="25" spans="1:9" hidden="1" x14ac:dyDescent="0.25">
      <c r="A25" s="114" t="s">
        <v>48</v>
      </c>
      <c r="B25" s="115" t="s">
        <v>1551</v>
      </c>
      <c r="C25" s="116" t="s">
        <v>95</v>
      </c>
      <c r="D25" s="116">
        <v>0</v>
      </c>
      <c r="E25" s="135">
        <f ca="1">OFFSET(INDEX(Composições!A:J,MATCH(Orçamentária!A25,Composições!A:A,0),8),2,0)</f>
        <v>1.9</v>
      </c>
      <c r="F25" s="136">
        <f t="shared" ca="1" si="0"/>
        <v>0</v>
      </c>
      <c r="G25" s="137" t="e">
        <f>IF(A25&lt;&gt;"",IF(AND(#REF!="Padrão",$H$4=#REF!),BDI!$B$17,IF(AND(#REF!="Padrão",$H$4=#REF!),BDI!#REF!,IF(AND(#REF!="Diferenciado",$H$4=#REF!),BDI!$E$17,IF(AND(#REF!="Diferenciado",$H$4=#REF!),BDI!#REF!,IF(#REF!="ZERO",0))))),"")</f>
        <v>#REF!</v>
      </c>
      <c r="H25" s="138" t="e">
        <f t="shared" ca="1" si="1"/>
        <v>#REF!</v>
      </c>
      <c r="I25" s="136" t="e">
        <f t="shared" ca="1" si="2"/>
        <v>#REF!</v>
      </c>
    </row>
    <row r="26" spans="1:9" hidden="1" x14ac:dyDescent="0.25">
      <c r="A26" s="114" t="s">
        <v>49</v>
      </c>
      <c r="B26" s="115" t="s">
        <v>1552</v>
      </c>
      <c r="C26" s="116" t="s">
        <v>93</v>
      </c>
      <c r="D26" s="116">
        <v>0</v>
      </c>
      <c r="E26" s="135">
        <f ca="1">OFFSET(INDEX(Composições!A:J,MATCH(Orçamentária!A26,Composições!A:A,0),8),2,0)</f>
        <v>3.3193303999999997</v>
      </c>
      <c r="F26" s="136">
        <f t="shared" ca="1" si="0"/>
        <v>0</v>
      </c>
      <c r="G26" s="137" t="e">
        <f>IF(A26&lt;&gt;"",IF(AND(#REF!="Padrão",$H$4=#REF!),BDI!$B$17,IF(AND(#REF!="Padrão",$H$4=#REF!),BDI!#REF!,IF(AND(#REF!="Diferenciado",$H$4=#REF!),BDI!$E$17,IF(AND(#REF!="Diferenciado",$H$4=#REF!),BDI!#REF!,IF(#REF!="ZERO",0))))),"")</f>
        <v>#REF!</v>
      </c>
      <c r="H26" s="138" t="e">
        <f t="shared" ca="1" si="1"/>
        <v>#REF!</v>
      </c>
      <c r="I26" s="136" t="e">
        <f t="shared" ca="1" si="2"/>
        <v>#REF!</v>
      </c>
    </row>
    <row r="27" spans="1:9" hidden="1" x14ac:dyDescent="0.25">
      <c r="A27" s="114" t="s">
        <v>51</v>
      </c>
      <c r="B27" s="115" t="s">
        <v>1553</v>
      </c>
      <c r="C27" s="116" t="s">
        <v>20</v>
      </c>
      <c r="D27" s="116">
        <v>0</v>
      </c>
      <c r="E27" s="135">
        <f ca="1">OFFSET(INDEX(Composições!A:J,MATCH(Orçamentária!A27,Composições!A:A,0),8),2,0)</f>
        <v>20.776499999999999</v>
      </c>
      <c r="F27" s="136">
        <f t="shared" ca="1" si="0"/>
        <v>0</v>
      </c>
      <c r="G27" s="137" t="e">
        <f>IF(A27&lt;&gt;"",IF(AND(#REF!="Padrão",$H$4=#REF!),BDI!$B$17,IF(AND(#REF!="Padrão",$H$4=#REF!),BDI!#REF!,IF(AND(#REF!="Diferenciado",$H$4=#REF!),BDI!$E$17,IF(AND(#REF!="Diferenciado",$H$4=#REF!),BDI!#REF!,IF(#REF!="ZERO",0))))),"")</f>
        <v>#REF!</v>
      </c>
      <c r="H27" s="138" t="e">
        <f t="shared" ca="1" si="1"/>
        <v>#REF!</v>
      </c>
      <c r="I27" s="136" t="e">
        <f t="shared" ca="1" si="2"/>
        <v>#REF!</v>
      </c>
    </row>
    <row r="28" spans="1:9" hidden="1" x14ac:dyDescent="0.25">
      <c r="A28" s="114" t="s">
        <v>53</v>
      </c>
      <c r="B28" s="115" t="s">
        <v>1554</v>
      </c>
      <c r="C28" s="116" t="s">
        <v>95</v>
      </c>
      <c r="D28" s="116">
        <v>0</v>
      </c>
      <c r="E28" s="135">
        <f ca="1">OFFSET(INDEX(Composições!A:J,MATCH(Orçamentária!A28,Composições!A:A,0),8),2,0)</f>
        <v>31.424099999999996</v>
      </c>
      <c r="F28" s="136">
        <f t="shared" ca="1" si="0"/>
        <v>0</v>
      </c>
      <c r="G28" s="137" t="e">
        <f>IF(A28&lt;&gt;"",IF(AND(#REF!="Padrão",$H$4=#REF!),BDI!$B$17,IF(AND(#REF!="Padrão",$H$4=#REF!),BDI!#REF!,IF(AND(#REF!="Diferenciado",$H$4=#REF!),BDI!$E$17,IF(AND(#REF!="Diferenciado",$H$4=#REF!),BDI!#REF!,IF(#REF!="ZERO",0))))),"")</f>
        <v>#REF!</v>
      </c>
      <c r="H28" s="138" t="e">
        <f t="shared" ca="1" si="1"/>
        <v>#REF!</v>
      </c>
      <c r="I28" s="136" t="e">
        <f t="shared" ca="1" si="2"/>
        <v>#REF!</v>
      </c>
    </row>
    <row r="29" spans="1:9" hidden="1" x14ac:dyDescent="0.25">
      <c r="A29" s="114" t="s">
        <v>55</v>
      </c>
      <c r="B29" s="115" t="s">
        <v>1555</v>
      </c>
      <c r="C29" s="116" t="s">
        <v>95</v>
      </c>
      <c r="D29" s="116">
        <v>0</v>
      </c>
      <c r="E29" s="135">
        <f ca="1">OFFSET(INDEX(Composições!A:J,MATCH(Orçamentária!A29,Composições!A:A,0),8),2,0)</f>
        <v>5.9480212499999991</v>
      </c>
      <c r="F29" s="136">
        <f t="shared" ca="1" si="0"/>
        <v>0</v>
      </c>
      <c r="G29" s="137" t="e">
        <f>IF(A29&lt;&gt;"",IF(AND(#REF!="Padrão",$H$4=#REF!),BDI!$B$17,IF(AND(#REF!="Padrão",$H$4=#REF!),BDI!#REF!,IF(AND(#REF!="Diferenciado",$H$4=#REF!),BDI!$E$17,IF(AND(#REF!="Diferenciado",$H$4=#REF!),BDI!#REF!,IF(#REF!="ZERO",0))))),"")</f>
        <v>#REF!</v>
      </c>
      <c r="H29" s="138" t="e">
        <f t="shared" ca="1" si="1"/>
        <v>#REF!</v>
      </c>
      <c r="I29" s="136" t="e">
        <f t="shared" ca="1" si="2"/>
        <v>#REF!</v>
      </c>
    </row>
    <row r="30" spans="1:9" hidden="1" x14ac:dyDescent="0.25">
      <c r="A30" s="114" t="s">
        <v>56</v>
      </c>
      <c r="B30" s="115" t="s">
        <v>1556</v>
      </c>
      <c r="C30" s="116" t="s">
        <v>93</v>
      </c>
      <c r="D30" s="116">
        <v>0</v>
      </c>
      <c r="E30" s="135">
        <f ca="1">OFFSET(INDEX(Composições!A:J,MATCH(Orçamentária!A30,Composições!A:A,0),8),2,0)</f>
        <v>8.9107624999999988</v>
      </c>
      <c r="F30" s="136">
        <f t="shared" ca="1" si="0"/>
        <v>0</v>
      </c>
      <c r="G30" s="137" t="e">
        <f>IF(A30&lt;&gt;"",IF(AND(#REF!="Padrão",$H$4=#REF!),BDI!$B$17,IF(AND(#REF!="Padrão",$H$4=#REF!),BDI!#REF!,IF(AND(#REF!="Diferenciado",$H$4=#REF!),BDI!$E$17,IF(AND(#REF!="Diferenciado",$H$4=#REF!),BDI!#REF!,IF(#REF!="ZERO",0))))),"")</f>
        <v>#REF!</v>
      </c>
      <c r="H30" s="138" t="e">
        <f t="shared" ca="1" si="1"/>
        <v>#REF!</v>
      </c>
      <c r="I30" s="136" t="e">
        <f t="shared" ca="1" si="2"/>
        <v>#REF!</v>
      </c>
    </row>
    <row r="31" spans="1:9" hidden="1" x14ac:dyDescent="0.25">
      <c r="A31" s="114" t="s">
        <v>57</v>
      </c>
      <c r="B31" s="115" t="s">
        <v>1557</v>
      </c>
      <c r="C31" s="116" t="s">
        <v>95</v>
      </c>
      <c r="D31" s="116">
        <v>0</v>
      </c>
      <c r="E31" s="135">
        <f ca="1">OFFSET(INDEX(Composições!A:J,MATCH(Orçamentária!A31,Composições!A:A,0),8),2,0)</f>
        <v>9.4999999999999982</v>
      </c>
      <c r="F31" s="136">
        <f t="shared" ca="1" si="0"/>
        <v>0</v>
      </c>
      <c r="G31" s="137" t="e">
        <f>IF(A31&lt;&gt;"",IF(AND(#REF!="Padrão",$H$4=#REF!),BDI!$B$17,IF(AND(#REF!="Padrão",$H$4=#REF!),BDI!#REF!,IF(AND(#REF!="Diferenciado",$H$4=#REF!),BDI!$E$17,IF(AND(#REF!="Diferenciado",$H$4=#REF!),BDI!#REF!,IF(#REF!="ZERO",0))))),"")</f>
        <v>#REF!</v>
      </c>
      <c r="H31" s="138" t="e">
        <f t="shared" ca="1" si="1"/>
        <v>#REF!</v>
      </c>
      <c r="I31" s="136" t="e">
        <f t="shared" ca="1" si="2"/>
        <v>#REF!</v>
      </c>
    </row>
    <row r="32" spans="1:9" hidden="1" x14ac:dyDescent="0.25">
      <c r="A32" s="114" t="s">
        <v>58</v>
      </c>
      <c r="B32" s="115" t="s">
        <v>1558</v>
      </c>
      <c r="C32" s="116" t="s">
        <v>20</v>
      </c>
      <c r="D32" s="116">
        <v>0</v>
      </c>
      <c r="E32" s="135">
        <f ca="1">OFFSET(INDEX(Composições!A:J,MATCH(Orçamentária!A32,Composições!A:A,0),8),2,0)</f>
        <v>6.8685</v>
      </c>
      <c r="F32" s="136">
        <f t="shared" ca="1" si="0"/>
        <v>0</v>
      </c>
      <c r="G32" s="137" t="e">
        <f>IF(A32&lt;&gt;"",IF(AND(#REF!="Padrão",$H$4=#REF!),BDI!$B$17,IF(AND(#REF!="Padrão",$H$4=#REF!),BDI!#REF!,IF(AND(#REF!="Diferenciado",$H$4=#REF!),BDI!$E$17,IF(AND(#REF!="Diferenciado",$H$4=#REF!),BDI!#REF!,IF(#REF!="ZERO",0))))),"")</f>
        <v>#REF!</v>
      </c>
      <c r="H32" s="138" t="e">
        <f t="shared" ca="1" si="1"/>
        <v>#REF!</v>
      </c>
      <c r="I32" s="136" t="e">
        <f t="shared" ca="1" si="2"/>
        <v>#REF!</v>
      </c>
    </row>
    <row r="33" spans="1:9" hidden="1" x14ac:dyDescent="0.25">
      <c r="A33" s="114" t="s">
        <v>59</v>
      </c>
      <c r="B33" s="115" t="s">
        <v>1559</v>
      </c>
      <c r="C33" s="116" t="s">
        <v>20</v>
      </c>
      <c r="D33" s="116">
        <v>0</v>
      </c>
      <c r="E33" s="135">
        <f ca="1">OFFSET(INDEX(Composições!A:J,MATCH(Orçamentária!A33,Composições!A:A,0),8),2,0)</f>
        <v>5.6334999999999997</v>
      </c>
      <c r="F33" s="136">
        <f t="shared" ca="1" si="0"/>
        <v>0</v>
      </c>
      <c r="G33" s="137" t="e">
        <f>IF(A33&lt;&gt;"",IF(AND(#REF!="Padrão",$H$4=#REF!),BDI!$B$17,IF(AND(#REF!="Padrão",$H$4=#REF!),BDI!#REF!,IF(AND(#REF!="Diferenciado",$H$4=#REF!),BDI!$E$17,IF(AND(#REF!="Diferenciado",$H$4=#REF!),BDI!#REF!,IF(#REF!="ZERO",0))))),"")</f>
        <v>#REF!</v>
      </c>
      <c r="H33" s="138" t="e">
        <f t="shared" ca="1" si="1"/>
        <v>#REF!</v>
      </c>
      <c r="I33" s="136" t="e">
        <f t="shared" ca="1" si="2"/>
        <v>#REF!</v>
      </c>
    </row>
    <row r="34" spans="1:9" hidden="1" x14ac:dyDescent="0.25">
      <c r="A34" s="114" t="s">
        <v>60</v>
      </c>
      <c r="B34" s="115" t="s">
        <v>6356</v>
      </c>
      <c r="C34" s="116" t="s">
        <v>20</v>
      </c>
      <c r="D34" s="116">
        <v>0</v>
      </c>
      <c r="E34" s="135">
        <f ca="1">OFFSET(INDEX(Composições!A:J,MATCH(Orçamentária!A34,Composições!A:A,0),8),2,0)</f>
        <v>7.3052643999999987</v>
      </c>
      <c r="F34" s="136">
        <f t="shared" ca="1" si="0"/>
        <v>0</v>
      </c>
      <c r="G34" s="137" t="e">
        <f>IF(A34&lt;&gt;"",IF(AND(#REF!="Padrão",$H$4=#REF!),BDI!$B$17,IF(AND(#REF!="Padrão",$H$4=#REF!),BDI!#REF!,IF(AND(#REF!="Diferenciado",$H$4=#REF!),BDI!$E$17,IF(AND(#REF!="Diferenciado",$H$4=#REF!),BDI!#REF!,IF(#REF!="ZERO",0))))),"")</f>
        <v>#REF!</v>
      </c>
      <c r="H34" s="138" t="e">
        <f t="shared" ca="1" si="1"/>
        <v>#REF!</v>
      </c>
      <c r="I34" s="136" t="e">
        <f t="shared" ca="1" si="2"/>
        <v>#REF!</v>
      </c>
    </row>
    <row r="35" spans="1:9" hidden="1" x14ac:dyDescent="0.25">
      <c r="A35" s="114" t="s">
        <v>61</v>
      </c>
      <c r="B35" s="115" t="s">
        <v>1560</v>
      </c>
      <c r="C35" s="116" t="s">
        <v>95</v>
      </c>
      <c r="D35" s="116">
        <v>0</v>
      </c>
      <c r="E35" s="135">
        <f ca="1">OFFSET(INDEX(Composições!A:J,MATCH(Orçamentária!A35,Composições!A:A,0),8),2,0)</f>
        <v>17.099999999999998</v>
      </c>
      <c r="F35" s="136">
        <f t="shared" ca="1" si="0"/>
        <v>0</v>
      </c>
      <c r="G35" s="137" t="e">
        <f>IF(A35&lt;&gt;"",IF(AND(#REF!="Padrão",$H$4=#REF!),BDI!$B$17,IF(AND(#REF!="Padrão",$H$4=#REF!),BDI!#REF!,IF(AND(#REF!="Diferenciado",$H$4=#REF!),BDI!$E$17,IF(AND(#REF!="Diferenciado",$H$4=#REF!),BDI!#REF!,IF(#REF!="ZERO",0))))),"")</f>
        <v>#REF!</v>
      </c>
      <c r="H35" s="138" t="e">
        <f t="shared" ca="1" si="1"/>
        <v>#REF!</v>
      </c>
      <c r="I35" s="136" t="e">
        <f t="shared" ca="1" si="2"/>
        <v>#REF!</v>
      </c>
    </row>
    <row r="36" spans="1:9" hidden="1" x14ac:dyDescent="0.25">
      <c r="A36" s="114" t="s">
        <v>62</v>
      </c>
      <c r="B36" s="115" t="s">
        <v>1561</v>
      </c>
      <c r="C36" s="116" t="s">
        <v>20</v>
      </c>
      <c r="D36" s="116">
        <v>0</v>
      </c>
      <c r="E36" s="135">
        <f ca="1">OFFSET(INDEX(Composições!A:J,MATCH(Orçamentária!A36,Composições!A:A,0),8),2,0)</f>
        <v>9.6713638499999988</v>
      </c>
      <c r="F36" s="136">
        <f t="shared" ca="1" si="0"/>
        <v>0</v>
      </c>
      <c r="G36" s="137" t="e">
        <f>IF(A36&lt;&gt;"",IF(AND(#REF!="Padrão",$H$4=#REF!),BDI!$B$17,IF(AND(#REF!="Padrão",$H$4=#REF!),BDI!#REF!,IF(AND(#REF!="Diferenciado",$H$4=#REF!),BDI!$E$17,IF(AND(#REF!="Diferenciado",$H$4=#REF!),BDI!#REF!,IF(#REF!="ZERO",0))))),"")</f>
        <v>#REF!</v>
      </c>
      <c r="H36" s="138" t="e">
        <f t="shared" ca="1" si="1"/>
        <v>#REF!</v>
      </c>
      <c r="I36" s="136" t="e">
        <f t="shared" ca="1" si="2"/>
        <v>#REF!</v>
      </c>
    </row>
    <row r="37" spans="1:9" hidden="1" x14ac:dyDescent="0.25">
      <c r="A37" s="114" t="s">
        <v>63</v>
      </c>
      <c r="B37" s="115" t="s">
        <v>1562</v>
      </c>
      <c r="C37" s="116" t="s">
        <v>20</v>
      </c>
      <c r="D37" s="116">
        <v>0</v>
      </c>
      <c r="E37" s="135">
        <f ca="1">OFFSET(INDEX(Composições!A:J,MATCH(Orçamentária!A37,Composições!A:A,0),8),2,0)</f>
        <v>5.0978377499999992</v>
      </c>
      <c r="F37" s="136">
        <f t="shared" ca="1" si="0"/>
        <v>0</v>
      </c>
      <c r="G37" s="137" t="e">
        <f>IF(A37&lt;&gt;"",IF(AND(#REF!="Padrão",$H$4=#REF!),BDI!$B$17,IF(AND(#REF!="Padrão",$H$4=#REF!),BDI!#REF!,IF(AND(#REF!="Diferenciado",$H$4=#REF!),BDI!$E$17,IF(AND(#REF!="Diferenciado",$H$4=#REF!),BDI!#REF!,IF(#REF!="ZERO",0))))),"")</f>
        <v>#REF!</v>
      </c>
      <c r="H37" s="138" t="e">
        <f t="shared" ca="1" si="1"/>
        <v>#REF!</v>
      </c>
      <c r="I37" s="136" t="e">
        <f t="shared" ca="1" si="2"/>
        <v>#REF!</v>
      </c>
    </row>
    <row r="38" spans="1:9" hidden="1" x14ac:dyDescent="0.25">
      <c r="A38" s="114" t="s">
        <v>65</v>
      </c>
      <c r="B38" s="115" t="s">
        <v>1563</v>
      </c>
      <c r="C38" s="116" t="s">
        <v>20</v>
      </c>
      <c r="D38" s="116">
        <v>0</v>
      </c>
      <c r="E38" s="135">
        <f ca="1">OFFSET(INDEX(Composições!A:J,MATCH(Orçamentária!A38,Composições!A:A,0),8),2,0)</f>
        <v>7.0524522999999988</v>
      </c>
      <c r="F38" s="136">
        <f t="shared" ca="1" si="0"/>
        <v>0</v>
      </c>
      <c r="G38" s="137" t="e">
        <f>IF(A38&lt;&gt;"",IF(AND(#REF!="Padrão",$H$4=#REF!),BDI!$B$17,IF(AND(#REF!="Padrão",$H$4=#REF!),BDI!#REF!,IF(AND(#REF!="Diferenciado",$H$4=#REF!),BDI!$E$17,IF(AND(#REF!="Diferenciado",$H$4=#REF!),BDI!#REF!,IF(#REF!="ZERO",0))))),"")</f>
        <v>#REF!</v>
      </c>
      <c r="H38" s="138" t="e">
        <f t="shared" ca="1" si="1"/>
        <v>#REF!</v>
      </c>
      <c r="I38" s="136" t="e">
        <f t="shared" ca="1" si="2"/>
        <v>#REF!</v>
      </c>
    </row>
    <row r="39" spans="1:9" hidden="1" x14ac:dyDescent="0.25">
      <c r="A39" s="114" t="s">
        <v>66</v>
      </c>
      <c r="B39" s="115" t="s">
        <v>1564</v>
      </c>
      <c r="C39" s="116" t="s">
        <v>95</v>
      </c>
      <c r="D39" s="116">
        <v>0</v>
      </c>
      <c r="E39" s="135">
        <f ca="1">OFFSET(INDEX(Composições!A:J,MATCH(Orçamentária!A39,Composições!A:A,0),8),2,0)</f>
        <v>13.802074999999999</v>
      </c>
      <c r="F39" s="136">
        <f t="shared" ca="1" si="0"/>
        <v>0</v>
      </c>
      <c r="G39" s="137" t="e">
        <f>IF(A39&lt;&gt;"",IF(AND(#REF!="Padrão",$H$4=#REF!),BDI!$B$17,IF(AND(#REF!="Padrão",$H$4=#REF!),BDI!#REF!,IF(AND(#REF!="Diferenciado",$H$4=#REF!),BDI!$E$17,IF(AND(#REF!="Diferenciado",$H$4=#REF!),BDI!#REF!,IF(#REF!="ZERO",0))))),"")</f>
        <v>#REF!</v>
      </c>
      <c r="H39" s="138" t="e">
        <f t="shared" ca="1" si="1"/>
        <v>#REF!</v>
      </c>
      <c r="I39" s="136" t="e">
        <f t="shared" ca="1" si="2"/>
        <v>#REF!</v>
      </c>
    </row>
    <row r="40" spans="1:9" hidden="1" x14ac:dyDescent="0.25">
      <c r="A40" s="114" t="s">
        <v>67</v>
      </c>
      <c r="B40" s="115" t="s">
        <v>1565</v>
      </c>
      <c r="C40" s="116" t="s">
        <v>95</v>
      </c>
      <c r="D40" s="116">
        <v>0</v>
      </c>
      <c r="E40" s="135">
        <f ca="1">OFFSET(INDEX(Composições!A:J,MATCH(Orçamentária!A40,Composições!A:A,0),8),2,0)</f>
        <v>8.4321999999999999</v>
      </c>
      <c r="F40" s="136">
        <f t="shared" ca="1" si="0"/>
        <v>0</v>
      </c>
      <c r="G40" s="137" t="e">
        <f>IF(A40&lt;&gt;"",IF(AND(#REF!="Padrão",$H$4=#REF!),BDI!$B$17,IF(AND(#REF!="Padrão",$H$4=#REF!),BDI!#REF!,IF(AND(#REF!="Diferenciado",$H$4=#REF!),BDI!$E$17,IF(AND(#REF!="Diferenciado",$H$4=#REF!),BDI!#REF!,IF(#REF!="ZERO",0))))),"")</f>
        <v>#REF!</v>
      </c>
      <c r="H40" s="138" t="e">
        <f t="shared" ca="1" si="1"/>
        <v>#REF!</v>
      </c>
      <c r="I40" s="136" t="e">
        <f t="shared" ca="1" si="2"/>
        <v>#REF!</v>
      </c>
    </row>
    <row r="41" spans="1:9" hidden="1" x14ac:dyDescent="0.25">
      <c r="A41" s="114" t="s">
        <v>69</v>
      </c>
      <c r="B41" s="115" t="s">
        <v>1566</v>
      </c>
      <c r="C41" s="116" t="s">
        <v>93</v>
      </c>
      <c r="D41" s="116">
        <v>0</v>
      </c>
      <c r="E41" s="135">
        <f ca="1">OFFSET(INDEX(Composições!A:J,MATCH(Orçamentária!A41,Composições!A:A,0),8),2,0)</f>
        <v>3.3193303999999997</v>
      </c>
      <c r="F41" s="136">
        <f t="shared" ca="1" si="0"/>
        <v>0</v>
      </c>
      <c r="G41" s="137" t="e">
        <f>IF(A41&lt;&gt;"",IF(AND(#REF!="Padrão",$H$4=#REF!),BDI!$B$17,IF(AND(#REF!="Padrão",$H$4=#REF!),BDI!#REF!,IF(AND(#REF!="Diferenciado",$H$4=#REF!),BDI!$E$17,IF(AND(#REF!="Diferenciado",$H$4=#REF!),BDI!#REF!,IF(#REF!="ZERO",0))))),"")</f>
        <v>#REF!</v>
      </c>
      <c r="H41" s="138" t="e">
        <f t="shared" ca="1" si="1"/>
        <v>#REF!</v>
      </c>
      <c r="I41" s="136" t="e">
        <f t="shared" ca="1" si="2"/>
        <v>#REF!</v>
      </c>
    </row>
    <row r="42" spans="1:9" hidden="1" x14ac:dyDescent="0.25">
      <c r="A42" s="114" t="s">
        <v>70</v>
      </c>
      <c r="B42" s="115" t="s">
        <v>1567</v>
      </c>
      <c r="C42" s="116" t="s">
        <v>95</v>
      </c>
      <c r="D42" s="116">
        <v>0</v>
      </c>
      <c r="E42" s="135">
        <f ca="1">OFFSET(INDEX(Composições!A:J,MATCH(Orçamentária!A42,Composições!A:A,0),8),2,0)</f>
        <v>6.6917999999999997</v>
      </c>
      <c r="F42" s="136">
        <f t="shared" ca="1" si="0"/>
        <v>0</v>
      </c>
      <c r="G42" s="137" t="e">
        <f>IF(A42&lt;&gt;"",IF(AND(#REF!="Padrão",$H$4=#REF!),BDI!$B$17,IF(AND(#REF!="Padrão",$H$4=#REF!),BDI!#REF!,IF(AND(#REF!="Diferenciado",$H$4=#REF!),BDI!$E$17,IF(AND(#REF!="Diferenciado",$H$4=#REF!),BDI!#REF!,IF(#REF!="ZERO",0))))),"")</f>
        <v>#REF!</v>
      </c>
      <c r="H42" s="138" t="e">
        <f t="shared" ca="1" si="1"/>
        <v>#REF!</v>
      </c>
      <c r="I42" s="136" t="e">
        <f t="shared" ca="1" si="2"/>
        <v>#REF!</v>
      </c>
    </row>
    <row r="43" spans="1:9" hidden="1" x14ac:dyDescent="0.25">
      <c r="A43" s="114" t="s">
        <v>71</v>
      </c>
      <c r="B43" s="115" t="s">
        <v>1568</v>
      </c>
      <c r="C43" s="116" t="s">
        <v>95</v>
      </c>
      <c r="D43" s="116">
        <v>0</v>
      </c>
      <c r="E43" s="135">
        <f ca="1">OFFSET(INDEX(Composições!A:J,MATCH(Orçamentária!A43,Composições!A:A,0),8),2,0)</f>
        <v>3.88353825</v>
      </c>
      <c r="F43" s="136">
        <f t="shared" ca="1" si="0"/>
        <v>0</v>
      </c>
      <c r="G43" s="137" t="e">
        <f>IF(A43&lt;&gt;"",IF(AND(#REF!="Padrão",$H$4=#REF!),BDI!$B$17,IF(AND(#REF!="Padrão",$H$4=#REF!),BDI!#REF!,IF(AND(#REF!="Diferenciado",$H$4=#REF!),BDI!$E$17,IF(AND(#REF!="Diferenciado",$H$4=#REF!),BDI!#REF!,IF(#REF!="ZERO",0))))),"")</f>
        <v>#REF!</v>
      </c>
      <c r="H43" s="138" t="e">
        <f t="shared" ca="1" si="1"/>
        <v>#REF!</v>
      </c>
      <c r="I43" s="136" t="e">
        <f t="shared" ca="1" si="2"/>
        <v>#REF!</v>
      </c>
    </row>
    <row r="44" spans="1:9" hidden="1" x14ac:dyDescent="0.25">
      <c r="A44" s="114" t="s">
        <v>73</v>
      </c>
      <c r="B44" s="115" t="s">
        <v>1569</v>
      </c>
      <c r="C44" s="116" t="s">
        <v>20</v>
      </c>
      <c r="D44" s="116">
        <v>0</v>
      </c>
      <c r="E44" s="135">
        <f ca="1">OFFSET(INDEX(Composições!A:J,MATCH(Orçamentária!A44,Composições!A:A,0),8),2,0)</f>
        <v>59.783499999999989</v>
      </c>
      <c r="F44" s="136">
        <f t="shared" ca="1" si="0"/>
        <v>0</v>
      </c>
      <c r="G44" s="137" t="e">
        <f>IF(A44&lt;&gt;"",IF(AND(#REF!="Padrão",$H$4=#REF!),BDI!$B$17,IF(AND(#REF!="Padrão",$H$4=#REF!),BDI!#REF!,IF(AND(#REF!="Diferenciado",$H$4=#REF!),BDI!$E$17,IF(AND(#REF!="Diferenciado",$H$4=#REF!),BDI!#REF!,IF(#REF!="ZERO",0))))),"")</f>
        <v>#REF!</v>
      </c>
      <c r="H44" s="138" t="e">
        <f t="shared" ca="1" si="1"/>
        <v>#REF!</v>
      </c>
      <c r="I44" s="136" t="e">
        <f t="shared" ca="1" si="2"/>
        <v>#REF!</v>
      </c>
    </row>
    <row r="45" spans="1:9" hidden="1" x14ac:dyDescent="0.25">
      <c r="A45" s="114" t="s">
        <v>75</v>
      </c>
      <c r="B45" s="115" t="s">
        <v>1570</v>
      </c>
      <c r="C45" s="116" t="s">
        <v>95</v>
      </c>
      <c r="D45" s="116">
        <v>0</v>
      </c>
      <c r="E45" s="135">
        <f ca="1">OFFSET(INDEX(Composições!A:J,MATCH(Orçamentária!A45,Composições!A:A,0),8),2,0)</f>
        <v>3.3458999999999999</v>
      </c>
      <c r="F45" s="136">
        <f t="shared" ca="1" si="0"/>
        <v>0</v>
      </c>
      <c r="G45" s="137" t="e">
        <f>IF(A45&lt;&gt;"",IF(AND(#REF!="Padrão",$H$4=#REF!),BDI!$B$17,IF(AND(#REF!="Padrão",$H$4=#REF!),BDI!#REF!,IF(AND(#REF!="Diferenciado",$H$4=#REF!),BDI!$E$17,IF(AND(#REF!="Diferenciado",$H$4=#REF!),BDI!#REF!,IF(#REF!="ZERO",0))))),"")</f>
        <v>#REF!</v>
      </c>
      <c r="H45" s="138" t="e">
        <f t="shared" ca="1" si="1"/>
        <v>#REF!</v>
      </c>
      <c r="I45" s="136" t="e">
        <f t="shared" ca="1" si="2"/>
        <v>#REF!</v>
      </c>
    </row>
    <row r="46" spans="1:9" hidden="1" x14ac:dyDescent="0.25">
      <c r="A46" s="114" t="s">
        <v>76</v>
      </c>
      <c r="B46" s="115" t="s">
        <v>1571</v>
      </c>
      <c r="C46" s="116" t="s">
        <v>93</v>
      </c>
      <c r="D46" s="116">
        <v>0</v>
      </c>
      <c r="E46" s="135">
        <f ca="1">OFFSET(INDEX(Composições!A:J,MATCH(Orçamentária!A46,Composições!A:A,0),8),2,0)</f>
        <v>1.4621583</v>
      </c>
      <c r="F46" s="136">
        <f t="shared" ca="1" si="0"/>
        <v>0</v>
      </c>
      <c r="G46" s="137" t="e">
        <f>IF(A46&lt;&gt;"",IF(AND(#REF!="Padrão",$H$4=#REF!),BDI!$B$17,IF(AND(#REF!="Padrão",$H$4=#REF!),BDI!#REF!,IF(AND(#REF!="Diferenciado",$H$4=#REF!),BDI!$E$17,IF(AND(#REF!="Diferenciado",$H$4=#REF!),BDI!#REF!,IF(#REF!="ZERO",0))))),"")</f>
        <v>#REF!</v>
      </c>
      <c r="H46" s="138" t="e">
        <f t="shared" ca="1" si="1"/>
        <v>#REF!</v>
      </c>
      <c r="I46" s="136" t="e">
        <f t="shared" ca="1" si="2"/>
        <v>#REF!</v>
      </c>
    </row>
    <row r="47" spans="1:9" hidden="1" x14ac:dyDescent="0.25">
      <c r="A47" s="114" t="s">
        <v>77</v>
      </c>
      <c r="B47" s="115" t="s">
        <v>1572</v>
      </c>
      <c r="C47" s="116" t="s">
        <v>95</v>
      </c>
      <c r="D47" s="116">
        <v>0</v>
      </c>
      <c r="E47" s="135">
        <f ca="1">OFFSET(INDEX(Composições!A:J,MATCH(Orçamentária!A47,Composições!A:A,0),8),2,0)</f>
        <v>6.0422374999999997</v>
      </c>
      <c r="F47" s="136">
        <f t="shared" ca="1" si="0"/>
        <v>0</v>
      </c>
      <c r="G47" s="137" t="e">
        <f>IF(A47&lt;&gt;"",IF(AND(#REF!="Padrão",$H$4=#REF!),BDI!$B$17,IF(AND(#REF!="Padrão",$H$4=#REF!),BDI!#REF!,IF(AND(#REF!="Diferenciado",$H$4=#REF!),BDI!$E$17,IF(AND(#REF!="Diferenciado",$H$4=#REF!),BDI!#REF!,IF(#REF!="ZERO",0))))),"")</f>
        <v>#REF!</v>
      </c>
      <c r="H47" s="138" t="e">
        <f t="shared" ca="1" si="1"/>
        <v>#REF!</v>
      </c>
      <c r="I47" s="136" t="e">
        <f t="shared" ca="1" si="2"/>
        <v>#REF!</v>
      </c>
    </row>
    <row r="48" spans="1:9" hidden="1" x14ac:dyDescent="0.25">
      <c r="A48" s="114" t="s">
        <v>79</v>
      </c>
      <c r="B48" s="115" t="s">
        <v>1573</v>
      </c>
      <c r="C48" s="116" t="s">
        <v>93</v>
      </c>
      <c r="D48" s="116">
        <v>0</v>
      </c>
      <c r="E48" s="135">
        <f ca="1">OFFSET(INDEX(Composições!A:J,MATCH(Orçamentária!A48,Composições!A:A,0),8),2,0)</f>
        <v>9.2012249999999991</v>
      </c>
      <c r="F48" s="136">
        <f t="shared" ca="1" si="0"/>
        <v>0</v>
      </c>
      <c r="G48" s="137" t="e">
        <f>IF(A48&lt;&gt;"",IF(AND(#REF!="Padrão",$H$4=#REF!),BDI!$B$17,IF(AND(#REF!="Padrão",$H$4=#REF!),BDI!#REF!,IF(AND(#REF!="Diferenciado",$H$4=#REF!),BDI!$E$17,IF(AND(#REF!="Diferenciado",$H$4=#REF!),BDI!#REF!,IF(#REF!="ZERO",0))))),"")</f>
        <v>#REF!</v>
      </c>
      <c r="H48" s="138" t="e">
        <f t="shared" ca="1" si="1"/>
        <v>#REF!</v>
      </c>
      <c r="I48" s="136" t="e">
        <f t="shared" ca="1" si="2"/>
        <v>#REF!</v>
      </c>
    </row>
    <row r="49" spans="1:9" hidden="1" x14ac:dyDescent="0.25">
      <c r="A49" s="114" t="s">
        <v>80</v>
      </c>
      <c r="B49" s="115" t="s">
        <v>1574</v>
      </c>
      <c r="C49" s="116" t="s">
        <v>20</v>
      </c>
      <c r="D49" s="116">
        <v>0</v>
      </c>
      <c r="E49" s="135">
        <f ca="1">OFFSET(INDEX(Composições!A:J,MATCH(Orçamentária!A49,Composições!A:A,0),8),2,0)</f>
        <v>41.628999999999998</v>
      </c>
      <c r="F49" s="136">
        <f t="shared" ca="1" si="0"/>
        <v>0</v>
      </c>
      <c r="G49" s="137" t="e">
        <f>IF(A49&lt;&gt;"",IF(AND(#REF!="Padrão",$H$4=#REF!),BDI!$B$17,IF(AND(#REF!="Padrão",$H$4=#REF!),BDI!#REF!,IF(AND(#REF!="Diferenciado",$H$4=#REF!),BDI!$E$17,IF(AND(#REF!="Diferenciado",$H$4=#REF!),BDI!#REF!,IF(#REF!="ZERO",0))))),"")</f>
        <v>#REF!</v>
      </c>
      <c r="H49" s="138" t="e">
        <f t="shared" ca="1" si="1"/>
        <v>#REF!</v>
      </c>
      <c r="I49" s="136" t="e">
        <f t="shared" ca="1" si="2"/>
        <v>#REF!</v>
      </c>
    </row>
    <row r="50" spans="1:9" hidden="1" x14ac:dyDescent="0.25">
      <c r="A50" s="114" t="s">
        <v>82</v>
      </c>
      <c r="B50" s="115" t="s">
        <v>1575</v>
      </c>
      <c r="C50" s="116" t="s">
        <v>95</v>
      </c>
      <c r="D50" s="116">
        <v>0</v>
      </c>
      <c r="E50" s="135">
        <f ca="1">OFFSET(INDEX(Composições!A:J,MATCH(Orçamentária!A50,Composições!A:A,0),8),2,0)</f>
        <v>14.9777855</v>
      </c>
      <c r="F50" s="136">
        <f t="shared" ca="1" si="0"/>
        <v>0</v>
      </c>
      <c r="G50" s="137" t="e">
        <f>IF(A50&lt;&gt;"",IF(AND(#REF!="Padrão",$H$4=#REF!),BDI!$B$17,IF(AND(#REF!="Padrão",$H$4=#REF!),BDI!#REF!,IF(AND(#REF!="Diferenciado",$H$4=#REF!),BDI!$E$17,IF(AND(#REF!="Diferenciado",$H$4=#REF!),BDI!#REF!,IF(#REF!="ZERO",0))))),"")</f>
        <v>#REF!</v>
      </c>
      <c r="H50" s="138" t="e">
        <f t="shared" ca="1" si="1"/>
        <v>#REF!</v>
      </c>
      <c r="I50" s="136" t="e">
        <f t="shared" ca="1" si="2"/>
        <v>#REF!</v>
      </c>
    </row>
    <row r="51" spans="1:9" x14ac:dyDescent="0.25">
      <c r="A51" s="216" t="s">
        <v>83</v>
      </c>
      <c r="B51" s="217" t="s">
        <v>1576</v>
      </c>
      <c r="C51" s="218" t="s">
        <v>110</v>
      </c>
      <c r="D51" s="218">
        <v>30</v>
      </c>
      <c r="E51" s="135">
        <f ca="1">OFFSET(INDEX(Composições!A:J,MATCH(Orçamentária!A51,Composições!A:A,0),8),2,0)</f>
        <v>16.729499999999998</v>
      </c>
      <c r="F51" s="136">
        <f t="shared" ca="1" si="0"/>
        <v>501.88499999999993</v>
      </c>
      <c r="G51" s="137">
        <f>BDI!$B$17</f>
        <v>0.191</v>
      </c>
      <c r="H51" s="138">
        <f t="shared" ca="1" si="1"/>
        <v>19.920000000000002</v>
      </c>
      <c r="I51" s="136">
        <f t="shared" ca="1" si="2"/>
        <v>597.6</v>
      </c>
    </row>
    <row r="52" spans="1:9" hidden="1" x14ac:dyDescent="0.25">
      <c r="A52" s="114" t="s">
        <v>1577</v>
      </c>
      <c r="B52" s="115" t="s">
        <v>1578</v>
      </c>
      <c r="C52" s="116" t="s">
        <v>20</v>
      </c>
      <c r="D52" s="116">
        <v>0</v>
      </c>
      <c r="E52" s="135" t="s">
        <v>558</v>
      </c>
      <c r="F52" s="136" t="str">
        <f t="shared" si="0"/>
        <v/>
      </c>
      <c r="G52" s="137" t="e">
        <f>IF(A52&lt;&gt;"",IF(AND(#REF!="Padrão",$H$4=#REF!),BDI!$B$17,IF(AND(#REF!="Padrão",$H$4=#REF!),BDI!#REF!,IF(AND(#REF!="Diferenciado",$H$4=#REF!),BDI!$E$17,IF(AND(#REF!="Diferenciado",$H$4=#REF!),BDI!#REF!,IF(#REF!="ZERO",0))))),"")</f>
        <v>#REF!</v>
      </c>
      <c r="H52" s="138" t="str">
        <f t="shared" si="1"/>
        <v/>
      </c>
      <c r="I52" s="136" t="str">
        <f t="shared" si="2"/>
        <v/>
      </c>
    </row>
    <row r="53" spans="1:9" hidden="1" x14ac:dyDescent="0.25">
      <c r="A53" s="114" t="s">
        <v>84</v>
      </c>
      <c r="B53" s="115" t="s">
        <v>1579</v>
      </c>
      <c r="C53" s="116" t="s">
        <v>1580</v>
      </c>
      <c r="D53" s="116">
        <v>0</v>
      </c>
      <c r="E53" s="135">
        <f ca="1">OFFSET(INDEX(Composições!A:J,MATCH(Orçamentária!A53,Composições!A:A,0),8),2,0)</f>
        <v>4.2655000000000003</v>
      </c>
      <c r="F53" s="136">
        <f t="shared" ca="1" si="0"/>
        <v>0</v>
      </c>
      <c r="G53" s="137" t="e">
        <f>IF(A53&lt;&gt;"",IF(AND(#REF!="Padrão",$H$4=#REF!),BDI!$B$17,IF(AND(#REF!="Padrão",$H$4=#REF!),BDI!#REF!,IF(AND(#REF!="Diferenciado",$H$4=#REF!),BDI!$E$17,IF(AND(#REF!="Diferenciado",$H$4=#REF!),BDI!#REF!,IF(#REF!="ZERO",0))))),"")</f>
        <v>#REF!</v>
      </c>
      <c r="H53" s="138" t="e">
        <f t="shared" ca="1" si="1"/>
        <v>#REF!</v>
      </c>
      <c r="I53" s="136" t="e">
        <f t="shared" ca="1" si="2"/>
        <v>#REF!</v>
      </c>
    </row>
    <row r="54" spans="1:9" hidden="1" x14ac:dyDescent="0.25">
      <c r="A54" s="114" t="s">
        <v>87</v>
      </c>
      <c r="B54" s="115" t="s">
        <v>1581</v>
      </c>
      <c r="C54" s="116" t="s">
        <v>1582</v>
      </c>
      <c r="D54" s="116">
        <v>0</v>
      </c>
      <c r="E54" s="135">
        <f ca="1">OFFSET(INDEX(Composições!A:J,MATCH(Orçamentária!A54,Composições!A:A,0),8),2,0)</f>
        <v>12.824999999999999</v>
      </c>
      <c r="F54" s="136">
        <f t="shared" ca="1" si="0"/>
        <v>0</v>
      </c>
      <c r="G54" s="137" t="e">
        <f>IF(A54&lt;&gt;"",IF(AND(#REF!="Padrão",$H$4=#REF!),BDI!$B$17,IF(AND(#REF!="Padrão",$H$4=#REF!),BDI!#REF!,IF(AND(#REF!="Diferenciado",$H$4=#REF!),BDI!$E$17,IF(AND(#REF!="Diferenciado",$H$4=#REF!),BDI!#REF!,IF(#REF!="ZERO",0))))),"")</f>
        <v>#REF!</v>
      </c>
      <c r="H54" s="138" t="e">
        <f t="shared" ca="1" si="1"/>
        <v>#REF!</v>
      </c>
      <c r="I54" s="136" t="e">
        <f t="shared" ca="1" si="2"/>
        <v>#REF!</v>
      </c>
    </row>
    <row r="55" spans="1:9" hidden="1" x14ac:dyDescent="0.25">
      <c r="A55" s="114" t="s">
        <v>1583</v>
      </c>
      <c r="B55" s="115" t="s">
        <v>1584</v>
      </c>
      <c r="C55" s="116" t="s">
        <v>93</v>
      </c>
      <c r="D55" s="116">
        <v>0</v>
      </c>
      <c r="E55" s="135" t="s">
        <v>558</v>
      </c>
      <c r="F55" s="136" t="str">
        <f t="shared" si="0"/>
        <v/>
      </c>
      <c r="G55" s="137" t="e">
        <f>IF(A55&lt;&gt;"",IF(AND(#REF!="Padrão",$H$4=#REF!),BDI!$B$17,IF(AND(#REF!="Padrão",$H$4=#REF!),BDI!#REF!,IF(AND(#REF!="Diferenciado",$H$4=#REF!),BDI!$E$17,IF(AND(#REF!="Diferenciado",$H$4=#REF!),BDI!#REF!,IF(#REF!="ZERO",0))))),"")</f>
        <v>#REF!</v>
      </c>
      <c r="H55" s="138" t="str">
        <f t="shared" si="1"/>
        <v/>
      </c>
      <c r="I55" s="136" t="str">
        <f t="shared" si="2"/>
        <v/>
      </c>
    </row>
    <row r="56" spans="1:9" hidden="1" x14ac:dyDescent="0.25">
      <c r="A56" s="114" t="s">
        <v>89</v>
      </c>
      <c r="B56" s="115" t="s">
        <v>1585</v>
      </c>
      <c r="C56" s="116" t="s">
        <v>93</v>
      </c>
      <c r="D56" s="116">
        <v>0</v>
      </c>
      <c r="E56" s="135">
        <f ca="1">OFFSET(INDEX(Composições!A:J,MATCH(Orçamentária!A56,Composições!A:A,0),8),2,0)</f>
        <v>5.6119349999999999</v>
      </c>
      <c r="F56" s="136">
        <f t="shared" ca="1" si="0"/>
        <v>0</v>
      </c>
      <c r="G56" s="137" t="e">
        <f>IF(A56&lt;&gt;"",IF(AND(#REF!="Padrão",$H$4=#REF!),BDI!$B$17,IF(AND(#REF!="Padrão",$H$4=#REF!),BDI!#REF!,IF(AND(#REF!="Diferenciado",$H$4=#REF!),BDI!$E$17,IF(AND(#REF!="Diferenciado",$H$4=#REF!),BDI!#REF!,IF(#REF!="ZERO",0))))),"")</f>
        <v>#REF!</v>
      </c>
      <c r="H56" s="138" t="e">
        <f t="shared" ca="1" si="1"/>
        <v>#REF!</v>
      </c>
      <c r="I56" s="136" t="e">
        <f t="shared" ca="1" si="2"/>
        <v>#REF!</v>
      </c>
    </row>
    <row r="57" spans="1:9" hidden="1" x14ac:dyDescent="0.25">
      <c r="A57" s="114" t="s">
        <v>1586</v>
      </c>
      <c r="B57" s="115" t="s">
        <v>1587</v>
      </c>
      <c r="C57" s="116" t="s">
        <v>20</v>
      </c>
      <c r="D57" s="116">
        <v>0</v>
      </c>
      <c r="E57" s="135" t="s">
        <v>558</v>
      </c>
      <c r="F57" s="136" t="str">
        <f t="shared" si="0"/>
        <v/>
      </c>
      <c r="G57" s="137" t="e">
        <f>IF(A57&lt;&gt;"",IF(AND(#REF!="Padrão",$H$4=#REF!),BDI!$B$17,IF(AND(#REF!="Padrão",$H$4=#REF!),BDI!#REF!,IF(AND(#REF!="Diferenciado",$H$4=#REF!),BDI!$E$17,IF(AND(#REF!="Diferenciado",$H$4=#REF!),BDI!#REF!,IF(#REF!="ZERO",0))))),"")</f>
        <v>#REF!</v>
      </c>
      <c r="H57" s="138" t="str">
        <f t="shared" si="1"/>
        <v/>
      </c>
      <c r="I57" s="136" t="str">
        <f t="shared" si="2"/>
        <v/>
      </c>
    </row>
    <row r="58" spans="1:9" hidden="1" x14ac:dyDescent="0.25">
      <c r="A58" s="114" t="s">
        <v>1588</v>
      </c>
      <c r="B58" s="115" t="s">
        <v>1589</v>
      </c>
      <c r="C58" s="116" t="s">
        <v>1582</v>
      </c>
      <c r="D58" s="116">
        <v>0</v>
      </c>
      <c r="E58" s="135" t="s">
        <v>558</v>
      </c>
      <c r="F58" s="136" t="str">
        <f t="shared" si="0"/>
        <v/>
      </c>
      <c r="G58" s="137" t="e">
        <f>IF(A58&lt;&gt;"",IF(AND(#REF!="Padrão",$H$4=#REF!),BDI!$B$17,IF(AND(#REF!="Padrão",$H$4=#REF!),BDI!#REF!,IF(AND(#REF!="Diferenciado",$H$4=#REF!),BDI!$E$17,IF(AND(#REF!="Diferenciado",$H$4=#REF!),BDI!#REF!,IF(#REF!="ZERO",0))))),"")</f>
        <v>#REF!</v>
      </c>
      <c r="H58" s="138" t="str">
        <f t="shared" si="1"/>
        <v/>
      </c>
      <c r="I58" s="136" t="str">
        <f t="shared" si="2"/>
        <v/>
      </c>
    </row>
    <row r="59" spans="1:9" hidden="1" x14ac:dyDescent="0.25">
      <c r="A59" s="114" t="s">
        <v>1590</v>
      </c>
      <c r="B59" s="115" t="s">
        <v>1591</v>
      </c>
      <c r="C59" s="116" t="s">
        <v>20</v>
      </c>
      <c r="D59" s="116">
        <v>0</v>
      </c>
      <c r="E59" s="135" t="s">
        <v>558</v>
      </c>
      <c r="F59" s="136" t="str">
        <f t="shared" si="0"/>
        <v/>
      </c>
      <c r="G59" s="137" t="e">
        <f>IF(A59&lt;&gt;"",IF(AND(#REF!="Padrão",$H$4=#REF!),BDI!$B$17,IF(AND(#REF!="Padrão",$H$4=#REF!),BDI!#REF!,IF(AND(#REF!="Diferenciado",$H$4=#REF!),BDI!$E$17,IF(AND(#REF!="Diferenciado",$H$4=#REF!),BDI!#REF!,IF(#REF!="ZERO",0))))),"")</f>
        <v>#REF!</v>
      </c>
      <c r="H59" s="138" t="str">
        <f t="shared" si="1"/>
        <v/>
      </c>
      <c r="I59" s="136" t="str">
        <f t="shared" si="2"/>
        <v/>
      </c>
    </row>
    <row r="60" spans="1:9" hidden="1" x14ac:dyDescent="0.25">
      <c r="A60" s="114" t="s">
        <v>1592</v>
      </c>
      <c r="B60" s="115" t="s">
        <v>1593</v>
      </c>
      <c r="C60" s="116" t="s">
        <v>1582</v>
      </c>
      <c r="D60" s="116">
        <v>0</v>
      </c>
      <c r="E60" s="135" t="s">
        <v>558</v>
      </c>
      <c r="F60" s="136" t="str">
        <f t="shared" si="0"/>
        <v/>
      </c>
      <c r="G60" s="137" t="e">
        <f>IF(A60&lt;&gt;"",IF(AND(#REF!="Padrão",$H$4=#REF!),BDI!$B$17,IF(AND(#REF!="Padrão",$H$4=#REF!),BDI!#REF!,IF(AND(#REF!="Diferenciado",$H$4=#REF!),BDI!$E$17,IF(AND(#REF!="Diferenciado",$H$4=#REF!),BDI!#REF!,IF(#REF!="ZERO",0))))),"")</f>
        <v>#REF!</v>
      </c>
      <c r="H60" s="138" t="str">
        <f t="shared" si="1"/>
        <v/>
      </c>
      <c r="I60" s="136" t="str">
        <f t="shared" si="2"/>
        <v/>
      </c>
    </row>
    <row r="61" spans="1:9" hidden="1" x14ac:dyDescent="0.25">
      <c r="A61" s="114" t="s">
        <v>1594</v>
      </c>
      <c r="B61" s="115" t="s">
        <v>1595</v>
      </c>
      <c r="C61" s="116" t="s">
        <v>20</v>
      </c>
      <c r="D61" s="116">
        <v>0</v>
      </c>
      <c r="E61" s="135" t="s">
        <v>558</v>
      </c>
      <c r="F61" s="136" t="str">
        <f t="shared" si="0"/>
        <v/>
      </c>
      <c r="G61" s="137" t="e">
        <f>IF(A61&lt;&gt;"",IF(AND(#REF!="Padrão",$H$4=#REF!),BDI!$B$17,IF(AND(#REF!="Padrão",$H$4=#REF!),BDI!#REF!,IF(AND(#REF!="Diferenciado",$H$4=#REF!),BDI!$E$17,IF(AND(#REF!="Diferenciado",$H$4=#REF!),BDI!#REF!,IF(#REF!="ZERO",0))))),"")</f>
        <v>#REF!</v>
      </c>
      <c r="H61" s="138" t="str">
        <f t="shared" si="1"/>
        <v/>
      </c>
      <c r="I61" s="136" t="str">
        <f t="shared" si="2"/>
        <v/>
      </c>
    </row>
    <row r="62" spans="1:9" ht="25.5" hidden="1" x14ac:dyDescent="0.25">
      <c r="A62" s="114" t="s">
        <v>92</v>
      </c>
      <c r="B62" s="115" t="s">
        <v>1596</v>
      </c>
      <c r="C62" s="116" t="s">
        <v>95</v>
      </c>
      <c r="D62" s="116">
        <v>0</v>
      </c>
      <c r="E62" s="135">
        <f ca="1">OFFSET(INDEX(Composições!A:J,MATCH(Orçamentária!A62,Composições!A:A,0),8),2,0)</f>
        <v>23.664974999999998</v>
      </c>
      <c r="F62" s="136">
        <f t="shared" ca="1" si="0"/>
        <v>0</v>
      </c>
      <c r="G62" s="137" t="e">
        <f>IF(A62&lt;&gt;"",IF(AND(#REF!="Padrão",$H$4=#REF!),BDI!$B$17,IF(AND(#REF!="Padrão",$H$4=#REF!),BDI!#REF!,IF(AND(#REF!="Diferenciado",$H$4=#REF!),BDI!$E$17,IF(AND(#REF!="Diferenciado",$H$4=#REF!),BDI!#REF!,IF(#REF!="ZERO",0))))),"")</f>
        <v>#REF!</v>
      </c>
      <c r="H62" s="138" t="e">
        <f t="shared" ca="1" si="1"/>
        <v>#REF!</v>
      </c>
      <c r="I62" s="136" t="e">
        <f t="shared" ca="1" si="2"/>
        <v>#REF!</v>
      </c>
    </row>
    <row r="63" spans="1:9" hidden="1" x14ac:dyDescent="0.25">
      <c r="A63" s="114" t="s">
        <v>1597</v>
      </c>
      <c r="B63" s="115" t="s">
        <v>1598</v>
      </c>
      <c r="C63" s="116" t="s">
        <v>20</v>
      </c>
      <c r="D63" s="116">
        <v>0</v>
      </c>
      <c r="E63" s="135" t="s">
        <v>558</v>
      </c>
      <c r="F63" s="136" t="str">
        <f t="shared" si="0"/>
        <v/>
      </c>
      <c r="G63" s="137" t="e">
        <f>IF(A63&lt;&gt;"",IF(AND(#REF!="Padrão",$H$4=#REF!),BDI!$B$17,IF(AND(#REF!="Padrão",$H$4=#REF!),BDI!#REF!,IF(AND(#REF!="Diferenciado",$H$4=#REF!),BDI!$E$17,IF(AND(#REF!="Diferenciado",$H$4=#REF!),BDI!#REF!,IF(#REF!="ZERO",0))))),"")</f>
        <v>#REF!</v>
      </c>
      <c r="H63" s="138" t="str">
        <f t="shared" si="1"/>
        <v/>
      </c>
      <c r="I63" s="136" t="str">
        <f t="shared" si="2"/>
        <v/>
      </c>
    </row>
    <row r="64" spans="1:9" hidden="1" x14ac:dyDescent="0.25">
      <c r="A64" s="114" t="s">
        <v>1599</v>
      </c>
      <c r="B64" s="115" t="s">
        <v>1600</v>
      </c>
      <c r="C64" s="116" t="s">
        <v>20</v>
      </c>
      <c r="D64" s="116">
        <v>0</v>
      </c>
      <c r="E64" s="135" t="s">
        <v>558</v>
      </c>
      <c r="F64" s="136" t="str">
        <f t="shared" si="0"/>
        <v/>
      </c>
      <c r="G64" s="137" t="e">
        <f>IF(A64&lt;&gt;"",IF(AND(#REF!="Padrão",$H$4=#REF!),BDI!$B$17,IF(AND(#REF!="Padrão",$H$4=#REF!),BDI!#REF!,IF(AND(#REF!="Diferenciado",$H$4=#REF!),BDI!$E$17,IF(AND(#REF!="Diferenciado",$H$4=#REF!),BDI!#REF!,IF(#REF!="ZERO",0))))),"")</f>
        <v>#REF!</v>
      </c>
      <c r="H64" s="138" t="str">
        <f t="shared" si="1"/>
        <v/>
      </c>
      <c r="I64" s="136" t="str">
        <f t="shared" si="2"/>
        <v/>
      </c>
    </row>
    <row r="65" spans="1:9" hidden="1" x14ac:dyDescent="0.25">
      <c r="A65" s="114" t="s">
        <v>1601</v>
      </c>
      <c r="B65" s="115" t="s">
        <v>1602</v>
      </c>
      <c r="C65" s="116" t="s">
        <v>20</v>
      </c>
      <c r="D65" s="116">
        <v>0</v>
      </c>
      <c r="E65" s="135" t="s">
        <v>558</v>
      </c>
      <c r="F65" s="136" t="str">
        <f t="shared" si="0"/>
        <v/>
      </c>
      <c r="G65" s="137" t="e">
        <f>IF(A65&lt;&gt;"",IF(AND(#REF!="Padrão",$H$4=#REF!),BDI!$B$17,IF(AND(#REF!="Padrão",$H$4=#REF!),BDI!#REF!,IF(AND(#REF!="Diferenciado",$H$4=#REF!),BDI!$E$17,IF(AND(#REF!="Diferenciado",$H$4=#REF!),BDI!#REF!,IF(#REF!="ZERO",0))))),"")</f>
        <v>#REF!</v>
      </c>
      <c r="H65" s="138" t="str">
        <f t="shared" si="1"/>
        <v/>
      </c>
      <c r="I65" s="136" t="str">
        <f t="shared" si="2"/>
        <v/>
      </c>
    </row>
    <row r="66" spans="1:9" hidden="1" x14ac:dyDescent="0.25">
      <c r="A66" s="114" t="s">
        <v>1603</v>
      </c>
      <c r="B66" s="115" t="s">
        <v>1604</v>
      </c>
      <c r="C66" s="116" t="s">
        <v>20</v>
      </c>
      <c r="D66" s="116">
        <v>0</v>
      </c>
      <c r="E66" s="135" t="s">
        <v>558</v>
      </c>
      <c r="F66" s="136" t="str">
        <f t="shared" si="0"/>
        <v/>
      </c>
      <c r="G66" s="137" t="e">
        <f>IF(A66&lt;&gt;"",IF(AND(#REF!="Padrão",$H$4=#REF!),BDI!$B$17,IF(AND(#REF!="Padrão",$H$4=#REF!),BDI!#REF!,IF(AND(#REF!="Diferenciado",$H$4=#REF!),BDI!$E$17,IF(AND(#REF!="Diferenciado",$H$4=#REF!),BDI!#REF!,IF(#REF!="ZERO",0))))),"")</f>
        <v>#REF!</v>
      </c>
      <c r="H66" s="138" t="str">
        <f t="shared" si="1"/>
        <v/>
      </c>
      <c r="I66" s="136" t="str">
        <f t="shared" si="2"/>
        <v/>
      </c>
    </row>
    <row r="67" spans="1:9" hidden="1" x14ac:dyDescent="0.25">
      <c r="A67" s="114" t="s">
        <v>1605</v>
      </c>
      <c r="B67" s="115" t="s">
        <v>1606</v>
      </c>
      <c r="C67" s="116" t="s">
        <v>20</v>
      </c>
      <c r="D67" s="116">
        <v>0</v>
      </c>
      <c r="E67" s="135" t="s">
        <v>558</v>
      </c>
      <c r="F67" s="136" t="str">
        <f t="shared" si="0"/>
        <v/>
      </c>
      <c r="G67" s="137" t="e">
        <f>IF(A67&lt;&gt;"",IF(AND(#REF!="Padrão",$H$4=#REF!),BDI!$B$17,IF(AND(#REF!="Padrão",$H$4=#REF!),BDI!#REF!,IF(AND(#REF!="Diferenciado",$H$4=#REF!),BDI!$E$17,IF(AND(#REF!="Diferenciado",$H$4=#REF!),BDI!#REF!,IF(#REF!="ZERO",0))))),"")</f>
        <v>#REF!</v>
      </c>
      <c r="H67" s="138" t="str">
        <f t="shared" si="1"/>
        <v/>
      </c>
      <c r="I67" s="136" t="str">
        <f t="shared" si="2"/>
        <v/>
      </c>
    </row>
    <row r="68" spans="1:9" hidden="1" x14ac:dyDescent="0.25">
      <c r="A68" s="114" t="s">
        <v>1607</v>
      </c>
      <c r="B68" s="115" t="s">
        <v>1608</v>
      </c>
      <c r="C68" s="116" t="s">
        <v>1580</v>
      </c>
      <c r="D68" s="116">
        <v>0</v>
      </c>
      <c r="E68" s="135" t="s">
        <v>558</v>
      </c>
      <c r="F68" s="136" t="str">
        <f t="shared" si="0"/>
        <v/>
      </c>
      <c r="G68" s="137" t="e">
        <f>IF(A68&lt;&gt;"",IF(AND(#REF!="Padrão",$H$4=#REF!),BDI!$B$17,IF(AND(#REF!="Padrão",$H$4=#REF!),BDI!#REF!,IF(AND(#REF!="Diferenciado",$H$4=#REF!),BDI!$E$17,IF(AND(#REF!="Diferenciado",$H$4=#REF!),BDI!#REF!,IF(#REF!="ZERO",0))))),"")</f>
        <v>#REF!</v>
      </c>
      <c r="H68" s="138" t="str">
        <f t="shared" si="1"/>
        <v/>
      </c>
      <c r="I68" s="136" t="str">
        <f t="shared" si="2"/>
        <v/>
      </c>
    </row>
    <row r="69" spans="1:9" hidden="1" x14ac:dyDescent="0.25">
      <c r="A69" s="114" t="s">
        <v>1609</v>
      </c>
      <c r="B69" s="115" t="s">
        <v>1610</v>
      </c>
      <c r="C69" s="116" t="s">
        <v>20</v>
      </c>
      <c r="D69" s="116">
        <v>0</v>
      </c>
      <c r="E69" s="135" t="s">
        <v>558</v>
      </c>
      <c r="F69" s="136" t="str">
        <f t="shared" si="0"/>
        <v/>
      </c>
      <c r="G69" s="137" t="e">
        <f>IF(A69&lt;&gt;"",IF(AND(#REF!="Padrão",$H$4=#REF!),BDI!$B$17,IF(AND(#REF!="Padrão",$H$4=#REF!),BDI!#REF!,IF(AND(#REF!="Diferenciado",$H$4=#REF!),BDI!$E$17,IF(AND(#REF!="Diferenciado",$H$4=#REF!),BDI!#REF!,IF(#REF!="ZERO",0))))),"")</f>
        <v>#REF!</v>
      </c>
      <c r="H69" s="138" t="str">
        <f t="shared" si="1"/>
        <v/>
      </c>
      <c r="I69" s="136" t="str">
        <f t="shared" si="2"/>
        <v/>
      </c>
    </row>
    <row r="70" spans="1:9" hidden="1" x14ac:dyDescent="0.25">
      <c r="A70" s="114" t="s">
        <v>1611</v>
      </c>
      <c r="B70" s="115" t="s">
        <v>1612</v>
      </c>
      <c r="C70" s="116" t="s">
        <v>20</v>
      </c>
      <c r="D70" s="116">
        <v>0</v>
      </c>
      <c r="E70" s="135" t="s">
        <v>558</v>
      </c>
      <c r="F70" s="136" t="str">
        <f t="shared" si="0"/>
        <v/>
      </c>
      <c r="G70" s="137" t="e">
        <f>IF(A70&lt;&gt;"",IF(AND(#REF!="Padrão",$H$4=#REF!),BDI!$B$17,IF(AND(#REF!="Padrão",$H$4=#REF!),BDI!#REF!,IF(AND(#REF!="Diferenciado",$H$4=#REF!),BDI!$E$17,IF(AND(#REF!="Diferenciado",$H$4=#REF!),BDI!#REF!,IF(#REF!="ZERO",0))))),"")</f>
        <v>#REF!</v>
      </c>
      <c r="H70" s="138" t="str">
        <f t="shared" si="1"/>
        <v/>
      </c>
      <c r="I70" s="136" t="str">
        <f t="shared" si="2"/>
        <v/>
      </c>
    </row>
    <row r="71" spans="1:9" hidden="1" x14ac:dyDescent="0.25">
      <c r="A71" s="114" t="s">
        <v>1613</v>
      </c>
      <c r="B71" s="115" t="s">
        <v>1614</v>
      </c>
      <c r="C71" s="116" t="s">
        <v>20</v>
      </c>
      <c r="D71" s="116">
        <v>0</v>
      </c>
      <c r="E71" s="135" t="s">
        <v>558</v>
      </c>
      <c r="F71" s="136" t="str">
        <f t="shared" ref="F71:F134" si="3">IF(ISNUMBER(E71),D71*E71,"")</f>
        <v/>
      </c>
      <c r="G71" s="137" t="e">
        <f>IF(A71&lt;&gt;"",IF(AND(#REF!="Padrão",$H$4=#REF!),BDI!$B$17,IF(AND(#REF!="Padrão",$H$4=#REF!),BDI!#REF!,IF(AND(#REF!="Diferenciado",$H$4=#REF!),BDI!$E$17,IF(AND(#REF!="Diferenciado",$H$4=#REF!),BDI!#REF!,IF(#REF!="ZERO",0))))),"")</f>
        <v>#REF!</v>
      </c>
      <c r="H71" s="138" t="str">
        <f t="shared" ref="H71:H134" si="4">IF(ISNUMBER(E71),ROUND(E71*(1+G71),2),"")</f>
        <v/>
      </c>
      <c r="I71" s="136" t="str">
        <f t="shared" ref="I71:I134" si="5">IF(ISNUMBER(E71),ROUND(H71*D71,2),"")</f>
        <v/>
      </c>
    </row>
    <row r="72" spans="1:9" hidden="1" x14ac:dyDescent="0.25">
      <c r="A72" s="114" t="s">
        <v>1615</v>
      </c>
      <c r="B72" s="115" t="s">
        <v>1616</v>
      </c>
      <c r="C72" s="116" t="s">
        <v>1617</v>
      </c>
      <c r="D72" s="116">
        <v>0</v>
      </c>
      <c r="E72" s="135" t="s">
        <v>558</v>
      </c>
      <c r="F72" s="136" t="str">
        <f t="shared" si="3"/>
        <v/>
      </c>
      <c r="G72" s="137" t="e">
        <f>IF(A72&lt;&gt;"",IF(AND(#REF!="Padrão",$H$4=#REF!),BDI!$B$17,IF(AND(#REF!="Padrão",$H$4=#REF!),BDI!#REF!,IF(AND(#REF!="Diferenciado",$H$4=#REF!),BDI!$E$17,IF(AND(#REF!="Diferenciado",$H$4=#REF!),BDI!#REF!,IF(#REF!="ZERO",0))))),"")</f>
        <v>#REF!</v>
      </c>
      <c r="H72" s="138" t="str">
        <f t="shared" si="4"/>
        <v/>
      </c>
      <c r="I72" s="136" t="str">
        <f t="shared" si="5"/>
        <v/>
      </c>
    </row>
    <row r="73" spans="1:9" hidden="1" x14ac:dyDescent="0.25">
      <c r="A73" s="114" t="s">
        <v>1618</v>
      </c>
      <c r="B73" s="115" t="s">
        <v>1619</v>
      </c>
      <c r="C73" s="116" t="s">
        <v>1582</v>
      </c>
      <c r="D73" s="116">
        <v>0</v>
      </c>
      <c r="E73" s="135" t="s">
        <v>558</v>
      </c>
      <c r="F73" s="136" t="str">
        <f t="shared" si="3"/>
        <v/>
      </c>
      <c r="G73" s="137" t="e">
        <f>IF(A73&lt;&gt;"",IF(AND(#REF!="Padrão",$H$4=#REF!),BDI!$B$17,IF(AND(#REF!="Padrão",$H$4=#REF!),BDI!#REF!,IF(AND(#REF!="Diferenciado",$H$4=#REF!),BDI!$E$17,IF(AND(#REF!="Diferenciado",$H$4=#REF!),BDI!#REF!,IF(#REF!="ZERO",0))))),"")</f>
        <v>#REF!</v>
      </c>
      <c r="H73" s="138" t="str">
        <f t="shared" si="4"/>
        <v/>
      </c>
      <c r="I73" s="136" t="str">
        <f t="shared" si="5"/>
        <v/>
      </c>
    </row>
    <row r="74" spans="1:9" hidden="1" x14ac:dyDescent="0.25">
      <c r="A74" s="114" t="s">
        <v>1620</v>
      </c>
      <c r="B74" s="115" t="s">
        <v>6357</v>
      </c>
      <c r="C74" s="116" t="s">
        <v>20</v>
      </c>
      <c r="D74" s="116">
        <v>0</v>
      </c>
      <c r="E74" s="135" t="s">
        <v>558</v>
      </c>
      <c r="F74" s="136" t="str">
        <f t="shared" si="3"/>
        <v/>
      </c>
      <c r="G74" s="137" t="e">
        <f>IF(A74&lt;&gt;"",IF(AND(#REF!="Padrão",$H$4=#REF!),BDI!$B$17,IF(AND(#REF!="Padrão",$H$4=#REF!),BDI!#REF!,IF(AND(#REF!="Diferenciado",$H$4=#REF!),BDI!$E$17,IF(AND(#REF!="Diferenciado",$H$4=#REF!),BDI!#REF!,IF(#REF!="ZERO",0))))),"")</f>
        <v>#REF!</v>
      </c>
      <c r="H74" s="138" t="str">
        <f t="shared" si="4"/>
        <v/>
      </c>
      <c r="I74" s="136" t="str">
        <f t="shared" si="5"/>
        <v/>
      </c>
    </row>
    <row r="75" spans="1:9" hidden="1" x14ac:dyDescent="0.25">
      <c r="A75" s="114" t="s">
        <v>96</v>
      </c>
      <c r="B75" s="115" t="s">
        <v>1621</v>
      </c>
      <c r="C75" s="116" t="s">
        <v>95</v>
      </c>
      <c r="D75" s="116">
        <v>0</v>
      </c>
      <c r="E75" s="135">
        <f ca="1">OFFSET(INDEX(Composições!A:J,MATCH(Orçamentária!A75,Composições!A:A,0),8),2,0)</f>
        <v>64.970414500000004</v>
      </c>
      <c r="F75" s="136">
        <f t="shared" ca="1" si="3"/>
        <v>0</v>
      </c>
      <c r="G75" s="137" t="e">
        <f>IF(A75&lt;&gt;"",IF(AND(#REF!="Padrão",$H$4=#REF!),BDI!$B$17,IF(AND(#REF!="Padrão",$H$4=#REF!),BDI!#REF!,IF(AND(#REF!="Diferenciado",$H$4=#REF!),BDI!$E$17,IF(AND(#REF!="Diferenciado",$H$4=#REF!),BDI!#REF!,IF(#REF!="ZERO",0))))),"")</f>
        <v>#REF!</v>
      </c>
      <c r="H75" s="138" t="e">
        <f t="shared" ca="1" si="4"/>
        <v>#REF!</v>
      </c>
      <c r="I75" s="136" t="e">
        <f t="shared" ca="1" si="5"/>
        <v>#REF!</v>
      </c>
    </row>
    <row r="76" spans="1:9" hidden="1" x14ac:dyDescent="0.25">
      <c r="A76" s="114" t="s">
        <v>1622</v>
      </c>
      <c r="B76" s="115" t="s">
        <v>1623</v>
      </c>
      <c r="C76" s="116" t="s">
        <v>20</v>
      </c>
      <c r="D76" s="116">
        <v>0</v>
      </c>
      <c r="E76" s="135" t="s">
        <v>558</v>
      </c>
      <c r="F76" s="136" t="str">
        <f t="shared" si="3"/>
        <v/>
      </c>
      <c r="G76" s="137" t="e">
        <f>IF(A76&lt;&gt;"",IF(AND(#REF!="Padrão",$H$4=#REF!),BDI!$B$17,IF(AND(#REF!="Padrão",$H$4=#REF!),BDI!#REF!,IF(AND(#REF!="Diferenciado",$H$4=#REF!),BDI!$E$17,IF(AND(#REF!="Diferenciado",$H$4=#REF!),BDI!#REF!,IF(#REF!="ZERO",0))))),"")</f>
        <v>#REF!</v>
      </c>
      <c r="H76" s="138" t="str">
        <f t="shared" si="4"/>
        <v/>
      </c>
      <c r="I76" s="136" t="str">
        <f t="shared" si="5"/>
        <v/>
      </c>
    </row>
    <row r="77" spans="1:9" hidden="1" x14ac:dyDescent="0.25">
      <c r="A77" s="114" t="s">
        <v>1624</v>
      </c>
      <c r="B77" s="115" t="s">
        <v>1625</v>
      </c>
      <c r="C77" s="116" t="s">
        <v>20</v>
      </c>
      <c r="D77" s="116">
        <v>0</v>
      </c>
      <c r="E77" s="135" t="s">
        <v>558</v>
      </c>
      <c r="F77" s="136" t="str">
        <f t="shared" si="3"/>
        <v/>
      </c>
      <c r="G77" s="137" t="e">
        <f>IF(A77&lt;&gt;"",IF(AND(#REF!="Padrão",$H$4=#REF!),BDI!$B$17,IF(AND(#REF!="Padrão",$H$4=#REF!),BDI!#REF!,IF(AND(#REF!="Diferenciado",$H$4=#REF!),BDI!$E$17,IF(AND(#REF!="Diferenciado",$H$4=#REF!),BDI!#REF!,IF(#REF!="ZERO",0))))),"")</f>
        <v>#REF!</v>
      </c>
      <c r="H77" s="138" t="str">
        <f t="shared" si="4"/>
        <v/>
      </c>
      <c r="I77" s="136" t="str">
        <f t="shared" si="5"/>
        <v/>
      </c>
    </row>
    <row r="78" spans="1:9" x14ac:dyDescent="0.25">
      <c r="A78" s="216" t="s">
        <v>106</v>
      </c>
      <c r="B78" s="217" t="s">
        <v>6434</v>
      </c>
      <c r="C78" s="218" t="s">
        <v>95</v>
      </c>
      <c r="D78" s="218">
        <v>1600</v>
      </c>
      <c r="E78" s="135">
        <f ca="1">OFFSET(INDEX(Composições!A:J,MATCH(Orçamentária!A78,Composições!A:A,0),8),2,0)</f>
        <v>2.0409989999999998</v>
      </c>
      <c r="F78" s="136">
        <f t="shared" ca="1" si="3"/>
        <v>3265.5983999999999</v>
      </c>
      <c r="G78" s="137">
        <f>BDI!$B$17</f>
        <v>0.191</v>
      </c>
      <c r="H78" s="138">
        <f t="shared" ca="1" si="4"/>
        <v>2.4300000000000002</v>
      </c>
      <c r="I78" s="136">
        <f t="shared" ca="1" si="5"/>
        <v>3888</v>
      </c>
    </row>
    <row r="79" spans="1:9" hidden="1" x14ac:dyDescent="0.25">
      <c r="A79" s="114" t="s">
        <v>107</v>
      </c>
      <c r="B79" s="115" t="s">
        <v>1626</v>
      </c>
      <c r="C79" s="116" t="s">
        <v>93</v>
      </c>
      <c r="D79" s="116">
        <v>0</v>
      </c>
      <c r="E79" s="135">
        <f ca="1">OFFSET(INDEX(Composições!A:J,MATCH(Orçamentária!A79,Composições!A:A,0),8),2,0)</f>
        <v>16.808341649300498</v>
      </c>
      <c r="F79" s="136">
        <f t="shared" ca="1" si="3"/>
        <v>0</v>
      </c>
      <c r="G79" s="137" t="e">
        <f>IF(A79&lt;&gt;"",IF(AND(#REF!="Padrão",$H$4=#REF!),BDI!$B$17,IF(AND(#REF!="Padrão",$H$4=#REF!),BDI!#REF!,IF(AND(#REF!="Diferenciado",$H$4=#REF!),BDI!$E$17,IF(AND(#REF!="Diferenciado",$H$4=#REF!),BDI!#REF!,IF(#REF!="ZERO",0))))),"")</f>
        <v>#REF!</v>
      </c>
      <c r="H79" s="138" t="e">
        <f t="shared" ca="1" si="4"/>
        <v>#REF!</v>
      </c>
      <c r="I79" s="136" t="e">
        <f t="shared" ca="1" si="5"/>
        <v>#REF!</v>
      </c>
    </row>
    <row r="80" spans="1:9" hidden="1" x14ac:dyDescent="0.25">
      <c r="A80" s="114" t="s">
        <v>111</v>
      </c>
      <c r="B80" s="115" t="s">
        <v>6358</v>
      </c>
      <c r="C80" s="116" t="s">
        <v>20</v>
      </c>
      <c r="D80" s="116">
        <v>0</v>
      </c>
      <c r="E80" s="135">
        <f ca="1">OFFSET(INDEX(Composições!A:J,MATCH(Orçamentária!A80,Composições!A:A,0),8),2,0)</f>
        <v>84.367257999999993</v>
      </c>
      <c r="F80" s="136">
        <f t="shared" ca="1" si="3"/>
        <v>0</v>
      </c>
      <c r="G80" s="137" t="e">
        <f>IF(A80&lt;&gt;"",IF(AND(#REF!="Padrão",$H$4=#REF!),BDI!$B$17,IF(AND(#REF!="Padrão",$H$4=#REF!),BDI!#REF!,IF(AND(#REF!="Diferenciado",$H$4=#REF!),BDI!$E$17,IF(AND(#REF!="Diferenciado",$H$4=#REF!),BDI!#REF!,IF(#REF!="ZERO",0))))),"")</f>
        <v>#REF!</v>
      </c>
      <c r="H80" s="138" t="e">
        <f t="shared" ca="1" si="4"/>
        <v>#REF!</v>
      </c>
      <c r="I80" s="136" t="e">
        <f t="shared" ca="1" si="5"/>
        <v>#REF!</v>
      </c>
    </row>
    <row r="81" spans="1:9" hidden="1" x14ac:dyDescent="0.25">
      <c r="A81" s="114" t="s">
        <v>112</v>
      </c>
      <c r="B81" s="115" t="s">
        <v>1627</v>
      </c>
      <c r="C81" s="116" t="s">
        <v>20</v>
      </c>
      <c r="D81" s="116">
        <v>0</v>
      </c>
      <c r="E81" s="135">
        <f ca="1">OFFSET(INDEX(Composições!A:J,MATCH(Orçamentária!A81,Composições!A:A,0),8),2,0)</f>
        <v>107.75513699999999</v>
      </c>
      <c r="F81" s="136">
        <f t="shared" ca="1" si="3"/>
        <v>0</v>
      </c>
      <c r="G81" s="137" t="e">
        <f>IF(A81&lt;&gt;"",IF(AND(#REF!="Padrão",$H$4=#REF!),BDI!$B$17,IF(AND(#REF!="Padrão",$H$4=#REF!),BDI!#REF!,IF(AND(#REF!="Diferenciado",$H$4=#REF!),BDI!$E$17,IF(AND(#REF!="Diferenciado",$H$4=#REF!),BDI!#REF!,IF(#REF!="ZERO",0))))),"")</f>
        <v>#REF!</v>
      </c>
      <c r="H81" s="138" t="e">
        <f t="shared" ca="1" si="4"/>
        <v>#REF!</v>
      </c>
      <c r="I81" s="136" t="e">
        <f t="shared" ca="1" si="5"/>
        <v>#REF!</v>
      </c>
    </row>
    <row r="82" spans="1:9" hidden="1" x14ac:dyDescent="0.25">
      <c r="A82" s="114" t="s">
        <v>113</v>
      </c>
      <c r="B82" s="115" t="s">
        <v>1628</v>
      </c>
      <c r="C82" s="116" t="s">
        <v>110</v>
      </c>
      <c r="D82" s="116">
        <v>0</v>
      </c>
      <c r="E82" s="135">
        <f ca="1">OFFSET(INDEX(Composições!A:J,MATCH(Orçamentária!A82,Composições!A:A,0),8),2,0)</f>
        <v>590.27876659119988</v>
      </c>
      <c r="F82" s="136">
        <f t="shared" ca="1" si="3"/>
        <v>0</v>
      </c>
      <c r="G82" s="137" t="e">
        <f>IF(A82&lt;&gt;"",IF(AND(#REF!="Padrão",$H$4=#REF!),BDI!$B$17,IF(AND(#REF!="Padrão",$H$4=#REF!),BDI!#REF!,IF(AND(#REF!="Diferenciado",$H$4=#REF!),BDI!$E$17,IF(AND(#REF!="Diferenciado",$H$4=#REF!),BDI!#REF!,IF(#REF!="ZERO",0))))),"")</f>
        <v>#REF!</v>
      </c>
      <c r="H82" s="138" t="e">
        <f t="shared" ca="1" si="4"/>
        <v>#REF!</v>
      </c>
      <c r="I82" s="136" t="e">
        <f t="shared" ca="1" si="5"/>
        <v>#REF!</v>
      </c>
    </row>
    <row r="83" spans="1:9" hidden="1" x14ac:dyDescent="0.25">
      <c r="A83" s="114" t="s">
        <v>126</v>
      </c>
      <c r="B83" s="115" t="s">
        <v>1629</v>
      </c>
      <c r="C83" s="116" t="s">
        <v>110</v>
      </c>
      <c r="D83" s="116">
        <v>0</v>
      </c>
      <c r="E83" s="135">
        <f ca="1">OFFSET(INDEX(Composições!A:J,MATCH(Orçamentária!A83,Composições!A:A,0),8),2,0)</f>
        <v>628.18517601879989</v>
      </c>
      <c r="F83" s="136">
        <f t="shared" ca="1" si="3"/>
        <v>0</v>
      </c>
      <c r="G83" s="137" t="e">
        <f>IF(A83&lt;&gt;"",IF(AND(#REF!="Padrão",$H$4=#REF!),BDI!$B$17,IF(AND(#REF!="Padrão",$H$4=#REF!),BDI!#REF!,IF(AND(#REF!="Diferenciado",$H$4=#REF!),BDI!$E$17,IF(AND(#REF!="Diferenciado",$H$4=#REF!),BDI!#REF!,IF(#REF!="ZERO",0))))),"")</f>
        <v>#REF!</v>
      </c>
      <c r="H83" s="138" t="e">
        <f t="shared" ca="1" si="4"/>
        <v>#REF!</v>
      </c>
      <c r="I83" s="136" t="e">
        <f t="shared" ca="1" si="5"/>
        <v>#REF!</v>
      </c>
    </row>
    <row r="84" spans="1:9" hidden="1" x14ac:dyDescent="0.25">
      <c r="A84" s="114" t="s">
        <v>127</v>
      </c>
      <c r="B84" s="115" t="s">
        <v>1630</v>
      </c>
      <c r="C84" s="116" t="s">
        <v>1580</v>
      </c>
      <c r="D84" s="116">
        <v>0</v>
      </c>
      <c r="E84" s="135">
        <f ca="1">OFFSET(INDEX(Composições!A:J,MATCH(Orçamentária!A84,Composições!A:A,0),8),2,0)</f>
        <v>16.359000000000002</v>
      </c>
      <c r="F84" s="136">
        <f t="shared" ca="1" si="3"/>
        <v>0</v>
      </c>
      <c r="G84" s="137" t="e">
        <f>IF(A84&lt;&gt;"",IF(AND(#REF!="Padrão",$H$4=#REF!),BDI!$B$17,IF(AND(#REF!="Padrão",$H$4=#REF!),BDI!#REF!,IF(AND(#REF!="Diferenciado",$H$4=#REF!),BDI!$E$17,IF(AND(#REF!="Diferenciado",$H$4=#REF!),BDI!#REF!,IF(#REF!="ZERO",0))))),"")</f>
        <v>#REF!</v>
      </c>
      <c r="H84" s="138" t="e">
        <f t="shared" ca="1" si="4"/>
        <v>#REF!</v>
      </c>
      <c r="I84" s="136" t="e">
        <f t="shared" ca="1" si="5"/>
        <v>#REF!</v>
      </c>
    </row>
    <row r="85" spans="1:9" hidden="1" x14ac:dyDescent="0.25">
      <c r="A85" s="114" t="s">
        <v>131</v>
      </c>
      <c r="B85" s="115" t="s">
        <v>1631</v>
      </c>
      <c r="C85" s="116" t="s">
        <v>42</v>
      </c>
      <c r="D85" s="116">
        <v>0</v>
      </c>
      <c r="E85" s="135">
        <f ca="1">OFFSET(INDEX(Composições!A:J,MATCH(Orçamentária!A85,Composições!A:A,0),8),2,0)</f>
        <v>12.458679999999999</v>
      </c>
      <c r="F85" s="136">
        <f t="shared" ca="1" si="3"/>
        <v>0</v>
      </c>
      <c r="G85" s="137" t="e">
        <f>IF(A85&lt;&gt;"",IF(AND(#REF!="Padrão",$H$4=#REF!),BDI!$B$17,IF(AND(#REF!="Padrão",$H$4=#REF!),BDI!#REF!,IF(AND(#REF!="Diferenciado",$H$4=#REF!),BDI!$E$17,IF(AND(#REF!="Diferenciado",$H$4=#REF!),BDI!#REF!,IF(#REF!="ZERO",0))))),"")</f>
        <v>#REF!</v>
      </c>
      <c r="H85" s="138" t="e">
        <f t="shared" ca="1" si="4"/>
        <v>#REF!</v>
      </c>
      <c r="I85" s="136" t="e">
        <f t="shared" ca="1" si="5"/>
        <v>#REF!</v>
      </c>
    </row>
    <row r="86" spans="1:9" hidden="1" x14ac:dyDescent="0.25">
      <c r="A86" s="114" t="s">
        <v>142</v>
      </c>
      <c r="B86" s="115" t="s">
        <v>1632</v>
      </c>
      <c r="C86" s="116" t="s">
        <v>95</v>
      </c>
      <c r="D86" s="116">
        <v>0</v>
      </c>
      <c r="E86" s="135">
        <f ca="1">OFFSET(INDEX(Composições!A:J,MATCH(Orçamentária!A86,Composições!A:A,0),8),2,0)</f>
        <v>159.34203470099999</v>
      </c>
      <c r="F86" s="136">
        <f t="shared" ca="1" si="3"/>
        <v>0</v>
      </c>
      <c r="G86" s="137" t="e">
        <f>IF(A86&lt;&gt;"",IF(AND(#REF!="Padrão",$H$4=#REF!),BDI!$B$17,IF(AND(#REF!="Padrão",$H$4=#REF!),BDI!#REF!,IF(AND(#REF!="Diferenciado",$H$4=#REF!),BDI!$E$17,IF(AND(#REF!="Diferenciado",$H$4=#REF!),BDI!#REF!,IF(#REF!="ZERO",0))))),"")</f>
        <v>#REF!</v>
      </c>
      <c r="H86" s="138" t="e">
        <f t="shared" ca="1" si="4"/>
        <v>#REF!</v>
      </c>
      <c r="I86" s="136" t="e">
        <f t="shared" ca="1" si="5"/>
        <v>#REF!</v>
      </c>
    </row>
    <row r="87" spans="1:9" hidden="1" x14ac:dyDescent="0.25">
      <c r="A87" s="114" t="s">
        <v>143</v>
      </c>
      <c r="B87" s="115" t="s">
        <v>1633</v>
      </c>
      <c r="C87" s="116" t="s">
        <v>93</v>
      </c>
      <c r="D87" s="116">
        <v>0</v>
      </c>
      <c r="E87" s="135">
        <f ca="1">OFFSET(INDEX(Composições!A:J,MATCH(Orçamentária!A87,Composições!A:A,0),8),2,0)</f>
        <v>23.366534286000004</v>
      </c>
      <c r="F87" s="136">
        <f t="shared" ca="1" si="3"/>
        <v>0</v>
      </c>
      <c r="G87" s="137" t="e">
        <f>IF(A87&lt;&gt;"",IF(AND(#REF!="Padrão",$H$4=#REF!),BDI!$B$17,IF(AND(#REF!="Padrão",$H$4=#REF!),BDI!#REF!,IF(AND(#REF!="Diferenciado",$H$4=#REF!),BDI!$E$17,IF(AND(#REF!="Diferenciado",$H$4=#REF!),BDI!#REF!,IF(#REF!="ZERO",0))))),"")</f>
        <v>#REF!</v>
      </c>
      <c r="H87" s="138" t="e">
        <f t="shared" ca="1" si="4"/>
        <v>#REF!</v>
      </c>
      <c r="I87" s="136" t="e">
        <f t="shared" ca="1" si="5"/>
        <v>#REF!</v>
      </c>
    </row>
    <row r="88" spans="1:9" hidden="1" x14ac:dyDescent="0.25">
      <c r="A88" s="114" t="s">
        <v>149</v>
      </c>
      <c r="B88" s="115" t="s">
        <v>1634</v>
      </c>
      <c r="C88" s="116" t="s">
        <v>95</v>
      </c>
      <c r="D88" s="116">
        <v>0</v>
      </c>
      <c r="E88" s="135">
        <f ca="1">OFFSET(INDEX(Composições!A:J,MATCH(Orçamentária!A88,Composições!A:A,0),8),2,0)</f>
        <v>23.562356000000001</v>
      </c>
      <c r="F88" s="136">
        <f t="shared" ca="1" si="3"/>
        <v>0</v>
      </c>
      <c r="G88" s="137" t="e">
        <f>IF(A88&lt;&gt;"",IF(AND(#REF!="Padrão",$H$4=#REF!),BDI!$B$17,IF(AND(#REF!="Padrão",$H$4=#REF!),BDI!#REF!,IF(AND(#REF!="Diferenciado",$H$4=#REF!),BDI!$E$17,IF(AND(#REF!="Diferenciado",$H$4=#REF!),BDI!#REF!,IF(#REF!="ZERO",0))))),"")</f>
        <v>#REF!</v>
      </c>
      <c r="H88" s="138" t="e">
        <f t="shared" ca="1" si="4"/>
        <v>#REF!</v>
      </c>
      <c r="I88" s="136" t="e">
        <f t="shared" ca="1" si="5"/>
        <v>#REF!</v>
      </c>
    </row>
    <row r="89" spans="1:9" hidden="1" x14ac:dyDescent="0.25">
      <c r="A89" s="114" t="s">
        <v>152</v>
      </c>
      <c r="B89" s="115" t="s">
        <v>1635</v>
      </c>
      <c r="C89" s="116" t="s">
        <v>95</v>
      </c>
      <c r="D89" s="116">
        <v>0</v>
      </c>
      <c r="E89" s="135">
        <f ca="1">OFFSET(INDEX(Composições!A:J,MATCH(Orçamentária!A89,Composições!A:A,0),8),2,0)</f>
        <v>71.083738808080398</v>
      </c>
      <c r="F89" s="136">
        <f t="shared" ca="1" si="3"/>
        <v>0</v>
      </c>
      <c r="G89" s="137" t="e">
        <f>IF(A89&lt;&gt;"",IF(AND(#REF!="Padrão",$H$4=#REF!),BDI!$B$17,IF(AND(#REF!="Padrão",$H$4=#REF!),BDI!#REF!,IF(AND(#REF!="Diferenciado",$H$4=#REF!),BDI!$E$17,IF(AND(#REF!="Diferenciado",$H$4=#REF!),BDI!#REF!,IF(#REF!="ZERO",0))))),"")</f>
        <v>#REF!</v>
      </c>
      <c r="H89" s="138" t="e">
        <f t="shared" ca="1" si="4"/>
        <v>#REF!</v>
      </c>
      <c r="I89" s="136" t="e">
        <f t="shared" ca="1" si="5"/>
        <v>#REF!</v>
      </c>
    </row>
    <row r="90" spans="1:9" hidden="1" x14ac:dyDescent="0.25">
      <c r="A90" s="114" t="s">
        <v>158</v>
      </c>
      <c r="B90" s="115" t="s">
        <v>1636</v>
      </c>
      <c r="C90" s="116" t="s">
        <v>95</v>
      </c>
      <c r="D90" s="116">
        <v>0</v>
      </c>
      <c r="E90" s="135">
        <f ca="1">OFFSET(INDEX(Composições!A:J,MATCH(Orçamentária!A90,Composições!A:A,0),8),2,0)</f>
        <v>50.404949899999991</v>
      </c>
      <c r="F90" s="136">
        <f t="shared" ca="1" si="3"/>
        <v>0</v>
      </c>
      <c r="G90" s="137" t="e">
        <f>IF(A90&lt;&gt;"",IF(AND(#REF!="Padrão",$H$4=#REF!),BDI!$B$17,IF(AND(#REF!="Padrão",$H$4=#REF!),BDI!#REF!,IF(AND(#REF!="Diferenciado",$H$4=#REF!),BDI!$E$17,IF(AND(#REF!="Diferenciado",$H$4=#REF!),BDI!#REF!,IF(#REF!="ZERO",0))))),"")</f>
        <v>#REF!</v>
      </c>
      <c r="H90" s="138" t="e">
        <f t="shared" ca="1" si="4"/>
        <v>#REF!</v>
      </c>
      <c r="I90" s="136" t="e">
        <f t="shared" ca="1" si="5"/>
        <v>#REF!</v>
      </c>
    </row>
    <row r="91" spans="1:9" hidden="1" x14ac:dyDescent="0.25">
      <c r="A91" s="114" t="s">
        <v>166</v>
      </c>
      <c r="B91" s="115" t="s">
        <v>1637</v>
      </c>
      <c r="C91" s="116" t="s">
        <v>93</v>
      </c>
      <c r="D91" s="116">
        <v>0</v>
      </c>
      <c r="E91" s="135">
        <f ca="1">OFFSET(INDEX(Composições!A:J,MATCH(Orçamentária!A91,Composições!A:A,0),8),2,0)</f>
        <v>23.677750100930798</v>
      </c>
      <c r="F91" s="136">
        <f t="shared" ca="1" si="3"/>
        <v>0</v>
      </c>
      <c r="G91" s="137" t="e">
        <f>IF(A91&lt;&gt;"",IF(AND(#REF!="Padrão",$H$4=#REF!),BDI!$B$17,IF(AND(#REF!="Padrão",$H$4=#REF!),BDI!#REF!,IF(AND(#REF!="Diferenciado",$H$4=#REF!),BDI!$E$17,IF(AND(#REF!="Diferenciado",$H$4=#REF!),BDI!#REF!,IF(#REF!="ZERO",0))))),"")</f>
        <v>#REF!</v>
      </c>
      <c r="H91" s="138" t="e">
        <f t="shared" ca="1" si="4"/>
        <v>#REF!</v>
      </c>
      <c r="I91" s="136" t="e">
        <f t="shared" ca="1" si="5"/>
        <v>#REF!</v>
      </c>
    </row>
    <row r="92" spans="1:9" hidden="1" x14ac:dyDescent="0.25">
      <c r="A92" s="114" t="s">
        <v>168</v>
      </c>
      <c r="B92" s="115" t="s">
        <v>1638</v>
      </c>
      <c r="C92" s="116" t="s">
        <v>95</v>
      </c>
      <c r="D92" s="116">
        <v>0</v>
      </c>
      <c r="E92" s="135">
        <f ca="1">OFFSET(INDEX(Composições!A:J,MATCH(Orçamentária!A92,Composições!A:A,0),8),2,0)</f>
        <v>69.946795699999981</v>
      </c>
      <c r="F92" s="136">
        <f t="shared" ca="1" si="3"/>
        <v>0</v>
      </c>
      <c r="G92" s="137" t="e">
        <f>IF(A92&lt;&gt;"",IF(AND(#REF!="Padrão",$H$4=#REF!),BDI!$B$17,IF(AND(#REF!="Padrão",$H$4=#REF!),BDI!#REF!,IF(AND(#REF!="Diferenciado",$H$4=#REF!),BDI!$E$17,IF(AND(#REF!="Diferenciado",$H$4=#REF!),BDI!#REF!,IF(#REF!="ZERO",0))))),"")</f>
        <v>#REF!</v>
      </c>
      <c r="H92" s="138" t="e">
        <f t="shared" ca="1" si="4"/>
        <v>#REF!</v>
      </c>
      <c r="I92" s="136" t="e">
        <f t="shared" ca="1" si="5"/>
        <v>#REF!</v>
      </c>
    </row>
    <row r="93" spans="1:9" hidden="1" x14ac:dyDescent="0.25">
      <c r="A93" s="114" t="s">
        <v>176</v>
      </c>
      <c r="B93" s="115" t="s">
        <v>1639</v>
      </c>
      <c r="C93" s="116" t="s">
        <v>95</v>
      </c>
      <c r="D93" s="116">
        <v>0</v>
      </c>
      <c r="E93" s="135">
        <f ca="1">OFFSET(INDEX(Composições!A:J,MATCH(Orçamentária!A93,Composições!A:A,0),8),2,0)</f>
        <v>4.6635718499999994</v>
      </c>
      <c r="F93" s="136">
        <f t="shared" ca="1" si="3"/>
        <v>0</v>
      </c>
      <c r="G93" s="137" t="e">
        <f>IF(A93&lt;&gt;"",IF(AND(#REF!="Padrão",$H$4=#REF!),BDI!$B$17,IF(AND(#REF!="Padrão",$H$4=#REF!),BDI!#REF!,IF(AND(#REF!="Diferenciado",$H$4=#REF!),BDI!$E$17,IF(AND(#REF!="Diferenciado",$H$4=#REF!),BDI!#REF!,IF(#REF!="ZERO",0))))),"")</f>
        <v>#REF!</v>
      </c>
      <c r="H93" s="138" t="e">
        <f t="shared" ca="1" si="4"/>
        <v>#REF!</v>
      </c>
      <c r="I93" s="136" t="e">
        <f t="shared" ca="1" si="5"/>
        <v>#REF!</v>
      </c>
    </row>
    <row r="94" spans="1:9" hidden="1" x14ac:dyDescent="0.25">
      <c r="A94" s="114" t="s">
        <v>177</v>
      </c>
      <c r="B94" s="115" t="s">
        <v>1640</v>
      </c>
      <c r="C94" s="116" t="s">
        <v>95</v>
      </c>
      <c r="D94" s="116">
        <v>0</v>
      </c>
      <c r="E94" s="135">
        <f ca="1">OFFSET(INDEX(Composições!A:J,MATCH(Orçamentária!A94,Composições!A:A,0),8),2,0)</f>
        <v>77.684114898586586</v>
      </c>
      <c r="F94" s="136">
        <f t="shared" ca="1" si="3"/>
        <v>0</v>
      </c>
      <c r="G94" s="137" t="e">
        <f>IF(A94&lt;&gt;"",IF(AND(#REF!="Padrão",$H$4=#REF!),BDI!$B$17,IF(AND(#REF!="Padrão",$H$4=#REF!),BDI!#REF!,IF(AND(#REF!="Diferenciado",$H$4=#REF!),BDI!$E$17,IF(AND(#REF!="Diferenciado",$H$4=#REF!),BDI!#REF!,IF(#REF!="ZERO",0))))),"")</f>
        <v>#REF!</v>
      </c>
      <c r="H94" s="138" t="e">
        <f t="shared" ca="1" si="4"/>
        <v>#REF!</v>
      </c>
      <c r="I94" s="136" t="e">
        <f t="shared" ca="1" si="5"/>
        <v>#REF!</v>
      </c>
    </row>
    <row r="95" spans="1:9" hidden="1" x14ac:dyDescent="0.25">
      <c r="A95" s="114" t="s">
        <v>179</v>
      </c>
      <c r="B95" s="115" t="s">
        <v>1641</v>
      </c>
      <c r="C95" s="116" t="s">
        <v>95</v>
      </c>
      <c r="D95" s="116">
        <v>0</v>
      </c>
      <c r="E95" s="135">
        <f ca="1">OFFSET(INDEX(Composições!A:J,MATCH(Orçamentária!A95,Composições!A:A,0),8),2,0)</f>
        <v>9.2568304379999997</v>
      </c>
      <c r="F95" s="136">
        <f t="shared" ca="1" si="3"/>
        <v>0</v>
      </c>
      <c r="G95" s="137" t="e">
        <f>IF(A95&lt;&gt;"",IF(AND(#REF!="Padrão",$H$4=#REF!),BDI!$B$17,IF(AND(#REF!="Padrão",$H$4=#REF!),BDI!#REF!,IF(AND(#REF!="Diferenciado",$H$4=#REF!),BDI!$E$17,IF(AND(#REF!="Diferenciado",$H$4=#REF!),BDI!#REF!,IF(#REF!="ZERO",0))))),"")</f>
        <v>#REF!</v>
      </c>
      <c r="H95" s="138" t="e">
        <f t="shared" ca="1" si="4"/>
        <v>#REF!</v>
      </c>
      <c r="I95" s="136" t="e">
        <f t="shared" ca="1" si="5"/>
        <v>#REF!</v>
      </c>
    </row>
    <row r="96" spans="1:9" hidden="1" x14ac:dyDescent="0.25">
      <c r="A96" s="114" t="s">
        <v>181</v>
      </c>
      <c r="B96" s="115" t="s">
        <v>1642</v>
      </c>
      <c r="C96" s="116" t="s">
        <v>95</v>
      </c>
      <c r="D96" s="116">
        <v>0</v>
      </c>
      <c r="E96" s="135">
        <f ca="1">OFFSET(INDEX(Composições!A:J,MATCH(Orçamentária!A96,Composições!A:A,0),8),2,0)</f>
        <v>4.1167719334293995</v>
      </c>
      <c r="F96" s="136">
        <f t="shared" ca="1" si="3"/>
        <v>0</v>
      </c>
      <c r="G96" s="137" t="e">
        <f>IF(A96&lt;&gt;"",IF(AND(#REF!="Padrão",$H$4=#REF!),BDI!$B$17,IF(AND(#REF!="Padrão",$H$4=#REF!),BDI!#REF!,IF(AND(#REF!="Diferenciado",$H$4=#REF!),BDI!$E$17,IF(AND(#REF!="Diferenciado",$H$4=#REF!),BDI!#REF!,IF(#REF!="ZERO",0))))),"")</f>
        <v>#REF!</v>
      </c>
      <c r="H96" s="138" t="e">
        <f t="shared" ca="1" si="4"/>
        <v>#REF!</v>
      </c>
      <c r="I96" s="136" t="e">
        <f t="shared" ca="1" si="5"/>
        <v>#REF!</v>
      </c>
    </row>
    <row r="97" spans="1:9" hidden="1" x14ac:dyDescent="0.25">
      <c r="A97" s="114" t="s">
        <v>183</v>
      </c>
      <c r="B97" s="115" t="s">
        <v>185</v>
      </c>
      <c r="C97" s="116" t="s">
        <v>95</v>
      </c>
      <c r="D97" s="116">
        <v>0</v>
      </c>
      <c r="E97" s="135">
        <f ca="1">OFFSET(INDEX(Composições!A:J,MATCH(Orçamentária!A97,Composições!A:A,0),8),2,0)</f>
        <v>10.37476</v>
      </c>
      <c r="F97" s="136">
        <f t="shared" ca="1" si="3"/>
        <v>0</v>
      </c>
      <c r="G97" s="137" t="e">
        <f>IF(A97&lt;&gt;"",IF(AND(#REF!="Padrão",$H$4=#REF!),BDI!$B$17,IF(AND(#REF!="Padrão",$H$4=#REF!),BDI!#REF!,IF(AND(#REF!="Diferenciado",$H$4=#REF!),BDI!$E$17,IF(AND(#REF!="Diferenciado",$H$4=#REF!),BDI!#REF!,IF(#REF!="ZERO",0))))),"")</f>
        <v>#REF!</v>
      </c>
      <c r="H97" s="138" t="e">
        <f t="shared" ca="1" si="4"/>
        <v>#REF!</v>
      </c>
      <c r="I97" s="136" t="e">
        <f t="shared" ca="1" si="5"/>
        <v>#REF!</v>
      </c>
    </row>
    <row r="98" spans="1:9" hidden="1" x14ac:dyDescent="0.25">
      <c r="A98" s="114" t="s">
        <v>187</v>
      </c>
      <c r="B98" s="115" t="s">
        <v>1643</v>
      </c>
      <c r="C98" s="116" t="s">
        <v>95</v>
      </c>
      <c r="D98" s="116">
        <v>0</v>
      </c>
      <c r="E98" s="135">
        <f ca="1">OFFSET(INDEX(Composições!A:J,MATCH(Orçamentária!A98,Composições!A:A,0),8),2,0)</f>
        <v>34.2147991</v>
      </c>
      <c r="F98" s="136">
        <f t="shared" ca="1" si="3"/>
        <v>0</v>
      </c>
      <c r="G98" s="137" t="e">
        <f>IF(A98&lt;&gt;"",IF(AND(#REF!="Padrão",$H$4=#REF!),BDI!$B$17,IF(AND(#REF!="Padrão",$H$4=#REF!),BDI!#REF!,IF(AND(#REF!="Diferenciado",$H$4=#REF!),BDI!$E$17,IF(AND(#REF!="Diferenciado",$H$4=#REF!),BDI!#REF!,IF(#REF!="ZERO",0))))),"")</f>
        <v>#REF!</v>
      </c>
      <c r="H98" s="138" t="e">
        <f t="shared" ca="1" si="4"/>
        <v>#REF!</v>
      </c>
      <c r="I98" s="136" t="e">
        <f t="shared" ca="1" si="5"/>
        <v>#REF!</v>
      </c>
    </row>
    <row r="99" spans="1:9" hidden="1" x14ac:dyDescent="0.25">
      <c r="A99" s="114" t="s">
        <v>191</v>
      </c>
      <c r="B99" s="115" t="s">
        <v>1644</v>
      </c>
      <c r="C99" s="116" t="s">
        <v>95</v>
      </c>
      <c r="D99" s="116">
        <v>0</v>
      </c>
      <c r="E99" s="135">
        <f ca="1">OFFSET(INDEX(Composições!A:J,MATCH(Orçamentária!A99,Composições!A:A,0),8),2,0)</f>
        <v>11.878045224999999</v>
      </c>
      <c r="F99" s="136">
        <f t="shared" ca="1" si="3"/>
        <v>0</v>
      </c>
      <c r="G99" s="137" t="e">
        <f>IF(A99&lt;&gt;"",IF(AND(#REF!="Padrão",$H$4=#REF!),BDI!$B$17,IF(AND(#REF!="Padrão",$H$4=#REF!),BDI!#REF!,IF(AND(#REF!="Diferenciado",$H$4=#REF!),BDI!$E$17,IF(AND(#REF!="Diferenciado",$H$4=#REF!),BDI!#REF!,IF(#REF!="ZERO",0))))),"")</f>
        <v>#REF!</v>
      </c>
      <c r="H99" s="138" t="e">
        <f t="shared" ca="1" si="4"/>
        <v>#REF!</v>
      </c>
      <c r="I99" s="136" t="e">
        <f t="shared" ca="1" si="5"/>
        <v>#REF!</v>
      </c>
    </row>
    <row r="100" spans="1:9" hidden="1" x14ac:dyDescent="0.25">
      <c r="A100" s="114" t="s">
        <v>192</v>
      </c>
      <c r="B100" s="115" t="s">
        <v>1645</v>
      </c>
      <c r="C100" s="116" t="s">
        <v>93</v>
      </c>
      <c r="D100" s="116">
        <v>0</v>
      </c>
      <c r="E100" s="135">
        <f ca="1">OFFSET(INDEX(Composições!A:J,MATCH(Orçamentária!A100,Composições!A:A,0),8),2,0)</f>
        <v>14.9718632</v>
      </c>
      <c r="F100" s="136">
        <f t="shared" ca="1" si="3"/>
        <v>0</v>
      </c>
      <c r="G100" s="137" t="e">
        <f>IF(A100&lt;&gt;"",IF(AND(#REF!="Padrão",$H$4=#REF!),BDI!$B$17,IF(AND(#REF!="Padrão",$H$4=#REF!),BDI!#REF!,IF(AND(#REF!="Diferenciado",$H$4=#REF!),BDI!$E$17,IF(AND(#REF!="Diferenciado",$H$4=#REF!),BDI!#REF!,IF(#REF!="ZERO",0))))),"")</f>
        <v>#REF!</v>
      </c>
      <c r="H100" s="138" t="e">
        <f t="shared" ca="1" si="4"/>
        <v>#REF!</v>
      </c>
      <c r="I100" s="136" t="e">
        <f t="shared" ca="1" si="5"/>
        <v>#REF!</v>
      </c>
    </row>
    <row r="101" spans="1:9" hidden="1" x14ac:dyDescent="0.25">
      <c r="A101" s="114" t="s">
        <v>199</v>
      </c>
      <c r="B101" s="115" t="s">
        <v>1646</v>
      </c>
      <c r="C101" s="116" t="s">
        <v>95</v>
      </c>
      <c r="D101" s="116">
        <v>0</v>
      </c>
      <c r="E101" s="135">
        <f ca="1">OFFSET(INDEX(Composições!A:J,MATCH(Orçamentária!A101,Composições!A:A,0),8),2,0)</f>
        <v>2.9581194999999996</v>
      </c>
      <c r="F101" s="136">
        <f t="shared" ca="1" si="3"/>
        <v>0</v>
      </c>
      <c r="G101" s="137" t="e">
        <f>IF(A101&lt;&gt;"",IF(AND(#REF!="Padrão",$H$4=#REF!),BDI!$B$17,IF(AND(#REF!="Padrão",$H$4=#REF!),BDI!#REF!,IF(AND(#REF!="Diferenciado",$H$4=#REF!),BDI!$E$17,IF(AND(#REF!="Diferenciado",$H$4=#REF!),BDI!#REF!,IF(#REF!="ZERO",0))))),"")</f>
        <v>#REF!</v>
      </c>
      <c r="H101" s="138" t="e">
        <f t="shared" ca="1" si="4"/>
        <v>#REF!</v>
      </c>
      <c r="I101" s="136" t="e">
        <f t="shared" ca="1" si="5"/>
        <v>#REF!</v>
      </c>
    </row>
    <row r="102" spans="1:9" hidden="1" x14ac:dyDescent="0.25">
      <c r="A102" s="114" t="s">
        <v>201</v>
      </c>
      <c r="B102" s="115" t="s">
        <v>6359</v>
      </c>
      <c r="C102" s="116" t="s">
        <v>95</v>
      </c>
      <c r="D102" s="116">
        <v>0</v>
      </c>
      <c r="E102" s="135">
        <f ca="1">OFFSET(INDEX(Composições!A:J,MATCH(Orçamentária!A102,Composições!A:A,0),8),2,0)</f>
        <v>10.162835899999999</v>
      </c>
      <c r="F102" s="136">
        <f t="shared" ca="1" si="3"/>
        <v>0</v>
      </c>
      <c r="G102" s="137" t="e">
        <f>IF(A102&lt;&gt;"",IF(AND(#REF!="Padrão",$H$4=#REF!),BDI!$B$17,IF(AND(#REF!="Padrão",$H$4=#REF!),BDI!#REF!,IF(AND(#REF!="Diferenciado",$H$4=#REF!),BDI!$E$17,IF(AND(#REF!="Diferenciado",$H$4=#REF!),BDI!#REF!,IF(#REF!="ZERO",0))))),"")</f>
        <v>#REF!</v>
      </c>
      <c r="H102" s="138" t="e">
        <f t="shared" ca="1" si="4"/>
        <v>#REF!</v>
      </c>
      <c r="I102" s="136" t="e">
        <f t="shared" ca="1" si="5"/>
        <v>#REF!</v>
      </c>
    </row>
    <row r="103" spans="1:9" hidden="1" x14ac:dyDescent="0.25">
      <c r="A103" s="114" t="s">
        <v>206</v>
      </c>
      <c r="B103" s="115" t="s">
        <v>1647</v>
      </c>
      <c r="C103" s="116" t="s">
        <v>95</v>
      </c>
      <c r="D103" s="116">
        <v>0</v>
      </c>
      <c r="E103" s="135">
        <f ca="1">OFFSET(INDEX(Composições!A:J,MATCH(Orçamentária!A103,Composições!A:A,0),8),2,0)</f>
        <v>16.772563499999997</v>
      </c>
      <c r="F103" s="136">
        <f t="shared" ca="1" si="3"/>
        <v>0</v>
      </c>
      <c r="G103" s="137" t="e">
        <f>IF(A103&lt;&gt;"",IF(AND(#REF!="Padrão",$H$4=#REF!),BDI!$B$17,IF(AND(#REF!="Padrão",$H$4=#REF!),BDI!#REF!,IF(AND(#REF!="Diferenciado",$H$4=#REF!),BDI!$E$17,IF(AND(#REF!="Diferenciado",$H$4=#REF!),BDI!#REF!,IF(#REF!="ZERO",0))))),"")</f>
        <v>#REF!</v>
      </c>
      <c r="H103" s="138" t="e">
        <f t="shared" ca="1" si="4"/>
        <v>#REF!</v>
      </c>
      <c r="I103" s="136" t="e">
        <f t="shared" ca="1" si="5"/>
        <v>#REF!</v>
      </c>
    </row>
    <row r="104" spans="1:9" hidden="1" x14ac:dyDescent="0.25">
      <c r="A104" s="114" t="s">
        <v>210</v>
      </c>
      <c r="B104" s="115" t="s">
        <v>1648</v>
      </c>
      <c r="C104" s="116" t="s">
        <v>95</v>
      </c>
      <c r="D104" s="116">
        <v>0</v>
      </c>
      <c r="E104" s="135">
        <f ca="1">OFFSET(INDEX(Composições!A:J,MATCH(Orçamentária!A104,Composições!A:A,0),8),2,0)</f>
        <v>13.062813499999999</v>
      </c>
      <c r="F104" s="136">
        <f t="shared" ca="1" si="3"/>
        <v>0</v>
      </c>
      <c r="G104" s="137" t="e">
        <f>IF(A104&lt;&gt;"",IF(AND(#REF!="Padrão",$H$4=#REF!),BDI!$B$17,IF(AND(#REF!="Padrão",$H$4=#REF!),BDI!#REF!,IF(AND(#REF!="Diferenciado",$H$4=#REF!),BDI!$E$17,IF(AND(#REF!="Diferenciado",$H$4=#REF!),BDI!#REF!,IF(#REF!="ZERO",0))))),"")</f>
        <v>#REF!</v>
      </c>
      <c r="H104" s="138" t="e">
        <f t="shared" ca="1" si="4"/>
        <v>#REF!</v>
      </c>
      <c r="I104" s="136" t="e">
        <f t="shared" ca="1" si="5"/>
        <v>#REF!</v>
      </c>
    </row>
    <row r="105" spans="1:9" hidden="1" x14ac:dyDescent="0.25">
      <c r="A105" s="114" t="s">
        <v>211</v>
      </c>
      <c r="B105" s="115" t="s">
        <v>1649</v>
      </c>
      <c r="C105" s="116" t="s">
        <v>95</v>
      </c>
      <c r="D105" s="116">
        <v>0</v>
      </c>
      <c r="E105" s="135">
        <f ca="1">OFFSET(INDEX(Composições!A:J,MATCH(Orçamentária!A105,Composições!A:A,0),8),2,0)</f>
        <v>12.827299</v>
      </c>
      <c r="F105" s="136">
        <f t="shared" ca="1" si="3"/>
        <v>0</v>
      </c>
      <c r="G105" s="137" t="e">
        <f>IF(A105&lt;&gt;"",IF(AND(#REF!="Padrão",$H$4=#REF!),BDI!$B$17,IF(AND(#REF!="Padrão",$H$4=#REF!),BDI!#REF!,IF(AND(#REF!="Diferenciado",$H$4=#REF!),BDI!$E$17,IF(AND(#REF!="Diferenciado",$H$4=#REF!),BDI!#REF!,IF(#REF!="ZERO",0))))),"")</f>
        <v>#REF!</v>
      </c>
      <c r="H105" s="138" t="e">
        <f t="shared" ca="1" si="4"/>
        <v>#REF!</v>
      </c>
      <c r="I105" s="136" t="e">
        <f t="shared" ca="1" si="5"/>
        <v>#REF!</v>
      </c>
    </row>
    <row r="106" spans="1:9" hidden="1" x14ac:dyDescent="0.25">
      <c r="A106" s="114" t="s">
        <v>213</v>
      </c>
      <c r="B106" s="115" t="s">
        <v>1650</v>
      </c>
      <c r="C106" s="116" t="s">
        <v>95</v>
      </c>
      <c r="D106" s="116">
        <v>0</v>
      </c>
      <c r="E106" s="135">
        <f ca="1">OFFSET(INDEX(Composições!A:J,MATCH(Orçamentária!A106,Composições!A:A,0),8),2,0)</f>
        <v>16.731555799999999</v>
      </c>
      <c r="F106" s="136">
        <f t="shared" ca="1" si="3"/>
        <v>0</v>
      </c>
      <c r="G106" s="137" t="e">
        <f>IF(A106&lt;&gt;"",IF(AND(#REF!="Padrão",$H$4=#REF!),BDI!$B$17,IF(AND(#REF!="Padrão",$H$4=#REF!),BDI!#REF!,IF(AND(#REF!="Diferenciado",$H$4=#REF!),BDI!$E$17,IF(AND(#REF!="Diferenciado",$H$4=#REF!),BDI!#REF!,IF(#REF!="ZERO",0))))),"")</f>
        <v>#REF!</v>
      </c>
      <c r="H106" s="138" t="e">
        <f t="shared" ca="1" si="4"/>
        <v>#REF!</v>
      </c>
      <c r="I106" s="136" t="e">
        <f t="shared" ca="1" si="5"/>
        <v>#REF!</v>
      </c>
    </row>
    <row r="107" spans="1:9" hidden="1" x14ac:dyDescent="0.25">
      <c r="A107" s="114" t="s">
        <v>215</v>
      </c>
      <c r="B107" s="115" t="s">
        <v>1651</v>
      </c>
      <c r="C107" s="116" t="s">
        <v>95</v>
      </c>
      <c r="D107" s="116">
        <v>0</v>
      </c>
      <c r="E107" s="135">
        <f ca="1">OFFSET(INDEX(Composições!A:J,MATCH(Orçamentária!A107,Composições!A:A,0),8),2,0)</f>
        <v>13.496851399999999</v>
      </c>
      <c r="F107" s="136">
        <f t="shared" ca="1" si="3"/>
        <v>0</v>
      </c>
      <c r="G107" s="137" t="e">
        <f>IF(A107&lt;&gt;"",IF(AND(#REF!="Padrão",$H$4=#REF!),BDI!$B$17,IF(AND(#REF!="Padrão",$H$4=#REF!),BDI!#REF!,IF(AND(#REF!="Diferenciado",$H$4=#REF!),BDI!$E$17,IF(AND(#REF!="Diferenciado",$H$4=#REF!),BDI!#REF!,IF(#REF!="ZERO",0))))),"")</f>
        <v>#REF!</v>
      </c>
      <c r="H107" s="138" t="e">
        <f t="shared" ca="1" si="4"/>
        <v>#REF!</v>
      </c>
      <c r="I107" s="136" t="e">
        <f t="shared" ca="1" si="5"/>
        <v>#REF!</v>
      </c>
    </row>
    <row r="108" spans="1:9" hidden="1" x14ac:dyDescent="0.25">
      <c r="A108" s="114" t="s">
        <v>217</v>
      </c>
      <c r="B108" s="115" t="s">
        <v>1652</v>
      </c>
      <c r="C108" s="116" t="s">
        <v>95</v>
      </c>
      <c r="D108" s="116">
        <v>0</v>
      </c>
      <c r="E108" s="135">
        <f ca="1">OFFSET(INDEX(Composições!A:J,MATCH(Orçamentária!A108,Composições!A:A,0),8),2,0)</f>
        <v>14.509682499999998</v>
      </c>
      <c r="F108" s="136">
        <f t="shared" ca="1" si="3"/>
        <v>0</v>
      </c>
      <c r="G108" s="137" t="e">
        <f>IF(A108&lt;&gt;"",IF(AND(#REF!="Padrão",$H$4=#REF!),BDI!$B$17,IF(AND(#REF!="Padrão",$H$4=#REF!),BDI!#REF!,IF(AND(#REF!="Diferenciado",$H$4=#REF!),BDI!$E$17,IF(AND(#REF!="Diferenciado",$H$4=#REF!),BDI!#REF!,IF(#REF!="ZERO",0))))),"")</f>
        <v>#REF!</v>
      </c>
      <c r="H108" s="138" t="e">
        <f t="shared" ca="1" si="4"/>
        <v>#REF!</v>
      </c>
      <c r="I108" s="136" t="e">
        <f t="shared" ca="1" si="5"/>
        <v>#REF!</v>
      </c>
    </row>
    <row r="109" spans="1:9" hidden="1" x14ac:dyDescent="0.25">
      <c r="A109" s="114" t="s">
        <v>218</v>
      </c>
      <c r="B109" s="115" t="s">
        <v>1653</v>
      </c>
      <c r="C109" s="116" t="s">
        <v>95</v>
      </c>
      <c r="D109" s="116">
        <v>0</v>
      </c>
      <c r="E109" s="135">
        <f ca="1">OFFSET(INDEX(Composições!A:J,MATCH(Orçamentária!A109,Composições!A:A,0),8),2,0)</f>
        <v>65.154229999999998</v>
      </c>
      <c r="F109" s="136">
        <f t="shared" ca="1" si="3"/>
        <v>0</v>
      </c>
      <c r="G109" s="137" t="e">
        <f>IF(A109&lt;&gt;"",IF(AND(#REF!="Padrão",$H$4=#REF!),BDI!$B$17,IF(AND(#REF!="Padrão",$H$4=#REF!),BDI!#REF!,IF(AND(#REF!="Diferenciado",$H$4=#REF!),BDI!$E$17,IF(AND(#REF!="Diferenciado",$H$4=#REF!),BDI!#REF!,IF(#REF!="ZERO",0))))),"")</f>
        <v>#REF!</v>
      </c>
      <c r="H109" s="138" t="e">
        <f t="shared" ca="1" si="4"/>
        <v>#REF!</v>
      </c>
      <c r="I109" s="136" t="e">
        <f t="shared" ca="1" si="5"/>
        <v>#REF!</v>
      </c>
    </row>
    <row r="110" spans="1:9" x14ac:dyDescent="0.25">
      <c r="A110" s="216" t="s">
        <v>220</v>
      </c>
      <c r="B110" s="217" t="s">
        <v>1654</v>
      </c>
      <c r="C110" s="218" t="s">
        <v>95</v>
      </c>
      <c r="D110" s="218">
        <v>260</v>
      </c>
      <c r="E110" s="135">
        <f ca="1">OFFSET(INDEX(Composições!A:J,MATCH(Orçamentária!A110,Composições!A:A,0),8),2,0)</f>
        <v>48.051972081277491</v>
      </c>
      <c r="F110" s="136">
        <f t="shared" ca="1" si="3"/>
        <v>12493.512741132148</v>
      </c>
      <c r="G110" s="137">
        <f>BDI!$B$17</f>
        <v>0.191</v>
      </c>
      <c r="H110" s="138">
        <f t="shared" ca="1" si="4"/>
        <v>57.23</v>
      </c>
      <c r="I110" s="136">
        <f t="shared" ca="1" si="5"/>
        <v>14879.8</v>
      </c>
    </row>
    <row r="111" spans="1:9" hidden="1" x14ac:dyDescent="0.25">
      <c r="A111" s="114" t="s">
        <v>223</v>
      </c>
      <c r="B111" s="115" t="s">
        <v>1655</v>
      </c>
      <c r="C111" s="116" t="s">
        <v>95</v>
      </c>
      <c r="D111" s="116">
        <v>0</v>
      </c>
      <c r="E111" s="135">
        <f ca="1">OFFSET(INDEX(Composições!A:J,MATCH(Orçamentária!A111,Composições!A:A,0),8),2,0)</f>
        <v>32.6875833399925</v>
      </c>
      <c r="F111" s="136">
        <f t="shared" ca="1" si="3"/>
        <v>0</v>
      </c>
      <c r="G111" s="137" t="e">
        <f>IF(A111&lt;&gt;"",IF(AND(#REF!="Padrão",$H$4=#REF!),BDI!$B$17,IF(AND(#REF!="Padrão",$H$4=#REF!),BDI!#REF!,IF(AND(#REF!="Diferenciado",$H$4=#REF!),BDI!$E$17,IF(AND(#REF!="Diferenciado",$H$4=#REF!),BDI!#REF!,IF(#REF!="ZERO",0))))),"")</f>
        <v>#REF!</v>
      </c>
      <c r="H111" s="138" t="e">
        <f t="shared" ca="1" si="4"/>
        <v>#REF!</v>
      </c>
      <c r="I111" s="136" t="e">
        <f t="shared" ca="1" si="5"/>
        <v>#REF!</v>
      </c>
    </row>
    <row r="112" spans="1:9" hidden="1" x14ac:dyDescent="0.25">
      <c r="A112" s="114" t="s">
        <v>224</v>
      </c>
      <c r="B112" s="115" t="s">
        <v>1656</v>
      </c>
      <c r="C112" s="116" t="s">
        <v>95</v>
      </c>
      <c r="D112" s="116">
        <v>0</v>
      </c>
      <c r="E112" s="135">
        <f ca="1">OFFSET(INDEX(Composições!A:J,MATCH(Orçamentária!A112,Composições!A:A,0),8),2,0)</f>
        <v>44.059688999999999</v>
      </c>
      <c r="F112" s="136">
        <f t="shared" ca="1" si="3"/>
        <v>0</v>
      </c>
      <c r="G112" s="137" t="e">
        <f>IF(A112&lt;&gt;"",IF(AND(#REF!="Padrão",$H$4=#REF!),BDI!$B$17,IF(AND(#REF!="Padrão",$H$4=#REF!),BDI!#REF!,IF(AND(#REF!="Diferenciado",$H$4=#REF!),BDI!$E$17,IF(AND(#REF!="Diferenciado",$H$4=#REF!),BDI!#REF!,IF(#REF!="ZERO",0))))),"")</f>
        <v>#REF!</v>
      </c>
      <c r="H112" s="138" t="e">
        <f t="shared" ca="1" si="4"/>
        <v>#REF!</v>
      </c>
      <c r="I112" s="136" t="e">
        <f t="shared" ca="1" si="5"/>
        <v>#REF!</v>
      </c>
    </row>
    <row r="113" spans="1:9" hidden="1" x14ac:dyDescent="0.25">
      <c r="A113" s="114" t="s">
        <v>226</v>
      </c>
      <c r="B113" s="115" t="s">
        <v>1657</v>
      </c>
      <c r="C113" s="116" t="s">
        <v>95</v>
      </c>
      <c r="D113" s="116">
        <v>0</v>
      </c>
      <c r="E113" s="135">
        <f ca="1">OFFSET(INDEX(Composições!A:J,MATCH(Orçamentária!A113,Composições!A:A,0),8),2,0)</f>
        <v>95.95115899999999</v>
      </c>
      <c r="F113" s="136">
        <f t="shared" ca="1" si="3"/>
        <v>0</v>
      </c>
      <c r="G113" s="137" t="e">
        <f>IF(A113&lt;&gt;"",IF(AND(#REF!="Padrão",$H$4=#REF!),BDI!$B$17,IF(AND(#REF!="Padrão",$H$4=#REF!),BDI!#REF!,IF(AND(#REF!="Diferenciado",$H$4=#REF!),BDI!$E$17,IF(AND(#REF!="Diferenciado",$H$4=#REF!),BDI!#REF!,IF(#REF!="ZERO",0))))),"")</f>
        <v>#REF!</v>
      </c>
      <c r="H113" s="138" t="e">
        <f t="shared" ca="1" si="4"/>
        <v>#REF!</v>
      </c>
      <c r="I113" s="136" t="e">
        <f t="shared" ca="1" si="5"/>
        <v>#REF!</v>
      </c>
    </row>
    <row r="114" spans="1:9" hidden="1" x14ac:dyDescent="0.25">
      <c r="A114" s="114" t="s">
        <v>229</v>
      </c>
      <c r="B114" s="115" t="s">
        <v>1658</v>
      </c>
      <c r="C114" s="116" t="s">
        <v>95</v>
      </c>
      <c r="D114" s="116">
        <v>0</v>
      </c>
      <c r="E114" s="135">
        <f ca="1">OFFSET(INDEX(Composições!A:J,MATCH(Orçamentária!A114,Composições!A:A,0),8),2,0)</f>
        <v>110.69779715</v>
      </c>
      <c r="F114" s="136">
        <f t="shared" ca="1" si="3"/>
        <v>0</v>
      </c>
      <c r="G114" s="137" t="e">
        <f>IF(A114&lt;&gt;"",IF(AND(#REF!="Padrão",$H$4=#REF!),BDI!$B$17,IF(AND(#REF!="Padrão",$H$4=#REF!),BDI!#REF!,IF(AND(#REF!="Diferenciado",$H$4=#REF!),BDI!$E$17,IF(AND(#REF!="Diferenciado",$H$4=#REF!),BDI!#REF!,IF(#REF!="ZERO",0))))),"")</f>
        <v>#REF!</v>
      </c>
      <c r="H114" s="138" t="e">
        <f t="shared" ca="1" si="4"/>
        <v>#REF!</v>
      </c>
      <c r="I114" s="136" t="e">
        <f t="shared" ca="1" si="5"/>
        <v>#REF!</v>
      </c>
    </row>
    <row r="115" spans="1:9" hidden="1" x14ac:dyDescent="0.25">
      <c r="A115" s="114" t="s">
        <v>232</v>
      </c>
      <c r="B115" s="115" t="s">
        <v>1659</v>
      </c>
      <c r="C115" s="116" t="s">
        <v>95</v>
      </c>
      <c r="D115" s="116">
        <v>0</v>
      </c>
      <c r="E115" s="135">
        <f ca="1">OFFSET(INDEX(Composições!A:J,MATCH(Orçamentária!A115,Composições!A:A,0),8),2,0)</f>
        <v>44.059688999999999</v>
      </c>
      <c r="F115" s="136">
        <f t="shared" ca="1" si="3"/>
        <v>0</v>
      </c>
      <c r="G115" s="137" t="e">
        <f>IF(A115&lt;&gt;"",IF(AND(#REF!="Padrão",$H$4=#REF!),BDI!$B$17,IF(AND(#REF!="Padrão",$H$4=#REF!),BDI!#REF!,IF(AND(#REF!="Diferenciado",$H$4=#REF!),BDI!$E$17,IF(AND(#REF!="Diferenciado",$H$4=#REF!),BDI!#REF!,IF(#REF!="ZERO",0))))),"")</f>
        <v>#REF!</v>
      </c>
      <c r="H115" s="138" t="e">
        <f t="shared" ca="1" si="4"/>
        <v>#REF!</v>
      </c>
      <c r="I115" s="136" t="e">
        <f t="shared" ca="1" si="5"/>
        <v>#REF!</v>
      </c>
    </row>
    <row r="116" spans="1:9" hidden="1" x14ac:dyDescent="0.25">
      <c r="A116" s="114" t="s">
        <v>234</v>
      </c>
      <c r="B116" s="115" t="s">
        <v>1660</v>
      </c>
      <c r="C116" s="116" t="s">
        <v>95</v>
      </c>
      <c r="D116" s="116">
        <v>0</v>
      </c>
      <c r="E116" s="135">
        <f ca="1">OFFSET(INDEX(Composições!A:J,MATCH(Orçamentária!A116,Composições!A:A,0),8),2,0)</f>
        <v>95.95115899999999</v>
      </c>
      <c r="F116" s="136">
        <f t="shared" ca="1" si="3"/>
        <v>0</v>
      </c>
      <c r="G116" s="137" t="e">
        <f>IF(A116&lt;&gt;"",IF(AND(#REF!="Padrão",$H$4=#REF!),BDI!$B$17,IF(AND(#REF!="Padrão",$H$4=#REF!),BDI!#REF!,IF(AND(#REF!="Diferenciado",$H$4=#REF!),BDI!$E$17,IF(AND(#REF!="Diferenciado",$H$4=#REF!),BDI!#REF!,IF(#REF!="ZERO",0))))),"")</f>
        <v>#REF!</v>
      </c>
      <c r="H116" s="138" t="e">
        <f t="shared" ca="1" si="4"/>
        <v>#REF!</v>
      </c>
      <c r="I116" s="136" t="e">
        <f t="shared" ca="1" si="5"/>
        <v>#REF!</v>
      </c>
    </row>
    <row r="117" spans="1:9" hidden="1" x14ac:dyDescent="0.25">
      <c r="A117" s="114" t="s">
        <v>236</v>
      </c>
      <c r="B117" s="115" t="s">
        <v>1661</v>
      </c>
      <c r="C117" s="116" t="s">
        <v>95</v>
      </c>
      <c r="D117" s="116">
        <v>0</v>
      </c>
      <c r="E117" s="135">
        <f ca="1">OFFSET(INDEX(Composições!A:J,MATCH(Orçamentária!A117,Composições!A:A,0),8),2,0)</f>
        <v>110.69779714999999</v>
      </c>
      <c r="F117" s="136">
        <f t="shared" ca="1" si="3"/>
        <v>0</v>
      </c>
      <c r="G117" s="137" t="e">
        <f>IF(A117&lt;&gt;"",IF(AND(#REF!="Padrão",$H$4=#REF!),BDI!$B$17,IF(AND(#REF!="Padrão",$H$4=#REF!),BDI!#REF!,IF(AND(#REF!="Diferenciado",$H$4=#REF!),BDI!$E$17,IF(AND(#REF!="Diferenciado",$H$4=#REF!),BDI!#REF!,IF(#REF!="ZERO",0))))),"")</f>
        <v>#REF!</v>
      </c>
      <c r="H117" s="138" t="e">
        <f t="shared" ca="1" si="4"/>
        <v>#REF!</v>
      </c>
      <c r="I117" s="136" t="e">
        <f t="shared" ca="1" si="5"/>
        <v>#REF!</v>
      </c>
    </row>
    <row r="118" spans="1:9" hidden="1" x14ac:dyDescent="0.25">
      <c r="A118" s="114" t="s">
        <v>238</v>
      </c>
      <c r="B118" s="115" t="s">
        <v>1662</v>
      </c>
      <c r="C118" s="116" t="s">
        <v>93</v>
      </c>
      <c r="D118" s="116">
        <v>0</v>
      </c>
      <c r="E118" s="135">
        <f ca="1">OFFSET(INDEX(Composições!A:J,MATCH(Orçamentária!A118,Composições!A:A,0),8),2,0)</f>
        <v>12.796652</v>
      </c>
      <c r="F118" s="136">
        <f t="shared" ca="1" si="3"/>
        <v>0</v>
      </c>
      <c r="G118" s="137" t="e">
        <f>IF(A118&lt;&gt;"",IF(AND(#REF!="Padrão",$H$4=#REF!),BDI!$B$17,IF(AND(#REF!="Padrão",$H$4=#REF!),BDI!#REF!,IF(AND(#REF!="Diferenciado",$H$4=#REF!),BDI!$E$17,IF(AND(#REF!="Diferenciado",$H$4=#REF!),BDI!#REF!,IF(#REF!="ZERO",0))))),"")</f>
        <v>#REF!</v>
      </c>
      <c r="H118" s="138" t="e">
        <f t="shared" ca="1" si="4"/>
        <v>#REF!</v>
      </c>
      <c r="I118" s="136" t="e">
        <f t="shared" ca="1" si="5"/>
        <v>#REF!</v>
      </c>
    </row>
    <row r="119" spans="1:9" hidden="1" x14ac:dyDescent="0.25">
      <c r="A119" s="114" t="s">
        <v>239</v>
      </c>
      <c r="B119" s="115" t="s">
        <v>1663</v>
      </c>
      <c r="C119" s="116" t="s">
        <v>95</v>
      </c>
      <c r="D119" s="116">
        <v>0</v>
      </c>
      <c r="E119" s="135">
        <f ca="1">OFFSET(INDEX(Composições!A:J,MATCH(Orçamentária!A119,Composições!A:A,0),8),2,0)</f>
        <v>44.059688999999999</v>
      </c>
      <c r="F119" s="136">
        <f t="shared" ca="1" si="3"/>
        <v>0</v>
      </c>
      <c r="G119" s="137" t="e">
        <f>IF(A119&lt;&gt;"",IF(AND(#REF!="Padrão",$H$4=#REF!),BDI!$B$17,IF(AND(#REF!="Padrão",$H$4=#REF!),BDI!#REF!,IF(AND(#REF!="Diferenciado",$H$4=#REF!),BDI!$E$17,IF(AND(#REF!="Diferenciado",$H$4=#REF!),BDI!#REF!,IF(#REF!="ZERO",0))))),"")</f>
        <v>#REF!</v>
      </c>
      <c r="H119" s="138" t="e">
        <f t="shared" ca="1" si="4"/>
        <v>#REF!</v>
      </c>
      <c r="I119" s="136" t="e">
        <f t="shared" ca="1" si="5"/>
        <v>#REF!</v>
      </c>
    </row>
    <row r="120" spans="1:9" hidden="1" x14ac:dyDescent="0.25">
      <c r="A120" s="114" t="s">
        <v>241</v>
      </c>
      <c r="B120" s="115" t="s">
        <v>1664</v>
      </c>
      <c r="C120" s="116" t="s">
        <v>95</v>
      </c>
      <c r="D120" s="116">
        <v>0</v>
      </c>
      <c r="E120" s="135">
        <f ca="1">OFFSET(INDEX(Composições!A:J,MATCH(Orçamentária!A120,Composições!A:A,0),8),2,0)</f>
        <v>44.059688999999999</v>
      </c>
      <c r="F120" s="136">
        <f t="shared" ca="1" si="3"/>
        <v>0</v>
      </c>
      <c r="G120" s="137" t="e">
        <f>IF(A120&lt;&gt;"",IF(AND(#REF!="Padrão",$H$4=#REF!),BDI!$B$17,IF(AND(#REF!="Padrão",$H$4=#REF!),BDI!#REF!,IF(AND(#REF!="Diferenciado",$H$4=#REF!),BDI!$E$17,IF(AND(#REF!="Diferenciado",$H$4=#REF!),BDI!#REF!,IF(#REF!="ZERO",0))))),"")</f>
        <v>#REF!</v>
      </c>
      <c r="H120" s="138" t="e">
        <f t="shared" ca="1" si="4"/>
        <v>#REF!</v>
      </c>
      <c r="I120" s="136" t="e">
        <f t="shared" ca="1" si="5"/>
        <v>#REF!</v>
      </c>
    </row>
    <row r="121" spans="1:9" hidden="1" x14ac:dyDescent="0.25">
      <c r="A121" s="114" t="s">
        <v>243</v>
      </c>
      <c r="B121" s="115" t="s">
        <v>1665</v>
      </c>
      <c r="C121" s="116" t="s">
        <v>93</v>
      </c>
      <c r="D121" s="116">
        <v>0</v>
      </c>
      <c r="E121" s="135">
        <f ca="1">OFFSET(INDEX(Composições!A:J,MATCH(Orçamentária!A121,Composições!A:A,0),8),2,0)</f>
        <v>26.444161999999999</v>
      </c>
      <c r="F121" s="136">
        <f t="shared" ca="1" si="3"/>
        <v>0</v>
      </c>
      <c r="G121" s="137" t="e">
        <f>IF(A121&lt;&gt;"",IF(AND(#REF!="Padrão",$H$4=#REF!),BDI!$B$17,IF(AND(#REF!="Padrão",$H$4=#REF!),BDI!#REF!,IF(AND(#REF!="Diferenciado",$H$4=#REF!),BDI!$E$17,IF(AND(#REF!="Diferenciado",$H$4=#REF!),BDI!#REF!,IF(#REF!="ZERO",0))))),"")</f>
        <v>#REF!</v>
      </c>
      <c r="H121" s="138" t="e">
        <f t="shared" ca="1" si="4"/>
        <v>#REF!</v>
      </c>
      <c r="I121" s="136" t="e">
        <f t="shared" ca="1" si="5"/>
        <v>#REF!</v>
      </c>
    </row>
    <row r="122" spans="1:9" hidden="1" x14ac:dyDescent="0.25">
      <c r="A122" s="114" t="s">
        <v>245</v>
      </c>
      <c r="B122" s="115" t="s">
        <v>1666</v>
      </c>
      <c r="C122" s="116" t="s">
        <v>93</v>
      </c>
      <c r="D122" s="116">
        <v>0</v>
      </c>
      <c r="E122" s="135">
        <f ca="1">OFFSET(INDEX(Composições!A:J,MATCH(Orçamentária!A122,Composições!A:A,0),8),2,0)</f>
        <v>37.829000000000001</v>
      </c>
      <c r="F122" s="136">
        <f t="shared" ca="1" si="3"/>
        <v>0</v>
      </c>
      <c r="G122" s="137" t="e">
        <f>IF(A122&lt;&gt;"",IF(AND(#REF!="Padrão",$H$4=#REF!),BDI!$B$17,IF(AND(#REF!="Padrão",$H$4=#REF!),BDI!#REF!,IF(AND(#REF!="Diferenciado",$H$4=#REF!),BDI!$E$17,IF(AND(#REF!="Diferenciado",$H$4=#REF!),BDI!#REF!,IF(#REF!="ZERO",0))))),"")</f>
        <v>#REF!</v>
      </c>
      <c r="H122" s="138" t="e">
        <f t="shared" ca="1" si="4"/>
        <v>#REF!</v>
      </c>
      <c r="I122" s="136" t="e">
        <f t="shared" ca="1" si="5"/>
        <v>#REF!</v>
      </c>
    </row>
    <row r="123" spans="1:9" hidden="1" x14ac:dyDescent="0.25">
      <c r="A123" s="114" t="s">
        <v>246</v>
      </c>
      <c r="B123" s="115" t="s">
        <v>1667</v>
      </c>
      <c r="C123" s="116" t="s">
        <v>93</v>
      </c>
      <c r="D123" s="116">
        <v>0</v>
      </c>
      <c r="E123" s="135">
        <f ca="1">OFFSET(INDEX(Composições!A:J,MATCH(Orçamentária!A123,Composições!A:A,0),8),2,0)</f>
        <v>33.100375</v>
      </c>
      <c r="F123" s="136">
        <f t="shared" ca="1" si="3"/>
        <v>0</v>
      </c>
      <c r="G123" s="137" t="e">
        <f>IF(A123&lt;&gt;"",IF(AND(#REF!="Padrão",$H$4=#REF!),BDI!$B$17,IF(AND(#REF!="Padrão",$H$4=#REF!),BDI!#REF!,IF(AND(#REF!="Diferenciado",$H$4=#REF!),BDI!$E$17,IF(AND(#REF!="Diferenciado",$H$4=#REF!),BDI!#REF!,IF(#REF!="ZERO",0))))),"")</f>
        <v>#REF!</v>
      </c>
      <c r="H123" s="138" t="e">
        <f t="shared" ca="1" si="4"/>
        <v>#REF!</v>
      </c>
      <c r="I123" s="136" t="e">
        <f t="shared" ca="1" si="5"/>
        <v>#REF!</v>
      </c>
    </row>
    <row r="124" spans="1:9" hidden="1" x14ac:dyDescent="0.25">
      <c r="A124" s="114" t="s">
        <v>247</v>
      </c>
      <c r="B124" s="115" t="s">
        <v>1668</v>
      </c>
      <c r="C124" s="116" t="s">
        <v>93</v>
      </c>
      <c r="D124" s="116">
        <v>0</v>
      </c>
      <c r="E124" s="135">
        <f ca="1">OFFSET(INDEX(Composições!A:J,MATCH(Orçamentária!A124,Composições!A:A,0),8),2,0)</f>
        <v>18.9145</v>
      </c>
      <c r="F124" s="136">
        <f t="shared" ca="1" si="3"/>
        <v>0</v>
      </c>
      <c r="G124" s="137" t="e">
        <f>IF(A124&lt;&gt;"",IF(AND(#REF!="Padrão",$H$4=#REF!),BDI!$B$17,IF(AND(#REF!="Padrão",$H$4=#REF!),BDI!#REF!,IF(AND(#REF!="Diferenciado",$H$4=#REF!),BDI!$E$17,IF(AND(#REF!="Diferenciado",$H$4=#REF!),BDI!#REF!,IF(#REF!="ZERO",0))))),"")</f>
        <v>#REF!</v>
      </c>
      <c r="H124" s="138" t="e">
        <f t="shared" ca="1" si="4"/>
        <v>#REF!</v>
      </c>
      <c r="I124" s="136" t="e">
        <f t="shared" ca="1" si="5"/>
        <v>#REF!</v>
      </c>
    </row>
    <row r="125" spans="1:9" hidden="1" x14ac:dyDescent="0.25">
      <c r="A125" s="114" t="s">
        <v>248</v>
      </c>
      <c r="B125" s="115" t="s">
        <v>1669</v>
      </c>
      <c r="C125" s="116" t="s">
        <v>93</v>
      </c>
      <c r="D125" s="116">
        <v>0</v>
      </c>
      <c r="E125" s="135">
        <f ca="1">OFFSET(INDEX(Composições!A:J,MATCH(Orçamentária!A125,Composições!A:A,0),8),2,0)</f>
        <v>23.643125000000001</v>
      </c>
      <c r="F125" s="136">
        <f t="shared" ca="1" si="3"/>
        <v>0</v>
      </c>
      <c r="G125" s="137" t="e">
        <f>IF(A125&lt;&gt;"",IF(AND(#REF!="Padrão",$H$4=#REF!),BDI!$B$17,IF(AND(#REF!="Padrão",$H$4=#REF!),BDI!#REF!,IF(AND(#REF!="Diferenciado",$H$4=#REF!),BDI!$E$17,IF(AND(#REF!="Diferenciado",$H$4=#REF!),BDI!#REF!,IF(#REF!="ZERO",0))))),"")</f>
        <v>#REF!</v>
      </c>
      <c r="H125" s="138" t="e">
        <f t="shared" ca="1" si="4"/>
        <v>#REF!</v>
      </c>
      <c r="I125" s="136" t="e">
        <f t="shared" ca="1" si="5"/>
        <v>#REF!</v>
      </c>
    </row>
    <row r="126" spans="1:9" hidden="1" x14ac:dyDescent="0.25">
      <c r="A126" s="114" t="s">
        <v>249</v>
      </c>
      <c r="B126" s="115" t="s">
        <v>1670</v>
      </c>
      <c r="C126" s="116" t="s">
        <v>20</v>
      </c>
      <c r="D126" s="116">
        <v>0</v>
      </c>
      <c r="E126" s="135">
        <f ca="1">OFFSET(INDEX(Composições!A:J,MATCH(Orçamentária!A126,Composições!A:A,0),8),2,0)</f>
        <v>87.78</v>
      </c>
      <c r="F126" s="136">
        <f t="shared" ca="1" si="3"/>
        <v>0</v>
      </c>
      <c r="G126" s="137" t="e">
        <f>IF(A126&lt;&gt;"",IF(AND(#REF!="Padrão",$H$4=#REF!),BDI!$B$17,IF(AND(#REF!="Padrão",$H$4=#REF!),BDI!#REF!,IF(AND(#REF!="Diferenciado",$H$4=#REF!),BDI!$E$17,IF(AND(#REF!="Diferenciado",$H$4=#REF!),BDI!#REF!,IF(#REF!="ZERO",0))))),"")</f>
        <v>#REF!</v>
      </c>
      <c r="H126" s="138" t="e">
        <f t="shared" ca="1" si="4"/>
        <v>#REF!</v>
      </c>
      <c r="I126" s="136" t="e">
        <f t="shared" ca="1" si="5"/>
        <v>#REF!</v>
      </c>
    </row>
    <row r="127" spans="1:9" ht="25.5" hidden="1" x14ac:dyDescent="0.25">
      <c r="A127" s="114" t="s">
        <v>251</v>
      </c>
      <c r="B127" s="115" t="s">
        <v>1671</v>
      </c>
      <c r="C127" s="116" t="s">
        <v>20</v>
      </c>
      <c r="D127" s="116">
        <v>0</v>
      </c>
      <c r="E127" s="135">
        <f ca="1">OFFSET(INDEX(Composições!A:J,MATCH(Orçamentária!A127,Composições!A:A,0),8),2,0)</f>
        <v>13.166999999999998</v>
      </c>
      <c r="F127" s="136">
        <f t="shared" ca="1" si="3"/>
        <v>0</v>
      </c>
      <c r="G127" s="137" t="e">
        <f>IF(A127&lt;&gt;"",IF(AND(#REF!="Padrão",$H$4=#REF!),BDI!$B$17,IF(AND(#REF!="Padrão",$H$4=#REF!),BDI!#REF!,IF(AND(#REF!="Diferenciado",$H$4=#REF!),BDI!$E$17,IF(AND(#REF!="Diferenciado",$H$4=#REF!),BDI!#REF!,IF(#REF!="ZERO",0))))),"")</f>
        <v>#REF!</v>
      </c>
      <c r="H127" s="138" t="e">
        <f t="shared" ca="1" si="4"/>
        <v>#REF!</v>
      </c>
      <c r="I127" s="136" t="e">
        <f t="shared" ca="1" si="5"/>
        <v>#REF!</v>
      </c>
    </row>
    <row r="128" spans="1:9" hidden="1" x14ac:dyDescent="0.25">
      <c r="A128" s="114" t="s">
        <v>253</v>
      </c>
      <c r="B128" s="115" t="s">
        <v>1672</v>
      </c>
      <c r="C128" s="116" t="s">
        <v>95</v>
      </c>
      <c r="D128" s="116">
        <v>0</v>
      </c>
      <c r="E128" s="135">
        <f ca="1">OFFSET(INDEX(Composições!A:J,MATCH(Orçamentária!A128,Composições!A:A,0),8),2,0)</f>
        <v>63.966852549999999</v>
      </c>
      <c r="F128" s="136">
        <f t="shared" ca="1" si="3"/>
        <v>0</v>
      </c>
      <c r="G128" s="137" t="e">
        <f>IF(A128&lt;&gt;"",IF(AND(#REF!="Padrão",$H$4=#REF!),BDI!$B$17,IF(AND(#REF!="Padrão",$H$4=#REF!),BDI!#REF!,IF(AND(#REF!="Diferenciado",$H$4=#REF!),BDI!$E$17,IF(AND(#REF!="Diferenciado",$H$4=#REF!),BDI!#REF!,IF(#REF!="ZERO",0))))),"")</f>
        <v>#REF!</v>
      </c>
      <c r="H128" s="138" t="e">
        <f t="shared" ca="1" si="4"/>
        <v>#REF!</v>
      </c>
      <c r="I128" s="136" t="e">
        <f t="shared" ca="1" si="5"/>
        <v>#REF!</v>
      </c>
    </row>
    <row r="129" spans="1:9" hidden="1" x14ac:dyDescent="0.25">
      <c r="A129" s="114" t="s">
        <v>255</v>
      </c>
      <c r="B129" s="115" t="s">
        <v>1673</v>
      </c>
      <c r="C129" s="116" t="s">
        <v>95</v>
      </c>
      <c r="D129" s="116">
        <v>0</v>
      </c>
      <c r="E129" s="135">
        <f ca="1">OFFSET(INDEX(Composições!A:J,MATCH(Orçamentária!A129,Composições!A:A,0),8),2,0)</f>
        <v>122.71869719999999</v>
      </c>
      <c r="F129" s="136">
        <f t="shared" ca="1" si="3"/>
        <v>0</v>
      </c>
      <c r="G129" s="137" t="e">
        <f>IF(A129&lt;&gt;"",IF(AND(#REF!="Padrão",$H$4=#REF!),BDI!$B$17,IF(AND(#REF!="Padrão",$H$4=#REF!),BDI!#REF!,IF(AND(#REF!="Diferenciado",$H$4=#REF!),BDI!$E$17,IF(AND(#REF!="Diferenciado",$H$4=#REF!),BDI!#REF!,IF(#REF!="ZERO",0))))),"")</f>
        <v>#REF!</v>
      </c>
      <c r="H129" s="138" t="e">
        <f t="shared" ca="1" si="4"/>
        <v>#REF!</v>
      </c>
      <c r="I129" s="136" t="e">
        <f t="shared" ca="1" si="5"/>
        <v>#REF!</v>
      </c>
    </row>
    <row r="130" spans="1:9" hidden="1" x14ac:dyDescent="0.25">
      <c r="A130" s="114" t="s">
        <v>257</v>
      </c>
      <c r="B130" s="115" t="s">
        <v>1674</v>
      </c>
      <c r="C130" s="116" t="s">
        <v>95</v>
      </c>
      <c r="D130" s="116">
        <v>0</v>
      </c>
      <c r="E130" s="135">
        <f ca="1">OFFSET(INDEX(Composições!A:J,MATCH(Orçamentária!A130,Composições!A:A,0),8),2,0)</f>
        <v>86.363872999999998</v>
      </c>
      <c r="F130" s="136">
        <f t="shared" ca="1" si="3"/>
        <v>0</v>
      </c>
      <c r="G130" s="137" t="e">
        <f>IF(A130&lt;&gt;"",IF(AND(#REF!="Padrão",$H$4=#REF!),BDI!$B$17,IF(AND(#REF!="Padrão",$H$4=#REF!),BDI!#REF!,IF(AND(#REF!="Diferenciado",$H$4=#REF!),BDI!$E$17,IF(AND(#REF!="Diferenciado",$H$4=#REF!),BDI!#REF!,IF(#REF!="ZERO",0))))),"")</f>
        <v>#REF!</v>
      </c>
      <c r="H130" s="138" t="e">
        <f t="shared" ca="1" si="4"/>
        <v>#REF!</v>
      </c>
      <c r="I130" s="136" t="e">
        <f t="shared" ca="1" si="5"/>
        <v>#REF!</v>
      </c>
    </row>
    <row r="131" spans="1:9" hidden="1" x14ac:dyDescent="0.25">
      <c r="A131" s="114" t="s">
        <v>259</v>
      </c>
      <c r="B131" s="115" t="s">
        <v>1675</v>
      </c>
      <c r="C131" s="116" t="s">
        <v>95</v>
      </c>
      <c r="D131" s="116">
        <v>0</v>
      </c>
      <c r="E131" s="135">
        <f ca="1">OFFSET(INDEX(Composições!A:J,MATCH(Orçamentária!A131,Composições!A:A,0),8),2,0)</f>
        <v>63.966852549999999</v>
      </c>
      <c r="F131" s="136">
        <f t="shared" ca="1" si="3"/>
        <v>0</v>
      </c>
      <c r="G131" s="137" t="e">
        <f>IF(A131&lt;&gt;"",IF(AND(#REF!="Padrão",$H$4=#REF!),BDI!$B$17,IF(AND(#REF!="Padrão",$H$4=#REF!),BDI!#REF!,IF(AND(#REF!="Diferenciado",$H$4=#REF!),BDI!$E$17,IF(AND(#REF!="Diferenciado",$H$4=#REF!),BDI!#REF!,IF(#REF!="ZERO",0))))),"")</f>
        <v>#REF!</v>
      </c>
      <c r="H131" s="138" t="e">
        <f t="shared" ca="1" si="4"/>
        <v>#REF!</v>
      </c>
      <c r="I131" s="136" t="e">
        <f t="shared" ca="1" si="5"/>
        <v>#REF!</v>
      </c>
    </row>
    <row r="132" spans="1:9" hidden="1" x14ac:dyDescent="0.25">
      <c r="A132" s="114" t="s">
        <v>261</v>
      </c>
      <c r="B132" s="115" t="s">
        <v>1676</v>
      </c>
      <c r="C132" s="116" t="s">
        <v>95</v>
      </c>
      <c r="D132" s="116">
        <v>0</v>
      </c>
      <c r="E132" s="135">
        <f ca="1">OFFSET(INDEX(Composições!A:J,MATCH(Orçamentária!A132,Composições!A:A,0),8),2,0)</f>
        <v>122.71869719999999</v>
      </c>
      <c r="F132" s="136">
        <f t="shared" ca="1" si="3"/>
        <v>0</v>
      </c>
      <c r="G132" s="137" t="e">
        <f>IF(A132&lt;&gt;"",IF(AND(#REF!="Padrão",$H$4=#REF!),BDI!$B$17,IF(AND(#REF!="Padrão",$H$4=#REF!),BDI!#REF!,IF(AND(#REF!="Diferenciado",$H$4=#REF!),BDI!$E$17,IF(AND(#REF!="Diferenciado",$H$4=#REF!),BDI!#REF!,IF(#REF!="ZERO",0))))),"")</f>
        <v>#REF!</v>
      </c>
      <c r="H132" s="138" t="e">
        <f t="shared" ca="1" si="4"/>
        <v>#REF!</v>
      </c>
      <c r="I132" s="136" t="e">
        <f t="shared" ca="1" si="5"/>
        <v>#REF!</v>
      </c>
    </row>
    <row r="133" spans="1:9" hidden="1" x14ac:dyDescent="0.25">
      <c r="A133" s="114" t="s">
        <v>263</v>
      </c>
      <c r="B133" s="115" t="s">
        <v>1677</v>
      </c>
      <c r="C133" s="116" t="s">
        <v>95</v>
      </c>
      <c r="D133" s="116">
        <v>0</v>
      </c>
      <c r="E133" s="135">
        <f ca="1">OFFSET(INDEX(Composições!A:J,MATCH(Orçamentária!A133,Composições!A:A,0),8),2,0)</f>
        <v>122.71869719999999</v>
      </c>
      <c r="F133" s="136">
        <f t="shared" ca="1" si="3"/>
        <v>0</v>
      </c>
      <c r="G133" s="137" t="e">
        <f>IF(A133&lt;&gt;"",IF(AND(#REF!="Padrão",$H$4=#REF!),BDI!$B$17,IF(AND(#REF!="Padrão",$H$4=#REF!),BDI!#REF!,IF(AND(#REF!="Diferenciado",$H$4=#REF!),BDI!$E$17,IF(AND(#REF!="Diferenciado",$H$4=#REF!),BDI!#REF!,IF(#REF!="ZERO",0))))),"")</f>
        <v>#REF!</v>
      </c>
      <c r="H133" s="138" t="e">
        <f t="shared" ca="1" si="4"/>
        <v>#REF!</v>
      </c>
      <c r="I133" s="136" t="e">
        <f t="shared" ca="1" si="5"/>
        <v>#REF!</v>
      </c>
    </row>
    <row r="134" spans="1:9" hidden="1" x14ac:dyDescent="0.25">
      <c r="A134" s="114" t="s">
        <v>264</v>
      </c>
      <c r="B134" s="115" t="s">
        <v>6360</v>
      </c>
      <c r="C134" s="116" t="s">
        <v>95</v>
      </c>
      <c r="D134" s="116">
        <v>0</v>
      </c>
      <c r="E134" s="135">
        <f ca="1">OFFSET(INDEX(Composições!A:J,MATCH(Orçamentária!A134,Composições!A:A,0),8),2,0)</f>
        <v>9.5951158999999997</v>
      </c>
      <c r="F134" s="136">
        <f t="shared" ca="1" si="3"/>
        <v>0</v>
      </c>
      <c r="G134" s="137" t="e">
        <f>IF(A134&lt;&gt;"",IF(AND(#REF!="Padrão",$H$4=#REF!),BDI!$B$17,IF(AND(#REF!="Padrão",$H$4=#REF!),BDI!#REF!,IF(AND(#REF!="Diferenciado",$H$4=#REF!),BDI!$E$17,IF(AND(#REF!="Diferenciado",$H$4=#REF!),BDI!#REF!,IF(#REF!="ZERO",0))))),"")</f>
        <v>#REF!</v>
      </c>
      <c r="H134" s="138" t="e">
        <f t="shared" ca="1" si="4"/>
        <v>#REF!</v>
      </c>
      <c r="I134" s="136" t="e">
        <f t="shared" ca="1" si="5"/>
        <v>#REF!</v>
      </c>
    </row>
    <row r="135" spans="1:9" hidden="1" x14ac:dyDescent="0.25">
      <c r="A135" s="114" t="s">
        <v>265</v>
      </c>
      <c r="B135" s="115" t="s">
        <v>1678</v>
      </c>
      <c r="C135" s="116" t="s">
        <v>95</v>
      </c>
      <c r="D135" s="116">
        <v>0</v>
      </c>
      <c r="E135" s="135">
        <f ca="1">OFFSET(INDEX(Composições!A:J,MATCH(Orçamentária!A135,Composições!A:A,0),8),2,0)</f>
        <v>43.708568999999997</v>
      </c>
      <c r="F135" s="136">
        <f t="shared" ref="F135:F198" ca="1" si="6">IF(ISNUMBER(E135),D135*E135,"")</f>
        <v>0</v>
      </c>
      <c r="G135" s="137" t="e">
        <f>IF(A135&lt;&gt;"",IF(AND(#REF!="Padrão",$H$4=#REF!),BDI!$B$17,IF(AND(#REF!="Padrão",$H$4=#REF!),BDI!#REF!,IF(AND(#REF!="Diferenciado",$H$4=#REF!),BDI!$E$17,IF(AND(#REF!="Diferenciado",$H$4=#REF!),BDI!#REF!,IF(#REF!="ZERO",0))))),"")</f>
        <v>#REF!</v>
      </c>
      <c r="H135" s="138" t="e">
        <f t="shared" ref="H135:H198" ca="1" si="7">IF(ISNUMBER(E135),ROUND(E135*(1+G135),2),"")</f>
        <v>#REF!</v>
      </c>
      <c r="I135" s="136" t="e">
        <f t="shared" ref="I135:I198" ca="1" si="8">IF(ISNUMBER(E135),ROUND(H135*D135,2),"")</f>
        <v>#REF!</v>
      </c>
    </row>
    <row r="136" spans="1:9" hidden="1" x14ac:dyDescent="0.25">
      <c r="A136" s="114" t="s">
        <v>266</v>
      </c>
      <c r="B136" s="115" t="s">
        <v>1679</v>
      </c>
      <c r="C136" s="116" t="s">
        <v>95</v>
      </c>
      <c r="D136" s="116">
        <v>0</v>
      </c>
      <c r="E136" s="135">
        <f ca="1">OFFSET(INDEX(Composições!A:J,MATCH(Orçamentária!A136,Composições!A:A,0),8),2,0)</f>
        <v>44.059688999999999</v>
      </c>
      <c r="F136" s="136">
        <f t="shared" ca="1" si="6"/>
        <v>0</v>
      </c>
      <c r="G136" s="137" t="e">
        <f>IF(A136&lt;&gt;"",IF(AND(#REF!="Padrão",$H$4=#REF!),BDI!$B$17,IF(AND(#REF!="Padrão",$H$4=#REF!),BDI!#REF!,IF(AND(#REF!="Diferenciado",$H$4=#REF!),BDI!$E$17,IF(AND(#REF!="Diferenciado",$H$4=#REF!),BDI!#REF!,IF(#REF!="ZERO",0))))),"")</f>
        <v>#REF!</v>
      </c>
      <c r="H136" s="138" t="e">
        <f t="shared" ca="1" si="7"/>
        <v>#REF!</v>
      </c>
      <c r="I136" s="136" t="e">
        <f t="shared" ca="1" si="8"/>
        <v>#REF!</v>
      </c>
    </row>
    <row r="137" spans="1:9" hidden="1" x14ac:dyDescent="0.25">
      <c r="A137" s="114" t="s">
        <v>1680</v>
      </c>
      <c r="B137" s="115" t="s">
        <v>1681</v>
      </c>
      <c r="C137" s="116" t="s">
        <v>95</v>
      </c>
      <c r="D137" s="116">
        <v>0</v>
      </c>
      <c r="E137" s="135" t="s">
        <v>558</v>
      </c>
      <c r="F137" s="136" t="str">
        <f t="shared" si="6"/>
        <v/>
      </c>
      <c r="G137" s="137" t="e">
        <f>IF(A137&lt;&gt;"",IF(AND(#REF!="Padrão",$H$4=#REF!),BDI!$B$17,IF(AND(#REF!="Padrão",$H$4=#REF!),BDI!#REF!,IF(AND(#REF!="Diferenciado",$H$4=#REF!),BDI!$E$17,IF(AND(#REF!="Diferenciado",$H$4=#REF!),BDI!#REF!,IF(#REF!="ZERO",0))))),"")</f>
        <v>#REF!</v>
      </c>
      <c r="H137" s="138" t="str">
        <f t="shared" si="7"/>
        <v/>
      </c>
      <c r="I137" s="136" t="str">
        <f t="shared" si="8"/>
        <v/>
      </c>
    </row>
    <row r="138" spans="1:9" hidden="1" x14ac:dyDescent="0.25">
      <c r="A138" s="114" t="s">
        <v>1682</v>
      </c>
      <c r="B138" s="115" t="s">
        <v>1683</v>
      </c>
      <c r="C138" s="116" t="s">
        <v>95</v>
      </c>
      <c r="D138" s="116">
        <v>0</v>
      </c>
      <c r="E138" s="135" t="s">
        <v>558</v>
      </c>
      <c r="F138" s="136" t="str">
        <f t="shared" si="6"/>
        <v/>
      </c>
      <c r="G138" s="137" t="e">
        <f>IF(A138&lt;&gt;"",IF(AND(#REF!="Padrão",$H$4=#REF!),BDI!$B$17,IF(AND(#REF!="Padrão",$H$4=#REF!),BDI!#REF!,IF(AND(#REF!="Diferenciado",$H$4=#REF!),BDI!$E$17,IF(AND(#REF!="Diferenciado",$H$4=#REF!),BDI!#REF!,IF(#REF!="ZERO",0))))),"")</f>
        <v>#REF!</v>
      </c>
      <c r="H138" s="138" t="str">
        <f t="shared" si="7"/>
        <v/>
      </c>
      <c r="I138" s="136" t="str">
        <f t="shared" si="8"/>
        <v/>
      </c>
    </row>
    <row r="139" spans="1:9" hidden="1" x14ac:dyDescent="0.25">
      <c r="A139" s="114" t="s">
        <v>1684</v>
      </c>
      <c r="B139" s="115" t="s">
        <v>1685</v>
      </c>
      <c r="C139" s="116" t="s">
        <v>95</v>
      </c>
      <c r="D139" s="116">
        <v>0</v>
      </c>
      <c r="E139" s="135" t="s">
        <v>558</v>
      </c>
      <c r="F139" s="136" t="str">
        <f t="shared" si="6"/>
        <v/>
      </c>
      <c r="G139" s="137" t="e">
        <f>IF(A139&lt;&gt;"",IF(AND(#REF!="Padrão",$H$4=#REF!),BDI!$B$17,IF(AND(#REF!="Padrão",$H$4=#REF!),BDI!#REF!,IF(AND(#REF!="Diferenciado",$H$4=#REF!),BDI!$E$17,IF(AND(#REF!="Diferenciado",$H$4=#REF!),BDI!#REF!,IF(#REF!="ZERO",0))))),"")</f>
        <v>#REF!</v>
      </c>
      <c r="H139" s="138" t="str">
        <f t="shared" si="7"/>
        <v/>
      </c>
      <c r="I139" s="136" t="str">
        <f t="shared" si="8"/>
        <v/>
      </c>
    </row>
    <row r="140" spans="1:9" hidden="1" x14ac:dyDescent="0.25">
      <c r="A140" s="114" t="s">
        <v>1686</v>
      </c>
      <c r="B140" s="115" t="s">
        <v>1687</v>
      </c>
      <c r="C140" s="116" t="s">
        <v>95</v>
      </c>
      <c r="D140" s="116">
        <v>0</v>
      </c>
      <c r="E140" s="135" t="s">
        <v>558</v>
      </c>
      <c r="F140" s="136" t="str">
        <f t="shared" si="6"/>
        <v/>
      </c>
      <c r="G140" s="137" t="e">
        <f>IF(A140&lt;&gt;"",IF(AND(#REF!="Padrão",$H$4=#REF!),BDI!$B$17,IF(AND(#REF!="Padrão",$H$4=#REF!),BDI!#REF!,IF(AND(#REF!="Diferenciado",$H$4=#REF!),BDI!$E$17,IF(AND(#REF!="Diferenciado",$H$4=#REF!),BDI!#REF!,IF(#REF!="ZERO",0))))),"")</f>
        <v>#REF!</v>
      </c>
      <c r="H140" s="138" t="str">
        <f t="shared" si="7"/>
        <v/>
      </c>
      <c r="I140" s="136" t="str">
        <f t="shared" si="8"/>
        <v/>
      </c>
    </row>
    <row r="141" spans="1:9" hidden="1" x14ac:dyDescent="0.25">
      <c r="A141" s="114" t="s">
        <v>1688</v>
      </c>
      <c r="B141" s="115" t="s">
        <v>1689</v>
      </c>
      <c r="C141" s="116" t="s">
        <v>95</v>
      </c>
      <c r="D141" s="116">
        <v>0</v>
      </c>
      <c r="E141" s="135" t="s">
        <v>558</v>
      </c>
      <c r="F141" s="136" t="str">
        <f t="shared" si="6"/>
        <v/>
      </c>
      <c r="G141" s="137" t="e">
        <f>IF(A141&lt;&gt;"",IF(AND(#REF!="Padrão",$H$4=#REF!),BDI!$B$17,IF(AND(#REF!="Padrão",$H$4=#REF!),BDI!#REF!,IF(AND(#REF!="Diferenciado",$H$4=#REF!),BDI!$E$17,IF(AND(#REF!="Diferenciado",$H$4=#REF!),BDI!#REF!,IF(#REF!="ZERO",0))))),"")</f>
        <v>#REF!</v>
      </c>
      <c r="H141" s="138" t="str">
        <f t="shared" si="7"/>
        <v/>
      </c>
      <c r="I141" s="136" t="str">
        <f t="shared" si="8"/>
        <v/>
      </c>
    </row>
    <row r="142" spans="1:9" hidden="1" x14ac:dyDescent="0.25">
      <c r="A142" s="114" t="s">
        <v>1690</v>
      </c>
      <c r="B142" s="115" t="s">
        <v>1691</v>
      </c>
      <c r="C142" s="116" t="s">
        <v>95</v>
      </c>
      <c r="D142" s="116">
        <v>0</v>
      </c>
      <c r="E142" s="135" t="s">
        <v>558</v>
      </c>
      <c r="F142" s="136" t="str">
        <f t="shared" si="6"/>
        <v/>
      </c>
      <c r="G142" s="137" t="e">
        <f>IF(A142&lt;&gt;"",IF(AND(#REF!="Padrão",$H$4=#REF!),BDI!$B$17,IF(AND(#REF!="Padrão",$H$4=#REF!),BDI!#REF!,IF(AND(#REF!="Diferenciado",$H$4=#REF!),BDI!$E$17,IF(AND(#REF!="Diferenciado",$H$4=#REF!),BDI!#REF!,IF(#REF!="ZERO",0))))),"")</f>
        <v>#REF!</v>
      </c>
      <c r="H142" s="138" t="str">
        <f t="shared" si="7"/>
        <v/>
      </c>
      <c r="I142" s="136" t="str">
        <f t="shared" si="8"/>
        <v/>
      </c>
    </row>
    <row r="143" spans="1:9" hidden="1" x14ac:dyDescent="0.25">
      <c r="A143" s="114" t="s">
        <v>268</v>
      </c>
      <c r="B143" s="115" t="s">
        <v>1692</v>
      </c>
      <c r="C143" s="116" t="s">
        <v>95</v>
      </c>
      <c r="D143" s="116">
        <v>0</v>
      </c>
      <c r="E143" s="135">
        <f ca="1">OFFSET(INDEX(Composições!A:J,MATCH(Orçamentária!A143,Composições!A:A,0),8),2,0)</f>
        <v>0.95</v>
      </c>
      <c r="F143" s="136">
        <f t="shared" ca="1" si="6"/>
        <v>0</v>
      </c>
      <c r="G143" s="137" t="e">
        <f>IF(A143&lt;&gt;"",IF(AND(#REF!="Padrão",$H$4=#REF!),BDI!$B$17,IF(AND(#REF!="Padrão",$H$4=#REF!),BDI!#REF!,IF(AND(#REF!="Diferenciado",$H$4=#REF!),BDI!$E$17,IF(AND(#REF!="Diferenciado",$H$4=#REF!),BDI!#REF!,IF(#REF!="ZERO",0))))),"")</f>
        <v>#REF!</v>
      </c>
      <c r="H143" s="138" t="e">
        <f t="shared" ca="1" si="7"/>
        <v>#REF!</v>
      </c>
      <c r="I143" s="136" t="e">
        <f t="shared" ca="1" si="8"/>
        <v>#REF!</v>
      </c>
    </row>
    <row r="144" spans="1:9" hidden="1" x14ac:dyDescent="0.25">
      <c r="A144" s="114" t="s">
        <v>270</v>
      </c>
      <c r="B144" s="115" t="s">
        <v>1693</v>
      </c>
      <c r="C144" s="116" t="s">
        <v>95</v>
      </c>
      <c r="D144" s="116">
        <v>0</v>
      </c>
      <c r="E144" s="135">
        <f ca="1">OFFSET(INDEX(Composições!A:J,MATCH(Orçamentária!A144,Composições!A:A,0),8),2,0)</f>
        <v>60.966250000000002</v>
      </c>
      <c r="F144" s="136">
        <f t="shared" ca="1" si="6"/>
        <v>0</v>
      </c>
      <c r="G144" s="137" t="e">
        <f>IF(A144&lt;&gt;"",IF(AND(#REF!="Padrão",$H$4=#REF!),BDI!$B$17,IF(AND(#REF!="Padrão",$H$4=#REF!),BDI!#REF!,IF(AND(#REF!="Diferenciado",$H$4=#REF!),BDI!$E$17,IF(AND(#REF!="Diferenciado",$H$4=#REF!),BDI!#REF!,IF(#REF!="ZERO",0))))),"")</f>
        <v>#REF!</v>
      </c>
      <c r="H144" s="138" t="e">
        <f t="shared" ca="1" si="7"/>
        <v>#REF!</v>
      </c>
      <c r="I144" s="136" t="e">
        <f t="shared" ca="1" si="8"/>
        <v>#REF!</v>
      </c>
    </row>
    <row r="145" spans="1:9" hidden="1" x14ac:dyDescent="0.25">
      <c r="A145" s="114" t="s">
        <v>273</v>
      </c>
      <c r="B145" s="115" t="s">
        <v>1694</v>
      </c>
      <c r="C145" s="116" t="s">
        <v>95</v>
      </c>
      <c r="D145" s="116">
        <v>0</v>
      </c>
      <c r="E145" s="135">
        <f ca="1">OFFSET(INDEX(Composições!A:J,MATCH(Orçamentária!A145,Composições!A:A,0),8),2,0)</f>
        <v>66.217537449999995</v>
      </c>
      <c r="F145" s="136">
        <f t="shared" ca="1" si="6"/>
        <v>0</v>
      </c>
      <c r="G145" s="137" t="e">
        <f>IF(A145&lt;&gt;"",IF(AND(#REF!="Padrão",$H$4=#REF!),BDI!$B$17,IF(AND(#REF!="Padrão",$H$4=#REF!),BDI!#REF!,IF(AND(#REF!="Diferenciado",$H$4=#REF!),BDI!$E$17,IF(AND(#REF!="Diferenciado",$H$4=#REF!),BDI!#REF!,IF(#REF!="ZERO",0))))),"")</f>
        <v>#REF!</v>
      </c>
      <c r="H145" s="138" t="e">
        <f t="shared" ca="1" si="7"/>
        <v>#REF!</v>
      </c>
      <c r="I145" s="136" t="e">
        <f t="shared" ca="1" si="8"/>
        <v>#REF!</v>
      </c>
    </row>
    <row r="146" spans="1:9" hidden="1" x14ac:dyDescent="0.25">
      <c r="A146" s="114" t="s">
        <v>280</v>
      </c>
      <c r="B146" s="115" t="s">
        <v>1695</v>
      </c>
      <c r="C146" s="116" t="s">
        <v>95</v>
      </c>
      <c r="D146" s="116">
        <v>0</v>
      </c>
      <c r="E146" s="135">
        <f ca="1">OFFSET(INDEX(Composições!A:J,MATCH(Orçamentária!A146,Composições!A:A,0),8),2,0)</f>
        <v>32.067487499999991</v>
      </c>
      <c r="F146" s="136">
        <f t="shared" ca="1" si="6"/>
        <v>0</v>
      </c>
      <c r="G146" s="137" t="e">
        <f>IF(A146&lt;&gt;"",IF(AND(#REF!="Padrão",$H$4=#REF!),BDI!$B$17,IF(AND(#REF!="Padrão",$H$4=#REF!),BDI!#REF!,IF(AND(#REF!="Diferenciado",$H$4=#REF!),BDI!$E$17,IF(AND(#REF!="Diferenciado",$H$4=#REF!),BDI!#REF!,IF(#REF!="ZERO",0))))),"")</f>
        <v>#REF!</v>
      </c>
      <c r="H146" s="138" t="e">
        <f t="shared" ca="1" si="7"/>
        <v>#REF!</v>
      </c>
      <c r="I146" s="136" t="e">
        <f t="shared" ca="1" si="8"/>
        <v>#REF!</v>
      </c>
    </row>
    <row r="147" spans="1:9" hidden="1" x14ac:dyDescent="0.25">
      <c r="A147" s="114" t="s">
        <v>281</v>
      </c>
      <c r="B147" s="115" t="s">
        <v>1696</v>
      </c>
      <c r="C147" s="116" t="s">
        <v>95</v>
      </c>
      <c r="D147" s="116">
        <v>0</v>
      </c>
      <c r="E147" s="135">
        <f ca="1">OFFSET(INDEX(Composições!A:J,MATCH(Orçamentária!A147,Composições!A:A,0),8),2,0)</f>
        <v>37.074577450000007</v>
      </c>
      <c r="F147" s="136">
        <f t="shared" ca="1" si="6"/>
        <v>0</v>
      </c>
      <c r="G147" s="137" t="e">
        <f>IF(A147&lt;&gt;"",IF(AND(#REF!="Padrão",$H$4=#REF!),BDI!$B$17,IF(AND(#REF!="Padrão",$H$4=#REF!),BDI!#REF!,IF(AND(#REF!="Diferenciado",$H$4=#REF!),BDI!$E$17,IF(AND(#REF!="Diferenciado",$H$4=#REF!),BDI!#REF!,IF(#REF!="ZERO",0))))),"")</f>
        <v>#REF!</v>
      </c>
      <c r="H147" s="138" t="e">
        <f t="shared" ca="1" si="7"/>
        <v>#REF!</v>
      </c>
      <c r="I147" s="136" t="e">
        <f t="shared" ca="1" si="8"/>
        <v>#REF!</v>
      </c>
    </row>
    <row r="148" spans="1:9" hidden="1" x14ac:dyDescent="0.25">
      <c r="A148" s="114" t="s">
        <v>283</v>
      </c>
      <c r="B148" s="115" t="s">
        <v>1697</v>
      </c>
      <c r="C148" s="116" t="s">
        <v>95</v>
      </c>
      <c r="D148" s="116">
        <v>0</v>
      </c>
      <c r="E148" s="135">
        <f ca="1">OFFSET(INDEX(Composições!A:J,MATCH(Orçamentária!A148,Composições!A:A,0),8),2,0)</f>
        <v>17.598749999999999</v>
      </c>
      <c r="F148" s="136">
        <f t="shared" ca="1" si="6"/>
        <v>0</v>
      </c>
      <c r="G148" s="137" t="e">
        <f>IF(A148&lt;&gt;"",IF(AND(#REF!="Padrão",$H$4=#REF!),BDI!$B$17,IF(AND(#REF!="Padrão",$H$4=#REF!),BDI!#REF!,IF(AND(#REF!="Diferenciado",$H$4=#REF!),BDI!$E$17,IF(AND(#REF!="Diferenciado",$H$4=#REF!),BDI!#REF!,IF(#REF!="ZERO",0))))),"")</f>
        <v>#REF!</v>
      </c>
      <c r="H148" s="138" t="e">
        <f t="shared" ca="1" si="7"/>
        <v>#REF!</v>
      </c>
      <c r="I148" s="136" t="e">
        <f t="shared" ca="1" si="8"/>
        <v>#REF!</v>
      </c>
    </row>
    <row r="149" spans="1:9" hidden="1" x14ac:dyDescent="0.25">
      <c r="A149" s="114" t="s">
        <v>286</v>
      </c>
      <c r="B149" s="115" t="s">
        <v>1698</v>
      </c>
      <c r="C149" s="116" t="s">
        <v>95</v>
      </c>
      <c r="D149" s="116">
        <v>0</v>
      </c>
      <c r="E149" s="135">
        <f ca="1">OFFSET(INDEX(Composições!A:J,MATCH(Orçamentária!A149,Composições!A:A,0),8),2,0)</f>
        <v>58.4827315</v>
      </c>
      <c r="F149" s="136">
        <f t="shared" ca="1" si="6"/>
        <v>0</v>
      </c>
      <c r="G149" s="137" t="e">
        <f>IF(A149&lt;&gt;"",IF(AND(#REF!="Padrão",$H$4=#REF!),BDI!$B$17,IF(AND(#REF!="Padrão",$H$4=#REF!),BDI!#REF!,IF(AND(#REF!="Diferenciado",$H$4=#REF!),BDI!$E$17,IF(AND(#REF!="Diferenciado",$H$4=#REF!),BDI!#REF!,IF(#REF!="ZERO",0))))),"")</f>
        <v>#REF!</v>
      </c>
      <c r="H149" s="138" t="e">
        <f t="shared" ca="1" si="7"/>
        <v>#REF!</v>
      </c>
      <c r="I149" s="136" t="e">
        <f t="shared" ca="1" si="8"/>
        <v>#REF!</v>
      </c>
    </row>
    <row r="150" spans="1:9" hidden="1" x14ac:dyDescent="0.25">
      <c r="A150" s="114" t="s">
        <v>287</v>
      </c>
      <c r="B150" s="115" t="s">
        <v>1699</v>
      </c>
      <c r="C150" s="116" t="s">
        <v>95</v>
      </c>
      <c r="D150" s="116">
        <v>0</v>
      </c>
      <c r="E150" s="135">
        <f ca="1">OFFSET(INDEX(Composições!A:J,MATCH(Orçamentária!A150,Composições!A:A,0),8),2,0)</f>
        <v>31.353158749999999</v>
      </c>
      <c r="F150" s="136">
        <f t="shared" ca="1" si="6"/>
        <v>0</v>
      </c>
      <c r="G150" s="137" t="e">
        <f>IF(A150&lt;&gt;"",IF(AND(#REF!="Padrão",$H$4=#REF!),BDI!$B$17,IF(AND(#REF!="Padrão",$H$4=#REF!),BDI!#REF!,IF(AND(#REF!="Diferenciado",$H$4=#REF!),BDI!$E$17,IF(AND(#REF!="Diferenciado",$H$4=#REF!),BDI!#REF!,IF(#REF!="ZERO",0))))),"")</f>
        <v>#REF!</v>
      </c>
      <c r="H150" s="138" t="e">
        <f t="shared" ca="1" si="7"/>
        <v>#REF!</v>
      </c>
      <c r="I150" s="136" t="e">
        <f t="shared" ca="1" si="8"/>
        <v>#REF!</v>
      </c>
    </row>
    <row r="151" spans="1:9" hidden="1" x14ac:dyDescent="0.25">
      <c r="A151" s="114" t="s">
        <v>288</v>
      </c>
      <c r="B151" s="115" t="s">
        <v>1700</v>
      </c>
      <c r="C151" s="116" t="s">
        <v>95</v>
      </c>
      <c r="D151" s="116">
        <v>0</v>
      </c>
      <c r="E151" s="135">
        <f ca="1">OFFSET(INDEX(Composições!A:J,MATCH(Orçamentária!A151,Composições!A:A,0),8),2,0)</f>
        <v>120.08949999999999</v>
      </c>
      <c r="F151" s="136">
        <f t="shared" ca="1" si="6"/>
        <v>0</v>
      </c>
      <c r="G151" s="137" t="e">
        <f>IF(A151&lt;&gt;"",IF(AND(#REF!="Padrão",$H$4=#REF!),BDI!$B$17,IF(AND(#REF!="Padrão",$H$4=#REF!),BDI!#REF!,IF(AND(#REF!="Diferenciado",$H$4=#REF!),BDI!$E$17,IF(AND(#REF!="Diferenciado",$H$4=#REF!),BDI!#REF!,IF(#REF!="ZERO",0))))),"")</f>
        <v>#REF!</v>
      </c>
      <c r="H151" s="138" t="e">
        <f t="shared" ca="1" si="7"/>
        <v>#REF!</v>
      </c>
      <c r="I151" s="136" t="e">
        <f t="shared" ca="1" si="8"/>
        <v>#REF!</v>
      </c>
    </row>
    <row r="152" spans="1:9" hidden="1" x14ac:dyDescent="0.25">
      <c r="A152" s="114" t="s">
        <v>290</v>
      </c>
      <c r="B152" s="115" t="s">
        <v>1701</v>
      </c>
      <c r="C152" s="116" t="s">
        <v>95</v>
      </c>
      <c r="D152" s="116">
        <v>0</v>
      </c>
      <c r="E152" s="135">
        <f ca="1">OFFSET(INDEX(Composições!A:J,MATCH(Orçamentária!A152,Composições!A:A,0),8),2,0)</f>
        <v>32.7256</v>
      </c>
      <c r="F152" s="136">
        <f t="shared" ca="1" si="6"/>
        <v>0</v>
      </c>
      <c r="G152" s="137" t="e">
        <f>IF(A152&lt;&gt;"",IF(AND(#REF!="Padrão",$H$4=#REF!),BDI!$B$17,IF(AND(#REF!="Padrão",$H$4=#REF!),BDI!#REF!,IF(AND(#REF!="Diferenciado",$H$4=#REF!),BDI!$E$17,IF(AND(#REF!="Diferenciado",$H$4=#REF!),BDI!#REF!,IF(#REF!="ZERO",0))))),"")</f>
        <v>#REF!</v>
      </c>
      <c r="H152" s="138" t="e">
        <f t="shared" ca="1" si="7"/>
        <v>#REF!</v>
      </c>
      <c r="I152" s="136" t="e">
        <f t="shared" ca="1" si="8"/>
        <v>#REF!</v>
      </c>
    </row>
    <row r="153" spans="1:9" hidden="1" x14ac:dyDescent="0.25">
      <c r="A153" s="114" t="s">
        <v>293</v>
      </c>
      <c r="B153" s="115" t="s">
        <v>1702</v>
      </c>
      <c r="C153" s="116" t="s">
        <v>95</v>
      </c>
      <c r="D153" s="116">
        <v>0</v>
      </c>
      <c r="E153" s="135">
        <f ca="1">OFFSET(INDEX(Composições!A:J,MATCH(Orçamentária!A153,Composições!A:A,0),8),2,0)</f>
        <v>2.5914650999999997</v>
      </c>
      <c r="F153" s="136">
        <f t="shared" ca="1" si="6"/>
        <v>0</v>
      </c>
      <c r="G153" s="137" t="e">
        <f>IF(A153&lt;&gt;"",IF(AND(#REF!="Padrão",$H$4=#REF!),BDI!$B$17,IF(AND(#REF!="Padrão",$H$4=#REF!),BDI!#REF!,IF(AND(#REF!="Diferenciado",$H$4=#REF!),BDI!$E$17,IF(AND(#REF!="Diferenciado",$H$4=#REF!),BDI!#REF!,IF(#REF!="ZERO",0))))),"")</f>
        <v>#REF!</v>
      </c>
      <c r="H153" s="138" t="e">
        <f t="shared" ca="1" si="7"/>
        <v>#REF!</v>
      </c>
      <c r="I153" s="136" t="e">
        <f t="shared" ca="1" si="8"/>
        <v>#REF!</v>
      </c>
    </row>
    <row r="154" spans="1:9" hidden="1" x14ac:dyDescent="0.25">
      <c r="A154" s="114" t="s">
        <v>294</v>
      </c>
      <c r="B154" s="115" t="s">
        <v>1703</v>
      </c>
      <c r="C154" s="116" t="s">
        <v>95</v>
      </c>
      <c r="D154" s="116">
        <v>0</v>
      </c>
      <c r="E154" s="135">
        <f ca="1">OFFSET(INDEX(Composições!A:J,MATCH(Orçamentária!A154,Composições!A:A,0),8),2,0)</f>
        <v>44.65379999999999</v>
      </c>
      <c r="F154" s="136">
        <f t="shared" ca="1" si="6"/>
        <v>0</v>
      </c>
      <c r="G154" s="137" t="e">
        <f>IF(A154&lt;&gt;"",IF(AND(#REF!="Padrão",$H$4=#REF!),BDI!$B$17,IF(AND(#REF!="Padrão",$H$4=#REF!),BDI!#REF!,IF(AND(#REF!="Diferenciado",$H$4=#REF!),BDI!$E$17,IF(AND(#REF!="Diferenciado",$H$4=#REF!),BDI!#REF!,IF(#REF!="ZERO",0))))),"")</f>
        <v>#REF!</v>
      </c>
      <c r="H154" s="138" t="e">
        <f t="shared" ca="1" si="7"/>
        <v>#REF!</v>
      </c>
      <c r="I154" s="136" t="e">
        <f t="shared" ca="1" si="8"/>
        <v>#REF!</v>
      </c>
    </row>
    <row r="155" spans="1:9" hidden="1" x14ac:dyDescent="0.25">
      <c r="A155" s="114" t="s">
        <v>295</v>
      </c>
      <c r="B155" s="115" t="s">
        <v>1704</v>
      </c>
      <c r="C155" s="116" t="s">
        <v>93</v>
      </c>
      <c r="D155" s="116">
        <v>0</v>
      </c>
      <c r="E155" s="135">
        <f ca="1">OFFSET(INDEX(Composições!A:J,MATCH(Orçamentária!A155,Composições!A:A,0),8),2,0)</f>
        <v>11.45793385</v>
      </c>
      <c r="F155" s="136">
        <f t="shared" ca="1" si="6"/>
        <v>0</v>
      </c>
      <c r="G155" s="137" t="e">
        <f>IF(A155&lt;&gt;"",IF(AND(#REF!="Padrão",$H$4=#REF!),BDI!$B$17,IF(AND(#REF!="Padrão",$H$4=#REF!),BDI!#REF!,IF(AND(#REF!="Diferenciado",$H$4=#REF!),BDI!$E$17,IF(AND(#REF!="Diferenciado",$H$4=#REF!),BDI!#REF!,IF(#REF!="ZERO",0))))),"")</f>
        <v>#REF!</v>
      </c>
      <c r="H155" s="138" t="e">
        <f t="shared" ca="1" si="7"/>
        <v>#REF!</v>
      </c>
      <c r="I155" s="136" t="e">
        <f t="shared" ca="1" si="8"/>
        <v>#REF!</v>
      </c>
    </row>
    <row r="156" spans="1:9" hidden="1" x14ac:dyDescent="0.25">
      <c r="A156" s="114" t="s">
        <v>297</v>
      </c>
      <c r="B156" s="115" t="s">
        <v>1705</v>
      </c>
      <c r="C156" s="116" t="s">
        <v>95</v>
      </c>
      <c r="D156" s="116">
        <v>0</v>
      </c>
      <c r="E156" s="135">
        <f ca="1">OFFSET(INDEX(Composições!A:J,MATCH(Orçamentária!A156,Composições!A:A,0),8),2,0)</f>
        <v>6.4913499999999997</v>
      </c>
      <c r="F156" s="136">
        <f t="shared" ca="1" si="6"/>
        <v>0</v>
      </c>
      <c r="G156" s="137" t="e">
        <f>IF(A156&lt;&gt;"",IF(AND(#REF!="Padrão",$H$4=#REF!),BDI!$B$17,IF(AND(#REF!="Padrão",$H$4=#REF!),BDI!#REF!,IF(AND(#REF!="Diferenciado",$H$4=#REF!),BDI!$E$17,IF(AND(#REF!="Diferenciado",$H$4=#REF!),BDI!#REF!,IF(#REF!="ZERO",0))))),"")</f>
        <v>#REF!</v>
      </c>
      <c r="H156" s="138" t="e">
        <f t="shared" ca="1" si="7"/>
        <v>#REF!</v>
      </c>
      <c r="I156" s="136" t="e">
        <f t="shared" ca="1" si="8"/>
        <v>#REF!</v>
      </c>
    </row>
    <row r="157" spans="1:9" hidden="1" x14ac:dyDescent="0.25">
      <c r="A157" s="114" t="s">
        <v>299</v>
      </c>
      <c r="B157" s="115" t="s">
        <v>300</v>
      </c>
      <c r="C157" s="116" t="s">
        <v>93</v>
      </c>
      <c r="D157" s="116">
        <v>0</v>
      </c>
      <c r="E157" s="135">
        <f ca="1">OFFSET(INDEX(Composições!A:J,MATCH(Orçamentária!A157,Composições!A:A,0),8),2,0)</f>
        <v>5.2701250000000002</v>
      </c>
      <c r="F157" s="136">
        <f t="shared" ca="1" si="6"/>
        <v>0</v>
      </c>
      <c r="G157" s="137" t="e">
        <f>IF(A157&lt;&gt;"",IF(AND(#REF!="Padrão",$H$4=#REF!),BDI!$B$17,IF(AND(#REF!="Padrão",$H$4=#REF!),BDI!#REF!,IF(AND(#REF!="Diferenciado",$H$4=#REF!),BDI!$E$17,IF(AND(#REF!="Diferenciado",$H$4=#REF!),BDI!#REF!,IF(#REF!="ZERO",0))))),"")</f>
        <v>#REF!</v>
      </c>
      <c r="H157" s="138" t="e">
        <f t="shared" ca="1" si="7"/>
        <v>#REF!</v>
      </c>
      <c r="I157" s="136" t="e">
        <f t="shared" ca="1" si="8"/>
        <v>#REF!</v>
      </c>
    </row>
    <row r="158" spans="1:9" hidden="1" x14ac:dyDescent="0.25">
      <c r="A158" s="114" t="s">
        <v>301</v>
      </c>
      <c r="B158" s="115" t="s">
        <v>1706</v>
      </c>
      <c r="C158" s="116" t="s">
        <v>93</v>
      </c>
      <c r="D158" s="116">
        <v>0</v>
      </c>
      <c r="E158" s="135">
        <f ca="1">OFFSET(INDEX(Composições!A:J,MATCH(Orçamentária!A158,Composições!A:A,0),8),2,0)</f>
        <v>17.669525</v>
      </c>
      <c r="F158" s="136">
        <f t="shared" ca="1" si="6"/>
        <v>0</v>
      </c>
      <c r="G158" s="137" t="e">
        <f>IF(A158&lt;&gt;"",IF(AND(#REF!="Padrão",$H$4=#REF!),BDI!$B$17,IF(AND(#REF!="Padrão",$H$4=#REF!),BDI!#REF!,IF(AND(#REF!="Diferenciado",$H$4=#REF!),BDI!$E$17,IF(AND(#REF!="Diferenciado",$H$4=#REF!),BDI!#REF!,IF(#REF!="ZERO",0))))),"")</f>
        <v>#REF!</v>
      </c>
      <c r="H158" s="138" t="e">
        <f t="shared" ca="1" si="7"/>
        <v>#REF!</v>
      </c>
      <c r="I158" s="136" t="e">
        <f t="shared" ca="1" si="8"/>
        <v>#REF!</v>
      </c>
    </row>
    <row r="159" spans="1:9" hidden="1" x14ac:dyDescent="0.25">
      <c r="A159" s="114" t="s">
        <v>303</v>
      </c>
      <c r="B159" s="115" t="s">
        <v>1707</v>
      </c>
      <c r="C159" s="116" t="s">
        <v>95</v>
      </c>
      <c r="D159" s="116">
        <v>0</v>
      </c>
      <c r="E159" s="135">
        <f ca="1">OFFSET(INDEX(Composições!A:J,MATCH(Orçamentária!A159,Composições!A:A,0),8),2,0)</f>
        <v>94.525000000000006</v>
      </c>
      <c r="F159" s="136">
        <f t="shared" ca="1" si="6"/>
        <v>0</v>
      </c>
      <c r="G159" s="137" t="e">
        <f>IF(A159&lt;&gt;"",IF(AND(#REF!="Padrão",$H$4=#REF!),BDI!$B$17,IF(AND(#REF!="Padrão",$H$4=#REF!),BDI!#REF!,IF(AND(#REF!="Diferenciado",$H$4=#REF!),BDI!$E$17,IF(AND(#REF!="Diferenciado",$H$4=#REF!),BDI!#REF!,IF(#REF!="ZERO",0))))),"")</f>
        <v>#REF!</v>
      </c>
      <c r="H159" s="138" t="e">
        <f t="shared" ca="1" si="7"/>
        <v>#REF!</v>
      </c>
      <c r="I159" s="136" t="e">
        <f t="shared" ca="1" si="8"/>
        <v>#REF!</v>
      </c>
    </row>
    <row r="160" spans="1:9" hidden="1" x14ac:dyDescent="0.25">
      <c r="A160" s="114" t="s">
        <v>305</v>
      </c>
      <c r="B160" s="115" t="s">
        <v>1708</v>
      </c>
      <c r="C160" s="116" t="s">
        <v>95</v>
      </c>
      <c r="D160" s="116">
        <v>0</v>
      </c>
      <c r="E160" s="135">
        <f ca="1">OFFSET(INDEX(Composições!A:J,MATCH(Orçamentária!A160,Composições!A:A,0),8),2,0)</f>
        <v>30.903500000000001</v>
      </c>
      <c r="F160" s="136">
        <f t="shared" ca="1" si="6"/>
        <v>0</v>
      </c>
      <c r="G160" s="137" t="e">
        <f>IF(A160&lt;&gt;"",IF(AND(#REF!="Padrão",$H$4=#REF!),BDI!$B$17,IF(AND(#REF!="Padrão",$H$4=#REF!),BDI!#REF!,IF(AND(#REF!="Diferenciado",$H$4=#REF!),BDI!$E$17,IF(AND(#REF!="Diferenciado",$H$4=#REF!),BDI!#REF!,IF(#REF!="ZERO",0))))),"")</f>
        <v>#REF!</v>
      </c>
      <c r="H160" s="138" t="e">
        <f t="shared" ca="1" si="7"/>
        <v>#REF!</v>
      </c>
      <c r="I160" s="136" t="e">
        <f t="shared" ca="1" si="8"/>
        <v>#REF!</v>
      </c>
    </row>
    <row r="161" spans="1:9" hidden="1" x14ac:dyDescent="0.25">
      <c r="A161" s="114" t="s">
        <v>306</v>
      </c>
      <c r="B161" s="115" t="s">
        <v>1709</v>
      </c>
      <c r="C161" s="116" t="s">
        <v>93</v>
      </c>
      <c r="D161" s="116">
        <v>0</v>
      </c>
      <c r="E161" s="135">
        <f ca="1">OFFSET(INDEX(Composições!A:J,MATCH(Orçamentária!A161,Composições!A:A,0),8),2,0)</f>
        <v>21.4542851</v>
      </c>
      <c r="F161" s="136">
        <f t="shared" ca="1" si="6"/>
        <v>0</v>
      </c>
      <c r="G161" s="137" t="e">
        <f>IF(A161&lt;&gt;"",IF(AND(#REF!="Padrão",$H$4=#REF!),BDI!$B$17,IF(AND(#REF!="Padrão",$H$4=#REF!),BDI!#REF!,IF(AND(#REF!="Diferenciado",$H$4=#REF!),BDI!$E$17,IF(AND(#REF!="Diferenciado",$H$4=#REF!),BDI!#REF!,IF(#REF!="ZERO",0))))),"")</f>
        <v>#REF!</v>
      </c>
      <c r="H161" s="138" t="e">
        <f t="shared" ca="1" si="7"/>
        <v>#REF!</v>
      </c>
      <c r="I161" s="136" t="e">
        <f t="shared" ca="1" si="8"/>
        <v>#REF!</v>
      </c>
    </row>
    <row r="162" spans="1:9" hidden="1" x14ac:dyDescent="0.25">
      <c r="A162" s="114" t="s">
        <v>309</v>
      </c>
      <c r="B162" s="115" t="s">
        <v>1710</v>
      </c>
      <c r="C162" s="116" t="s">
        <v>95</v>
      </c>
      <c r="D162" s="116">
        <v>0</v>
      </c>
      <c r="E162" s="135">
        <f ca="1">OFFSET(INDEX(Composições!A:J,MATCH(Orçamentária!A162,Composições!A:A,0),8),2,0)</f>
        <v>108.16699999999999</v>
      </c>
      <c r="F162" s="136">
        <f t="shared" ca="1" si="6"/>
        <v>0</v>
      </c>
      <c r="G162" s="137" t="e">
        <f>IF(A162&lt;&gt;"",IF(AND(#REF!="Padrão",$H$4=#REF!),BDI!$B$17,IF(AND(#REF!="Padrão",$H$4=#REF!),BDI!#REF!,IF(AND(#REF!="Diferenciado",$H$4=#REF!),BDI!$E$17,IF(AND(#REF!="Diferenciado",$H$4=#REF!),BDI!#REF!,IF(#REF!="ZERO",0))))),"")</f>
        <v>#REF!</v>
      </c>
      <c r="H162" s="138" t="e">
        <f t="shared" ca="1" si="7"/>
        <v>#REF!</v>
      </c>
      <c r="I162" s="136" t="e">
        <f t="shared" ca="1" si="8"/>
        <v>#REF!</v>
      </c>
    </row>
    <row r="163" spans="1:9" hidden="1" x14ac:dyDescent="0.25">
      <c r="A163" s="114" t="s">
        <v>311</v>
      </c>
      <c r="B163" s="115" t="s">
        <v>1711</v>
      </c>
      <c r="C163" s="116" t="s">
        <v>95</v>
      </c>
      <c r="D163" s="116">
        <v>0</v>
      </c>
      <c r="E163" s="135">
        <f ca="1">OFFSET(INDEX(Composições!A:J,MATCH(Orçamentária!A163,Composições!A:A,0),8),2,0)</f>
        <v>140.36249999999998</v>
      </c>
      <c r="F163" s="136">
        <f t="shared" ca="1" si="6"/>
        <v>0</v>
      </c>
      <c r="G163" s="137" t="e">
        <f>IF(A163&lt;&gt;"",IF(AND(#REF!="Padrão",$H$4=#REF!),BDI!$B$17,IF(AND(#REF!="Padrão",$H$4=#REF!),BDI!#REF!,IF(AND(#REF!="Diferenciado",$H$4=#REF!),BDI!$E$17,IF(AND(#REF!="Diferenciado",$H$4=#REF!),BDI!#REF!,IF(#REF!="ZERO",0))))),"")</f>
        <v>#REF!</v>
      </c>
      <c r="H163" s="138" t="e">
        <f t="shared" ca="1" si="7"/>
        <v>#REF!</v>
      </c>
      <c r="I163" s="136" t="e">
        <f t="shared" ca="1" si="8"/>
        <v>#REF!</v>
      </c>
    </row>
    <row r="164" spans="1:9" hidden="1" x14ac:dyDescent="0.25">
      <c r="A164" s="114" t="s">
        <v>313</v>
      </c>
      <c r="B164" s="115" t="s">
        <v>1712</v>
      </c>
      <c r="C164" s="116" t="s">
        <v>95</v>
      </c>
      <c r="D164" s="116">
        <v>0</v>
      </c>
      <c r="E164" s="135">
        <f ca="1">OFFSET(INDEX(Composições!A:J,MATCH(Orçamentária!A164,Composições!A:A,0),8),2,0)</f>
        <v>41.591000000000001</v>
      </c>
      <c r="F164" s="136">
        <f t="shared" ca="1" si="6"/>
        <v>0</v>
      </c>
      <c r="G164" s="137" t="e">
        <f>IF(A164&lt;&gt;"",IF(AND(#REF!="Padrão",$H$4=#REF!),BDI!$B$17,IF(AND(#REF!="Padrão",$H$4=#REF!),BDI!#REF!,IF(AND(#REF!="Diferenciado",$H$4=#REF!),BDI!$E$17,IF(AND(#REF!="Diferenciado",$H$4=#REF!),BDI!#REF!,IF(#REF!="ZERO",0))))),"")</f>
        <v>#REF!</v>
      </c>
      <c r="H164" s="138" t="e">
        <f t="shared" ca="1" si="7"/>
        <v>#REF!</v>
      </c>
      <c r="I164" s="136" t="e">
        <f t="shared" ca="1" si="8"/>
        <v>#REF!</v>
      </c>
    </row>
    <row r="165" spans="1:9" hidden="1" x14ac:dyDescent="0.25">
      <c r="A165" s="114" t="s">
        <v>314</v>
      </c>
      <c r="B165" s="115" t="s">
        <v>1713</v>
      </c>
      <c r="C165" s="116" t="s">
        <v>20</v>
      </c>
      <c r="D165" s="116">
        <v>0</v>
      </c>
      <c r="E165" s="135">
        <f ca="1">OFFSET(INDEX(Composições!A:J,MATCH(Orçamentária!A165,Composições!A:A,0),8),2,0)</f>
        <v>67.885375499999995</v>
      </c>
      <c r="F165" s="136">
        <f t="shared" ca="1" si="6"/>
        <v>0</v>
      </c>
      <c r="G165" s="137" t="e">
        <f>IF(A165&lt;&gt;"",IF(AND(#REF!="Padrão",$H$4=#REF!),BDI!$B$17,IF(AND(#REF!="Padrão",$H$4=#REF!),BDI!#REF!,IF(AND(#REF!="Diferenciado",$H$4=#REF!),BDI!$E$17,IF(AND(#REF!="Diferenciado",$H$4=#REF!),BDI!#REF!,IF(#REF!="ZERO",0))))),"")</f>
        <v>#REF!</v>
      </c>
      <c r="H165" s="138" t="e">
        <f t="shared" ca="1" si="7"/>
        <v>#REF!</v>
      </c>
      <c r="I165" s="136" t="e">
        <f t="shared" ca="1" si="8"/>
        <v>#REF!</v>
      </c>
    </row>
    <row r="166" spans="1:9" hidden="1" x14ac:dyDescent="0.25">
      <c r="A166" s="114" t="s">
        <v>315</v>
      </c>
      <c r="B166" s="115" t="s">
        <v>1714</v>
      </c>
      <c r="C166" s="116" t="s">
        <v>93</v>
      </c>
      <c r="D166" s="116">
        <v>0</v>
      </c>
      <c r="E166" s="135">
        <f ca="1">OFFSET(INDEX(Composições!A:J,MATCH(Orçamentária!A166,Composições!A:A,0),8),2,0)</f>
        <v>6.6366695999999994</v>
      </c>
      <c r="F166" s="136">
        <f t="shared" ca="1" si="6"/>
        <v>0</v>
      </c>
      <c r="G166" s="137" t="e">
        <f>IF(A166&lt;&gt;"",IF(AND(#REF!="Padrão",$H$4=#REF!),BDI!$B$17,IF(AND(#REF!="Padrão",$H$4=#REF!),BDI!#REF!,IF(AND(#REF!="Diferenciado",$H$4=#REF!),BDI!$E$17,IF(AND(#REF!="Diferenciado",$H$4=#REF!),BDI!#REF!,IF(#REF!="ZERO",0))))),"")</f>
        <v>#REF!</v>
      </c>
      <c r="H166" s="138" t="e">
        <f t="shared" ca="1" si="7"/>
        <v>#REF!</v>
      </c>
      <c r="I166" s="136" t="e">
        <f t="shared" ca="1" si="8"/>
        <v>#REF!</v>
      </c>
    </row>
    <row r="167" spans="1:9" hidden="1" x14ac:dyDescent="0.25">
      <c r="A167" s="114" t="s">
        <v>1715</v>
      </c>
      <c r="B167" s="115" t="s">
        <v>1716</v>
      </c>
      <c r="C167" s="116" t="s">
        <v>95</v>
      </c>
      <c r="D167" s="116">
        <v>0</v>
      </c>
      <c r="E167" s="135" t="s">
        <v>558</v>
      </c>
      <c r="F167" s="136" t="str">
        <f t="shared" si="6"/>
        <v/>
      </c>
      <c r="G167" s="137" t="e">
        <f>IF(A167&lt;&gt;"",IF(AND(#REF!="Padrão",$H$4=#REF!),BDI!$B$17,IF(AND(#REF!="Padrão",$H$4=#REF!),BDI!#REF!,IF(AND(#REF!="Diferenciado",$H$4=#REF!),BDI!$E$17,IF(AND(#REF!="Diferenciado",$H$4=#REF!),BDI!#REF!,IF(#REF!="ZERO",0))))),"")</f>
        <v>#REF!</v>
      </c>
      <c r="H167" s="138" t="str">
        <f t="shared" si="7"/>
        <v/>
      </c>
      <c r="I167" s="136" t="str">
        <f t="shared" si="8"/>
        <v/>
      </c>
    </row>
    <row r="168" spans="1:9" hidden="1" x14ac:dyDescent="0.25">
      <c r="A168" s="114" t="s">
        <v>1717</v>
      </c>
      <c r="B168" s="115" t="s">
        <v>1718</v>
      </c>
      <c r="C168" s="116" t="s">
        <v>95</v>
      </c>
      <c r="D168" s="116">
        <v>0</v>
      </c>
      <c r="E168" s="135" t="s">
        <v>558</v>
      </c>
      <c r="F168" s="136" t="str">
        <f t="shared" si="6"/>
        <v/>
      </c>
      <c r="G168" s="137" t="e">
        <f>IF(A168&lt;&gt;"",IF(AND(#REF!="Padrão",$H$4=#REF!),BDI!$B$17,IF(AND(#REF!="Padrão",$H$4=#REF!),BDI!#REF!,IF(AND(#REF!="Diferenciado",$H$4=#REF!),BDI!$E$17,IF(AND(#REF!="Diferenciado",$H$4=#REF!),BDI!#REF!,IF(#REF!="ZERO",0))))),"")</f>
        <v>#REF!</v>
      </c>
      <c r="H168" s="138" t="str">
        <f t="shared" si="7"/>
        <v/>
      </c>
      <c r="I168" s="136" t="str">
        <f t="shared" si="8"/>
        <v/>
      </c>
    </row>
    <row r="169" spans="1:9" hidden="1" x14ac:dyDescent="0.25">
      <c r="A169" s="114" t="s">
        <v>1719</v>
      </c>
      <c r="B169" s="115" t="s">
        <v>1720</v>
      </c>
      <c r="C169" s="116" t="s">
        <v>95</v>
      </c>
      <c r="D169" s="116">
        <v>0</v>
      </c>
      <c r="E169" s="135" t="s">
        <v>558</v>
      </c>
      <c r="F169" s="136" t="str">
        <f t="shared" si="6"/>
        <v/>
      </c>
      <c r="G169" s="137" t="e">
        <f>IF(A169&lt;&gt;"",IF(AND(#REF!="Padrão",$H$4=#REF!),BDI!$B$17,IF(AND(#REF!="Padrão",$H$4=#REF!),BDI!#REF!,IF(AND(#REF!="Diferenciado",$H$4=#REF!),BDI!$E$17,IF(AND(#REF!="Diferenciado",$H$4=#REF!),BDI!#REF!,IF(#REF!="ZERO",0))))),"")</f>
        <v>#REF!</v>
      </c>
      <c r="H169" s="138" t="str">
        <f t="shared" si="7"/>
        <v/>
      </c>
      <c r="I169" s="136" t="str">
        <f t="shared" si="8"/>
        <v/>
      </c>
    </row>
    <row r="170" spans="1:9" hidden="1" x14ac:dyDescent="0.25">
      <c r="A170" s="114" t="s">
        <v>1721</v>
      </c>
      <c r="B170" s="115" t="s">
        <v>1722</v>
      </c>
      <c r="C170" s="116" t="s">
        <v>95</v>
      </c>
      <c r="D170" s="116">
        <v>0</v>
      </c>
      <c r="E170" s="135" t="s">
        <v>558</v>
      </c>
      <c r="F170" s="136" t="str">
        <f t="shared" si="6"/>
        <v/>
      </c>
      <c r="G170" s="137" t="e">
        <f>IF(A170&lt;&gt;"",IF(AND(#REF!="Padrão",$H$4=#REF!),BDI!$B$17,IF(AND(#REF!="Padrão",$H$4=#REF!),BDI!#REF!,IF(AND(#REF!="Diferenciado",$H$4=#REF!),BDI!$E$17,IF(AND(#REF!="Diferenciado",$H$4=#REF!),BDI!#REF!,IF(#REF!="ZERO",0))))),"")</f>
        <v>#REF!</v>
      </c>
      <c r="H170" s="138" t="str">
        <f t="shared" si="7"/>
        <v/>
      </c>
      <c r="I170" s="136" t="str">
        <f t="shared" si="8"/>
        <v/>
      </c>
    </row>
    <row r="171" spans="1:9" hidden="1" x14ac:dyDescent="0.25">
      <c r="A171" s="114" t="s">
        <v>316</v>
      </c>
      <c r="B171" s="115" t="s">
        <v>1723</v>
      </c>
      <c r="C171" s="116" t="s">
        <v>20</v>
      </c>
      <c r="D171" s="116">
        <v>0</v>
      </c>
      <c r="E171" s="135">
        <f ca="1">OFFSET(INDEX(Composições!A:J,MATCH(Orçamentária!A171,Composições!A:A,0),8),2,0)</f>
        <v>7.2028999999999996</v>
      </c>
      <c r="F171" s="136">
        <f t="shared" ca="1" si="6"/>
        <v>0</v>
      </c>
      <c r="G171" s="137" t="e">
        <f>IF(A171&lt;&gt;"",IF(AND(#REF!="Padrão",$H$4=#REF!),BDI!$B$17,IF(AND(#REF!="Padrão",$H$4=#REF!),BDI!#REF!,IF(AND(#REF!="Diferenciado",$H$4=#REF!),BDI!$E$17,IF(AND(#REF!="Diferenciado",$H$4=#REF!),BDI!#REF!,IF(#REF!="ZERO",0))))),"")</f>
        <v>#REF!</v>
      </c>
      <c r="H171" s="138" t="e">
        <f t="shared" ca="1" si="7"/>
        <v>#REF!</v>
      </c>
      <c r="I171" s="136" t="e">
        <f t="shared" ca="1" si="8"/>
        <v>#REF!</v>
      </c>
    </row>
    <row r="172" spans="1:9" hidden="1" x14ac:dyDescent="0.25">
      <c r="A172" s="114" t="s">
        <v>319</v>
      </c>
      <c r="B172" s="115" t="s">
        <v>1724</v>
      </c>
      <c r="C172" s="116" t="s">
        <v>93</v>
      </c>
      <c r="D172" s="116">
        <v>0</v>
      </c>
      <c r="E172" s="135">
        <f ca="1">OFFSET(INDEX(Composições!A:J,MATCH(Orçamentária!A172,Composições!A:A,0),8),2,0)</f>
        <v>59.45102279999999</v>
      </c>
      <c r="F172" s="136">
        <f t="shared" ca="1" si="6"/>
        <v>0</v>
      </c>
      <c r="G172" s="137" t="e">
        <f>IF(A172&lt;&gt;"",IF(AND(#REF!="Padrão",$H$4=#REF!),BDI!$B$17,IF(AND(#REF!="Padrão",$H$4=#REF!),BDI!#REF!,IF(AND(#REF!="Diferenciado",$H$4=#REF!),BDI!$E$17,IF(AND(#REF!="Diferenciado",$H$4=#REF!),BDI!#REF!,IF(#REF!="ZERO",0))))),"")</f>
        <v>#REF!</v>
      </c>
      <c r="H172" s="138" t="e">
        <f t="shared" ca="1" si="7"/>
        <v>#REF!</v>
      </c>
      <c r="I172" s="136" t="e">
        <f t="shared" ca="1" si="8"/>
        <v>#REF!</v>
      </c>
    </row>
    <row r="173" spans="1:9" hidden="1" x14ac:dyDescent="0.25">
      <c r="A173" s="114" t="s">
        <v>323</v>
      </c>
      <c r="B173" s="115" t="s">
        <v>1725</v>
      </c>
      <c r="C173" s="116" t="s">
        <v>93</v>
      </c>
      <c r="D173" s="116">
        <v>0</v>
      </c>
      <c r="E173" s="135">
        <f ca="1">OFFSET(INDEX(Composições!A:J,MATCH(Orçamentária!A173,Composições!A:A,0),8),2,0)</f>
        <v>18.371480000000002</v>
      </c>
      <c r="F173" s="136">
        <f t="shared" ca="1" si="6"/>
        <v>0</v>
      </c>
      <c r="G173" s="137" t="e">
        <f>IF(A173&lt;&gt;"",IF(AND(#REF!="Padrão",$H$4=#REF!),BDI!$B$17,IF(AND(#REF!="Padrão",$H$4=#REF!),BDI!#REF!,IF(AND(#REF!="Diferenciado",$H$4=#REF!),BDI!$E$17,IF(AND(#REF!="Diferenciado",$H$4=#REF!),BDI!#REF!,IF(#REF!="ZERO",0))))),"")</f>
        <v>#REF!</v>
      </c>
      <c r="H173" s="138" t="e">
        <f t="shared" ca="1" si="7"/>
        <v>#REF!</v>
      </c>
      <c r="I173" s="136" t="e">
        <f t="shared" ca="1" si="8"/>
        <v>#REF!</v>
      </c>
    </row>
    <row r="174" spans="1:9" hidden="1" x14ac:dyDescent="0.25">
      <c r="A174" s="114" t="s">
        <v>324</v>
      </c>
      <c r="B174" s="115" t="s">
        <v>1726</v>
      </c>
      <c r="C174" s="116" t="s">
        <v>93</v>
      </c>
      <c r="D174" s="116">
        <v>0</v>
      </c>
      <c r="E174" s="135">
        <f ca="1">OFFSET(INDEX(Composições!A:J,MATCH(Orçamentária!A174,Composições!A:A,0),8),2,0)</f>
        <v>25.288573449999998</v>
      </c>
      <c r="F174" s="136">
        <f t="shared" ca="1" si="6"/>
        <v>0</v>
      </c>
      <c r="G174" s="137" t="e">
        <f>IF(A174&lt;&gt;"",IF(AND(#REF!="Padrão",$H$4=#REF!),BDI!$B$17,IF(AND(#REF!="Padrão",$H$4=#REF!),BDI!#REF!,IF(AND(#REF!="Diferenciado",$H$4=#REF!),BDI!$E$17,IF(AND(#REF!="Diferenciado",$H$4=#REF!),BDI!#REF!,IF(#REF!="ZERO",0))))),"")</f>
        <v>#REF!</v>
      </c>
      <c r="H174" s="138" t="e">
        <f t="shared" ca="1" si="7"/>
        <v>#REF!</v>
      </c>
      <c r="I174" s="136" t="e">
        <f t="shared" ca="1" si="8"/>
        <v>#REF!</v>
      </c>
    </row>
    <row r="175" spans="1:9" hidden="1" x14ac:dyDescent="0.25">
      <c r="A175" s="114" t="s">
        <v>325</v>
      </c>
      <c r="B175" s="115" t="s">
        <v>1727</v>
      </c>
      <c r="C175" s="116" t="s">
        <v>93</v>
      </c>
      <c r="D175" s="116">
        <v>0</v>
      </c>
      <c r="E175" s="135">
        <f ca="1">OFFSET(INDEX(Composições!A:J,MATCH(Orçamentária!A175,Composições!A:A,0),8),2,0)</f>
        <v>37.515900899999998</v>
      </c>
      <c r="F175" s="136">
        <f t="shared" ca="1" si="6"/>
        <v>0</v>
      </c>
      <c r="G175" s="137" t="e">
        <f>IF(A175&lt;&gt;"",IF(AND(#REF!="Padrão",$H$4=#REF!),BDI!$B$17,IF(AND(#REF!="Padrão",$H$4=#REF!),BDI!#REF!,IF(AND(#REF!="Diferenciado",$H$4=#REF!),BDI!$E$17,IF(AND(#REF!="Diferenciado",$H$4=#REF!),BDI!#REF!,IF(#REF!="ZERO",0))))),"")</f>
        <v>#REF!</v>
      </c>
      <c r="H175" s="138" t="e">
        <f t="shared" ca="1" si="7"/>
        <v>#REF!</v>
      </c>
      <c r="I175" s="136" t="e">
        <f t="shared" ca="1" si="8"/>
        <v>#REF!</v>
      </c>
    </row>
    <row r="176" spans="1:9" hidden="1" x14ac:dyDescent="0.25">
      <c r="A176" s="114" t="s">
        <v>326</v>
      </c>
      <c r="B176" s="115" t="s">
        <v>6435</v>
      </c>
      <c r="C176" s="116" t="s">
        <v>93</v>
      </c>
      <c r="D176" s="116">
        <v>0</v>
      </c>
      <c r="E176" s="135">
        <f ca="1">OFFSET(INDEX(Composições!A:J,MATCH(Orçamentária!A176,Composições!A:A,0),8),2,0)</f>
        <v>4.6848869999999998</v>
      </c>
      <c r="F176" s="136">
        <f t="shared" ca="1" si="6"/>
        <v>0</v>
      </c>
      <c r="G176" s="137" t="e">
        <f>IF(A176&lt;&gt;"",IF(AND(#REF!="Padrão",$H$4=#REF!),BDI!$B$17,IF(AND(#REF!="Padrão",$H$4=#REF!),BDI!#REF!,IF(AND(#REF!="Diferenciado",$H$4=#REF!),BDI!$E$17,IF(AND(#REF!="Diferenciado",$H$4=#REF!),BDI!#REF!,IF(#REF!="ZERO",0))))),"")</f>
        <v>#REF!</v>
      </c>
      <c r="H176" s="138" t="e">
        <f t="shared" ca="1" si="7"/>
        <v>#REF!</v>
      </c>
      <c r="I176" s="136" t="e">
        <f t="shared" ca="1" si="8"/>
        <v>#REF!</v>
      </c>
    </row>
    <row r="177" spans="1:9" hidden="1" x14ac:dyDescent="0.25">
      <c r="A177" s="114" t="s">
        <v>328</v>
      </c>
      <c r="B177" s="115" t="s">
        <v>6436</v>
      </c>
      <c r="C177" s="116" t="s">
        <v>93</v>
      </c>
      <c r="D177" s="116">
        <v>0</v>
      </c>
      <c r="E177" s="135">
        <f ca="1">OFFSET(INDEX(Composições!A:J,MATCH(Orçamentária!A177,Composições!A:A,0),8),2,0)</f>
        <v>9.8929484999999975</v>
      </c>
      <c r="F177" s="136">
        <f t="shared" ca="1" si="6"/>
        <v>0</v>
      </c>
      <c r="G177" s="137" t="e">
        <f>IF(A177&lt;&gt;"",IF(AND(#REF!="Padrão",$H$4=#REF!),BDI!$B$17,IF(AND(#REF!="Padrão",$H$4=#REF!),BDI!#REF!,IF(AND(#REF!="Diferenciado",$H$4=#REF!),BDI!$E$17,IF(AND(#REF!="Diferenciado",$H$4=#REF!),BDI!#REF!,IF(#REF!="ZERO",0))))),"")</f>
        <v>#REF!</v>
      </c>
      <c r="H177" s="138" t="e">
        <f t="shared" ca="1" si="7"/>
        <v>#REF!</v>
      </c>
      <c r="I177" s="136" t="e">
        <f t="shared" ca="1" si="8"/>
        <v>#REF!</v>
      </c>
    </row>
    <row r="178" spans="1:9" hidden="1" x14ac:dyDescent="0.25">
      <c r="A178" s="114" t="s">
        <v>330</v>
      </c>
      <c r="B178" s="115" t="s">
        <v>6437</v>
      </c>
      <c r="C178" s="116" t="s">
        <v>93</v>
      </c>
      <c r="D178" s="116">
        <v>0</v>
      </c>
      <c r="E178" s="135">
        <f ca="1">OFFSET(INDEX(Composições!A:J,MATCH(Orçamentária!A178,Composições!A:A,0),8),2,0)</f>
        <v>14.210574999999999</v>
      </c>
      <c r="F178" s="136">
        <f t="shared" ca="1" si="6"/>
        <v>0</v>
      </c>
      <c r="G178" s="137" t="e">
        <f>IF(A178&lt;&gt;"",IF(AND(#REF!="Padrão",$H$4=#REF!),BDI!$B$17,IF(AND(#REF!="Padrão",$H$4=#REF!),BDI!#REF!,IF(AND(#REF!="Diferenciado",$H$4=#REF!),BDI!$E$17,IF(AND(#REF!="Diferenciado",$H$4=#REF!),BDI!#REF!,IF(#REF!="ZERO",0))))),"")</f>
        <v>#REF!</v>
      </c>
      <c r="H178" s="138" t="e">
        <f t="shared" ca="1" si="7"/>
        <v>#REF!</v>
      </c>
      <c r="I178" s="136" t="e">
        <f t="shared" ca="1" si="8"/>
        <v>#REF!</v>
      </c>
    </row>
    <row r="179" spans="1:9" hidden="1" x14ac:dyDescent="0.25">
      <c r="A179" s="114" t="s">
        <v>332</v>
      </c>
      <c r="B179" s="115" t="s">
        <v>6438</v>
      </c>
      <c r="C179" s="116" t="s">
        <v>93</v>
      </c>
      <c r="D179" s="116">
        <v>0</v>
      </c>
      <c r="E179" s="135">
        <f ca="1">OFFSET(INDEX(Composições!A:J,MATCH(Orçamentária!A179,Composições!A:A,0),8),2,0)</f>
        <v>16.337729499999998</v>
      </c>
      <c r="F179" s="136">
        <f t="shared" ca="1" si="6"/>
        <v>0</v>
      </c>
      <c r="G179" s="137" t="e">
        <f>IF(A179&lt;&gt;"",IF(AND(#REF!="Padrão",$H$4=#REF!),BDI!$B$17,IF(AND(#REF!="Padrão",$H$4=#REF!),BDI!#REF!,IF(AND(#REF!="Diferenciado",$H$4=#REF!),BDI!$E$17,IF(AND(#REF!="Diferenciado",$H$4=#REF!),BDI!#REF!,IF(#REF!="ZERO",0))))),"")</f>
        <v>#REF!</v>
      </c>
      <c r="H179" s="138" t="e">
        <f t="shared" ca="1" si="7"/>
        <v>#REF!</v>
      </c>
      <c r="I179" s="136" t="e">
        <f t="shared" ca="1" si="8"/>
        <v>#REF!</v>
      </c>
    </row>
    <row r="180" spans="1:9" hidden="1" x14ac:dyDescent="0.25">
      <c r="A180" s="114" t="s">
        <v>334</v>
      </c>
      <c r="B180" s="115" t="s">
        <v>1728</v>
      </c>
      <c r="C180" s="116" t="s">
        <v>20</v>
      </c>
      <c r="D180" s="116">
        <v>0</v>
      </c>
      <c r="E180" s="135">
        <f ca="1">OFFSET(INDEX(Composições!A:J,MATCH(Orçamentária!A180,Composições!A:A,0),8),2,0)</f>
        <v>10.821706499999999</v>
      </c>
      <c r="F180" s="136">
        <f t="shared" ca="1" si="6"/>
        <v>0</v>
      </c>
      <c r="G180" s="137" t="e">
        <f>IF(A180&lt;&gt;"",IF(AND(#REF!="Padrão",$H$4=#REF!),BDI!$B$17,IF(AND(#REF!="Padrão",$H$4=#REF!),BDI!#REF!,IF(AND(#REF!="Diferenciado",$H$4=#REF!),BDI!$E$17,IF(AND(#REF!="Diferenciado",$H$4=#REF!),BDI!#REF!,IF(#REF!="ZERO",0))))),"")</f>
        <v>#REF!</v>
      </c>
      <c r="H180" s="138" t="e">
        <f t="shared" ca="1" si="7"/>
        <v>#REF!</v>
      </c>
      <c r="I180" s="136" t="e">
        <f t="shared" ca="1" si="8"/>
        <v>#REF!</v>
      </c>
    </row>
    <row r="181" spans="1:9" hidden="1" x14ac:dyDescent="0.25">
      <c r="A181" s="114" t="s">
        <v>337</v>
      </c>
      <c r="B181" s="115" t="s">
        <v>1729</v>
      </c>
      <c r="C181" s="116" t="s">
        <v>20</v>
      </c>
      <c r="D181" s="116">
        <v>0</v>
      </c>
      <c r="E181" s="135">
        <f ca="1">OFFSET(INDEX(Composições!A:J,MATCH(Orçamentária!A181,Composições!A:A,0),8),2,0)</f>
        <v>75.649665650000003</v>
      </c>
      <c r="F181" s="136">
        <f t="shared" ca="1" si="6"/>
        <v>0</v>
      </c>
      <c r="G181" s="137" t="e">
        <f>IF(A181&lt;&gt;"",IF(AND(#REF!="Padrão",$H$4=#REF!),BDI!$B$17,IF(AND(#REF!="Padrão",$H$4=#REF!),BDI!#REF!,IF(AND(#REF!="Diferenciado",$H$4=#REF!),BDI!$E$17,IF(AND(#REF!="Diferenciado",$H$4=#REF!),BDI!#REF!,IF(#REF!="ZERO",0))))),"")</f>
        <v>#REF!</v>
      </c>
      <c r="H181" s="138" t="e">
        <f t="shared" ca="1" si="7"/>
        <v>#REF!</v>
      </c>
      <c r="I181" s="136" t="e">
        <f t="shared" ca="1" si="8"/>
        <v>#REF!</v>
      </c>
    </row>
    <row r="182" spans="1:9" hidden="1" x14ac:dyDescent="0.25">
      <c r="A182" s="114" t="s">
        <v>341</v>
      </c>
      <c r="B182" s="115" t="s">
        <v>1730</v>
      </c>
      <c r="C182" s="116" t="s">
        <v>20</v>
      </c>
      <c r="D182" s="116">
        <v>0</v>
      </c>
      <c r="E182" s="135">
        <f ca="1">OFFSET(INDEX(Composições!A:J,MATCH(Orçamentária!A182,Composições!A:A,0),8),2,0)</f>
        <v>134.31216565</v>
      </c>
      <c r="F182" s="136">
        <f t="shared" ca="1" si="6"/>
        <v>0</v>
      </c>
      <c r="G182" s="137" t="e">
        <f>IF(A182&lt;&gt;"",IF(AND(#REF!="Padrão",$H$4=#REF!),BDI!$B$17,IF(AND(#REF!="Padrão",$H$4=#REF!),BDI!#REF!,IF(AND(#REF!="Diferenciado",$H$4=#REF!),BDI!$E$17,IF(AND(#REF!="Diferenciado",$H$4=#REF!),BDI!#REF!,IF(#REF!="ZERO",0))))),"")</f>
        <v>#REF!</v>
      </c>
      <c r="H182" s="138" t="e">
        <f t="shared" ca="1" si="7"/>
        <v>#REF!</v>
      </c>
      <c r="I182" s="136" t="e">
        <f t="shared" ca="1" si="8"/>
        <v>#REF!</v>
      </c>
    </row>
    <row r="183" spans="1:9" hidden="1" x14ac:dyDescent="0.25">
      <c r="A183" s="114" t="s">
        <v>343</v>
      </c>
      <c r="B183" s="115" t="s">
        <v>1731</v>
      </c>
      <c r="C183" s="116" t="s">
        <v>20</v>
      </c>
      <c r="D183" s="116">
        <v>0</v>
      </c>
      <c r="E183" s="135">
        <f ca="1">OFFSET(INDEX(Composições!A:J,MATCH(Orçamentária!A183,Composições!A:A,0),8),2,0)</f>
        <v>2.5094249999999998</v>
      </c>
      <c r="F183" s="136">
        <f t="shared" ca="1" si="6"/>
        <v>0</v>
      </c>
      <c r="G183" s="137" t="e">
        <f>IF(A183&lt;&gt;"",IF(AND(#REF!="Padrão",$H$4=#REF!),BDI!$B$17,IF(AND(#REF!="Padrão",$H$4=#REF!),BDI!#REF!,IF(AND(#REF!="Diferenciado",$H$4=#REF!),BDI!$E$17,IF(AND(#REF!="Diferenciado",$H$4=#REF!),BDI!#REF!,IF(#REF!="ZERO",0))))),"")</f>
        <v>#REF!</v>
      </c>
      <c r="H183" s="138" t="e">
        <f t="shared" ca="1" si="7"/>
        <v>#REF!</v>
      </c>
      <c r="I183" s="136" t="e">
        <f t="shared" ca="1" si="8"/>
        <v>#REF!</v>
      </c>
    </row>
    <row r="184" spans="1:9" hidden="1" x14ac:dyDescent="0.25">
      <c r="A184" s="114" t="s">
        <v>345</v>
      </c>
      <c r="B184" s="115" t="s">
        <v>1732</v>
      </c>
      <c r="C184" s="116" t="s">
        <v>20</v>
      </c>
      <c r="D184" s="116">
        <v>0</v>
      </c>
      <c r="E184" s="135">
        <f ca="1">OFFSET(INDEX(Composições!A:J,MATCH(Orçamentária!A184,Composições!A:A,0),8),2,0)</f>
        <v>2.5094249999999998</v>
      </c>
      <c r="F184" s="136">
        <f t="shared" ca="1" si="6"/>
        <v>0</v>
      </c>
      <c r="G184" s="137" t="e">
        <f>IF(A184&lt;&gt;"",IF(AND(#REF!="Padrão",$H$4=#REF!),BDI!$B$17,IF(AND(#REF!="Padrão",$H$4=#REF!),BDI!#REF!,IF(AND(#REF!="Diferenciado",$H$4=#REF!),BDI!$E$17,IF(AND(#REF!="Diferenciado",$H$4=#REF!),BDI!#REF!,IF(#REF!="ZERO",0))))),"")</f>
        <v>#REF!</v>
      </c>
      <c r="H184" s="138" t="e">
        <f t="shared" ca="1" si="7"/>
        <v>#REF!</v>
      </c>
      <c r="I184" s="136" t="e">
        <f t="shared" ca="1" si="8"/>
        <v>#REF!</v>
      </c>
    </row>
    <row r="185" spans="1:9" hidden="1" x14ac:dyDescent="0.25">
      <c r="A185" s="114" t="s">
        <v>347</v>
      </c>
      <c r="B185" s="115" t="s">
        <v>1733</v>
      </c>
      <c r="C185" s="116" t="s">
        <v>20</v>
      </c>
      <c r="D185" s="116">
        <v>0</v>
      </c>
      <c r="E185" s="135">
        <f ca="1">OFFSET(INDEX(Composições!A:J,MATCH(Orçamentária!A185,Composições!A:A,0),8),2,0)</f>
        <v>12.387454699999999</v>
      </c>
      <c r="F185" s="136">
        <f t="shared" ca="1" si="6"/>
        <v>0</v>
      </c>
      <c r="G185" s="137" t="e">
        <f>IF(A185&lt;&gt;"",IF(AND(#REF!="Padrão",$H$4=#REF!),BDI!$B$17,IF(AND(#REF!="Padrão",$H$4=#REF!),BDI!#REF!,IF(AND(#REF!="Diferenciado",$H$4=#REF!),BDI!$E$17,IF(AND(#REF!="Diferenciado",$H$4=#REF!),BDI!#REF!,IF(#REF!="ZERO",0))))),"")</f>
        <v>#REF!</v>
      </c>
      <c r="H185" s="138" t="e">
        <f t="shared" ca="1" si="7"/>
        <v>#REF!</v>
      </c>
      <c r="I185" s="136" t="e">
        <f t="shared" ca="1" si="8"/>
        <v>#REF!</v>
      </c>
    </row>
    <row r="186" spans="1:9" hidden="1" x14ac:dyDescent="0.25">
      <c r="A186" s="114" t="s">
        <v>349</v>
      </c>
      <c r="B186" s="115" t="s">
        <v>6361</v>
      </c>
      <c r="C186" s="116" t="s">
        <v>20</v>
      </c>
      <c r="D186" s="116">
        <v>0</v>
      </c>
      <c r="E186" s="135">
        <f ca="1">OFFSET(INDEX(Composições!A:J,MATCH(Orçamentária!A186,Composições!A:A,0),8),2,0)</f>
        <v>1.6729499999999999</v>
      </c>
      <c r="F186" s="136">
        <f t="shared" ca="1" si="6"/>
        <v>0</v>
      </c>
      <c r="G186" s="137" t="e">
        <f>IF(A186&lt;&gt;"",IF(AND(#REF!="Padrão",$H$4=#REF!),BDI!$B$17,IF(AND(#REF!="Padrão",$H$4=#REF!),BDI!#REF!,IF(AND(#REF!="Diferenciado",$H$4=#REF!),BDI!$E$17,IF(AND(#REF!="Diferenciado",$H$4=#REF!),BDI!#REF!,IF(#REF!="ZERO",0))))),"")</f>
        <v>#REF!</v>
      </c>
      <c r="H186" s="138" t="e">
        <f t="shared" ca="1" si="7"/>
        <v>#REF!</v>
      </c>
      <c r="I186" s="136" t="e">
        <f t="shared" ca="1" si="8"/>
        <v>#REF!</v>
      </c>
    </row>
    <row r="187" spans="1:9" hidden="1" x14ac:dyDescent="0.25">
      <c r="A187" s="114" t="s">
        <v>351</v>
      </c>
      <c r="B187" s="115" t="s">
        <v>1734</v>
      </c>
      <c r="C187" s="116" t="s">
        <v>20</v>
      </c>
      <c r="D187" s="116">
        <v>0</v>
      </c>
      <c r="E187" s="135">
        <f ca="1">OFFSET(INDEX(Composições!A:J,MATCH(Orçamentária!A187,Composições!A:A,0),8),2,0)</f>
        <v>191.16820169999997</v>
      </c>
      <c r="F187" s="136">
        <f t="shared" ca="1" si="6"/>
        <v>0</v>
      </c>
      <c r="G187" s="137" t="e">
        <f>IF(A187&lt;&gt;"",IF(AND(#REF!="Padrão",$H$4=#REF!),BDI!$B$17,IF(AND(#REF!="Padrão",$H$4=#REF!),BDI!#REF!,IF(AND(#REF!="Diferenciado",$H$4=#REF!),BDI!$E$17,IF(AND(#REF!="Diferenciado",$H$4=#REF!),BDI!#REF!,IF(#REF!="ZERO",0))))),"")</f>
        <v>#REF!</v>
      </c>
      <c r="H187" s="138" t="e">
        <f t="shared" ca="1" si="7"/>
        <v>#REF!</v>
      </c>
      <c r="I187" s="136" t="e">
        <f t="shared" ca="1" si="8"/>
        <v>#REF!</v>
      </c>
    </row>
    <row r="188" spans="1:9" hidden="1" x14ac:dyDescent="0.25">
      <c r="A188" s="114" t="s">
        <v>354</v>
      </c>
      <c r="B188" s="115" t="s">
        <v>1735</v>
      </c>
      <c r="C188" s="116" t="s">
        <v>20</v>
      </c>
      <c r="D188" s="116">
        <v>0</v>
      </c>
      <c r="E188" s="135">
        <f ca="1">OFFSET(INDEX(Composições!A:J,MATCH(Orçamentária!A188,Composições!A:A,0),8),2,0)</f>
        <v>52.563201699999993</v>
      </c>
      <c r="F188" s="136">
        <f t="shared" ca="1" si="6"/>
        <v>0</v>
      </c>
      <c r="G188" s="137" t="e">
        <f>IF(A188&lt;&gt;"",IF(AND(#REF!="Padrão",$H$4=#REF!),BDI!$B$17,IF(AND(#REF!="Padrão",$H$4=#REF!),BDI!#REF!,IF(AND(#REF!="Diferenciado",$H$4=#REF!),BDI!$E$17,IF(AND(#REF!="Diferenciado",$H$4=#REF!),BDI!#REF!,IF(#REF!="ZERO",0))))),"")</f>
        <v>#REF!</v>
      </c>
      <c r="H188" s="138" t="e">
        <f t="shared" ca="1" si="7"/>
        <v>#REF!</v>
      </c>
      <c r="I188" s="136" t="e">
        <f t="shared" ca="1" si="8"/>
        <v>#REF!</v>
      </c>
    </row>
    <row r="189" spans="1:9" hidden="1" x14ac:dyDescent="0.25">
      <c r="A189" s="114" t="s">
        <v>356</v>
      </c>
      <c r="B189" s="115" t="s">
        <v>1736</v>
      </c>
      <c r="C189" s="116" t="s">
        <v>20</v>
      </c>
      <c r="D189" s="116">
        <v>0</v>
      </c>
      <c r="E189" s="135">
        <f ca="1">OFFSET(INDEX(Composições!A:J,MATCH(Orçamentária!A189,Composições!A:A,0),8),2,0)</f>
        <v>33.460643500000003</v>
      </c>
      <c r="F189" s="136">
        <f t="shared" ca="1" si="6"/>
        <v>0</v>
      </c>
      <c r="G189" s="137" t="e">
        <f>IF(A189&lt;&gt;"",IF(AND(#REF!="Padrão",$H$4=#REF!),BDI!$B$17,IF(AND(#REF!="Padrão",$H$4=#REF!),BDI!#REF!,IF(AND(#REF!="Diferenciado",$H$4=#REF!),BDI!$E$17,IF(AND(#REF!="Diferenciado",$H$4=#REF!),BDI!#REF!,IF(#REF!="ZERO",0))))),"")</f>
        <v>#REF!</v>
      </c>
      <c r="H189" s="138" t="e">
        <f t="shared" ca="1" si="7"/>
        <v>#REF!</v>
      </c>
      <c r="I189" s="136" t="e">
        <f t="shared" ca="1" si="8"/>
        <v>#REF!</v>
      </c>
    </row>
    <row r="190" spans="1:9" hidden="1" x14ac:dyDescent="0.25">
      <c r="A190" s="114" t="s">
        <v>359</v>
      </c>
      <c r="B190" s="115" t="s">
        <v>6362</v>
      </c>
      <c r="C190" s="116" t="s">
        <v>20</v>
      </c>
      <c r="D190" s="116">
        <v>0</v>
      </c>
      <c r="E190" s="135">
        <f ca="1">OFFSET(INDEX(Composições!A:J,MATCH(Orçamentária!A190,Composições!A:A,0),8),2,0)</f>
        <v>18.883203199999997</v>
      </c>
      <c r="F190" s="136">
        <f t="shared" ca="1" si="6"/>
        <v>0</v>
      </c>
      <c r="G190" s="137" t="e">
        <f>IF(A190&lt;&gt;"",IF(AND(#REF!="Padrão",$H$4=#REF!),BDI!$B$17,IF(AND(#REF!="Padrão",$H$4=#REF!),BDI!#REF!,IF(AND(#REF!="Diferenciado",$H$4=#REF!),BDI!$E$17,IF(AND(#REF!="Diferenciado",$H$4=#REF!),BDI!#REF!,IF(#REF!="ZERO",0))))),"")</f>
        <v>#REF!</v>
      </c>
      <c r="H190" s="138" t="e">
        <f t="shared" ca="1" si="7"/>
        <v>#REF!</v>
      </c>
      <c r="I190" s="136" t="e">
        <f t="shared" ca="1" si="8"/>
        <v>#REF!</v>
      </c>
    </row>
    <row r="191" spans="1:9" hidden="1" x14ac:dyDescent="0.25">
      <c r="A191" s="114" t="s">
        <v>361</v>
      </c>
      <c r="B191" s="115" t="s">
        <v>1737</v>
      </c>
      <c r="C191" s="116" t="s">
        <v>20</v>
      </c>
      <c r="D191" s="116">
        <v>0</v>
      </c>
      <c r="E191" s="135">
        <f ca="1">OFFSET(INDEX(Composições!A:J,MATCH(Orçamentária!A191,Composições!A:A,0),8),2,0)</f>
        <v>33.460643500000003</v>
      </c>
      <c r="F191" s="136">
        <f t="shared" ca="1" si="6"/>
        <v>0</v>
      </c>
      <c r="G191" s="137" t="e">
        <f>IF(A191&lt;&gt;"",IF(AND(#REF!="Padrão",$H$4=#REF!),BDI!$B$17,IF(AND(#REF!="Padrão",$H$4=#REF!),BDI!#REF!,IF(AND(#REF!="Diferenciado",$H$4=#REF!),BDI!$E$17,IF(AND(#REF!="Diferenciado",$H$4=#REF!),BDI!#REF!,IF(#REF!="ZERO",0))))),"")</f>
        <v>#REF!</v>
      </c>
      <c r="H191" s="138" t="e">
        <f t="shared" ca="1" si="7"/>
        <v>#REF!</v>
      </c>
      <c r="I191" s="136" t="e">
        <f t="shared" ca="1" si="8"/>
        <v>#REF!</v>
      </c>
    </row>
    <row r="192" spans="1:9" hidden="1" x14ac:dyDescent="0.25">
      <c r="A192" s="114" t="s">
        <v>363</v>
      </c>
      <c r="B192" s="115" t="s">
        <v>1738</v>
      </c>
      <c r="C192" s="116" t="s">
        <v>20</v>
      </c>
      <c r="D192" s="116">
        <v>0</v>
      </c>
      <c r="E192" s="135">
        <f ca="1">OFFSET(INDEX(Composições!A:J,MATCH(Orçamentária!A192,Composições!A:A,0),8),2,0)</f>
        <v>34.2880422</v>
      </c>
      <c r="F192" s="136">
        <f t="shared" ca="1" si="6"/>
        <v>0</v>
      </c>
      <c r="G192" s="137" t="e">
        <f>IF(A192&lt;&gt;"",IF(AND(#REF!="Padrão",$H$4=#REF!),BDI!$B$17,IF(AND(#REF!="Padrão",$H$4=#REF!),BDI!#REF!,IF(AND(#REF!="Diferenciado",$H$4=#REF!),BDI!$E$17,IF(AND(#REF!="Diferenciado",$H$4=#REF!),BDI!#REF!,IF(#REF!="ZERO",0))))),"")</f>
        <v>#REF!</v>
      </c>
      <c r="H192" s="138" t="e">
        <f t="shared" ca="1" si="7"/>
        <v>#REF!</v>
      </c>
      <c r="I192" s="136" t="e">
        <f t="shared" ca="1" si="8"/>
        <v>#REF!</v>
      </c>
    </row>
    <row r="193" spans="1:9" hidden="1" x14ac:dyDescent="0.25">
      <c r="A193" s="114" t="s">
        <v>365</v>
      </c>
      <c r="B193" s="115" t="s">
        <v>1739</v>
      </c>
      <c r="C193" s="116" t="s">
        <v>20</v>
      </c>
      <c r="D193" s="116">
        <v>0</v>
      </c>
      <c r="E193" s="135">
        <f ca="1">OFFSET(INDEX(Composições!A:J,MATCH(Orçamentária!A193,Composições!A:A,0),8),2,0)</f>
        <v>34.925728749999998</v>
      </c>
      <c r="F193" s="136">
        <f t="shared" ca="1" si="6"/>
        <v>0</v>
      </c>
      <c r="G193" s="137" t="e">
        <f>IF(A193&lt;&gt;"",IF(AND(#REF!="Padrão",$H$4=#REF!),BDI!$B$17,IF(AND(#REF!="Padrão",$H$4=#REF!),BDI!#REF!,IF(AND(#REF!="Diferenciado",$H$4=#REF!),BDI!$E$17,IF(AND(#REF!="Diferenciado",$H$4=#REF!),BDI!#REF!,IF(#REF!="ZERO",0))))),"")</f>
        <v>#REF!</v>
      </c>
      <c r="H193" s="138" t="e">
        <f t="shared" ca="1" si="7"/>
        <v>#REF!</v>
      </c>
      <c r="I193" s="136" t="e">
        <f t="shared" ca="1" si="8"/>
        <v>#REF!</v>
      </c>
    </row>
    <row r="194" spans="1:9" hidden="1" x14ac:dyDescent="0.25">
      <c r="A194" s="114" t="s">
        <v>368</v>
      </c>
      <c r="B194" s="115" t="s">
        <v>1740</v>
      </c>
      <c r="C194" s="116" t="s">
        <v>20</v>
      </c>
      <c r="D194" s="116">
        <v>0</v>
      </c>
      <c r="E194" s="135">
        <f ca="1">OFFSET(INDEX(Composições!A:J,MATCH(Orçamentária!A194,Composições!A:A,0),8),2,0)</f>
        <v>52.5231706</v>
      </c>
      <c r="F194" s="136">
        <f t="shared" ca="1" si="6"/>
        <v>0</v>
      </c>
      <c r="G194" s="137" t="e">
        <f>IF(A194&lt;&gt;"",IF(AND(#REF!="Padrão",$H$4=#REF!),BDI!$B$17,IF(AND(#REF!="Padrão",$H$4=#REF!),BDI!#REF!,IF(AND(#REF!="Diferenciado",$H$4=#REF!),BDI!$E$17,IF(AND(#REF!="Diferenciado",$H$4=#REF!),BDI!#REF!,IF(#REF!="ZERO",0))))),"")</f>
        <v>#REF!</v>
      </c>
      <c r="H194" s="138" t="e">
        <f t="shared" ca="1" si="7"/>
        <v>#REF!</v>
      </c>
      <c r="I194" s="136" t="e">
        <f t="shared" ca="1" si="8"/>
        <v>#REF!</v>
      </c>
    </row>
    <row r="195" spans="1:9" hidden="1" x14ac:dyDescent="0.25">
      <c r="A195" s="114" t="s">
        <v>369</v>
      </c>
      <c r="B195" s="115" t="s">
        <v>1741</v>
      </c>
      <c r="C195" s="116" t="s">
        <v>20</v>
      </c>
      <c r="D195" s="116">
        <v>0</v>
      </c>
      <c r="E195" s="135">
        <f ca="1">OFFSET(INDEX(Composições!A:J,MATCH(Orçamentária!A195,Composições!A:A,0),8),2,0)</f>
        <v>97.035542199999981</v>
      </c>
      <c r="F195" s="136">
        <f t="shared" ca="1" si="6"/>
        <v>0</v>
      </c>
      <c r="G195" s="137" t="e">
        <f>IF(A195&lt;&gt;"",IF(AND(#REF!="Padrão",$H$4=#REF!),BDI!$B$17,IF(AND(#REF!="Padrão",$H$4=#REF!),BDI!#REF!,IF(AND(#REF!="Diferenciado",$H$4=#REF!),BDI!$E$17,IF(AND(#REF!="Diferenciado",$H$4=#REF!),BDI!#REF!,IF(#REF!="ZERO",0))))),"")</f>
        <v>#REF!</v>
      </c>
      <c r="H195" s="138" t="e">
        <f t="shared" ca="1" si="7"/>
        <v>#REF!</v>
      </c>
      <c r="I195" s="136" t="e">
        <f t="shared" ca="1" si="8"/>
        <v>#REF!</v>
      </c>
    </row>
    <row r="196" spans="1:9" hidden="1" x14ac:dyDescent="0.25">
      <c r="A196" s="114" t="s">
        <v>371</v>
      </c>
      <c r="B196" s="115" t="s">
        <v>1742</v>
      </c>
      <c r="C196" s="116" t="s">
        <v>20</v>
      </c>
      <c r="D196" s="116">
        <v>0</v>
      </c>
      <c r="E196" s="135">
        <f ca="1">OFFSET(INDEX(Composições!A:J,MATCH(Orçamentária!A196,Composições!A:A,0),8),2,0)</f>
        <v>276.27602174999998</v>
      </c>
      <c r="F196" s="136">
        <f t="shared" ca="1" si="6"/>
        <v>0</v>
      </c>
      <c r="G196" s="137" t="e">
        <f>IF(A196&lt;&gt;"",IF(AND(#REF!="Padrão",$H$4=#REF!),BDI!$B$17,IF(AND(#REF!="Padrão",$H$4=#REF!),BDI!#REF!,IF(AND(#REF!="Diferenciado",$H$4=#REF!),BDI!$E$17,IF(AND(#REF!="Diferenciado",$H$4=#REF!),BDI!#REF!,IF(#REF!="ZERO",0))))),"")</f>
        <v>#REF!</v>
      </c>
      <c r="H196" s="138" t="e">
        <f t="shared" ca="1" si="7"/>
        <v>#REF!</v>
      </c>
      <c r="I196" s="136" t="e">
        <f t="shared" ca="1" si="8"/>
        <v>#REF!</v>
      </c>
    </row>
    <row r="197" spans="1:9" hidden="1" x14ac:dyDescent="0.25">
      <c r="A197" s="114" t="s">
        <v>373</v>
      </c>
      <c r="B197" s="115" t="s">
        <v>6363</v>
      </c>
      <c r="C197" s="116" t="s">
        <v>20</v>
      </c>
      <c r="D197" s="116">
        <v>0</v>
      </c>
      <c r="E197" s="135">
        <f ca="1">OFFSET(INDEX(Composições!A:J,MATCH(Orçamentária!A197,Composições!A:A,0),8),2,0)</f>
        <v>67.959030899999988</v>
      </c>
      <c r="F197" s="136">
        <f t="shared" ca="1" si="6"/>
        <v>0</v>
      </c>
      <c r="G197" s="137" t="e">
        <f>IF(A197&lt;&gt;"",IF(AND(#REF!="Padrão",$H$4=#REF!),BDI!$B$17,IF(AND(#REF!="Padrão",$H$4=#REF!),BDI!#REF!,IF(AND(#REF!="Diferenciado",$H$4=#REF!),BDI!$E$17,IF(AND(#REF!="Diferenciado",$H$4=#REF!),BDI!#REF!,IF(#REF!="ZERO",0))))),"")</f>
        <v>#REF!</v>
      </c>
      <c r="H197" s="138" t="e">
        <f t="shared" ca="1" si="7"/>
        <v>#REF!</v>
      </c>
      <c r="I197" s="136" t="e">
        <f t="shared" ca="1" si="8"/>
        <v>#REF!</v>
      </c>
    </row>
    <row r="198" spans="1:9" hidden="1" x14ac:dyDescent="0.25">
      <c r="A198" s="114" t="s">
        <v>375</v>
      </c>
      <c r="B198" s="115" t="s">
        <v>6364</v>
      </c>
      <c r="C198" s="116" t="s">
        <v>20</v>
      </c>
      <c r="D198" s="116">
        <v>0</v>
      </c>
      <c r="E198" s="135">
        <f ca="1">OFFSET(INDEX(Composições!A:J,MATCH(Orçamentária!A198,Composições!A:A,0),8),2,0)</f>
        <v>1.7791600000000001</v>
      </c>
      <c r="F198" s="136">
        <f t="shared" ca="1" si="6"/>
        <v>0</v>
      </c>
      <c r="G198" s="137" t="e">
        <f>IF(A198&lt;&gt;"",IF(AND(#REF!="Padrão",$H$4=#REF!),BDI!$B$17,IF(AND(#REF!="Padrão",$H$4=#REF!),BDI!#REF!,IF(AND(#REF!="Diferenciado",$H$4=#REF!),BDI!$E$17,IF(AND(#REF!="Diferenciado",$H$4=#REF!),BDI!#REF!,IF(#REF!="ZERO",0))))),"")</f>
        <v>#REF!</v>
      </c>
      <c r="H198" s="138" t="e">
        <f t="shared" ca="1" si="7"/>
        <v>#REF!</v>
      </c>
      <c r="I198" s="136" t="e">
        <f t="shared" ca="1" si="8"/>
        <v>#REF!</v>
      </c>
    </row>
    <row r="199" spans="1:9" hidden="1" x14ac:dyDescent="0.25">
      <c r="A199" s="114" t="s">
        <v>377</v>
      </c>
      <c r="B199" s="115" t="s">
        <v>6365</v>
      </c>
      <c r="C199" s="116" t="s">
        <v>20</v>
      </c>
      <c r="D199" s="116">
        <v>0</v>
      </c>
      <c r="E199" s="135">
        <f ca="1">OFFSET(INDEX(Composições!A:J,MATCH(Orçamentária!A199,Composições!A:A,0),8),2,0)</f>
        <v>1.7791600000000001</v>
      </c>
      <c r="F199" s="136">
        <f t="shared" ref="F199:F262" ca="1" si="9">IF(ISNUMBER(E199),D199*E199,"")</f>
        <v>0</v>
      </c>
      <c r="G199" s="137" t="e">
        <f>IF(A199&lt;&gt;"",IF(AND(#REF!="Padrão",$H$4=#REF!),BDI!$B$17,IF(AND(#REF!="Padrão",$H$4=#REF!),BDI!#REF!,IF(AND(#REF!="Diferenciado",$H$4=#REF!),BDI!$E$17,IF(AND(#REF!="Diferenciado",$H$4=#REF!),BDI!#REF!,IF(#REF!="ZERO",0))))),"")</f>
        <v>#REF!</v>
      </c>
      <c r="H199" s="138" t="e">
        <f t="shared" ref="H199:H262" ca="1" si="10">IF(ISNUMBER(E199),ROUND(E199*(1+G199),2),"")</f>
        <v>#REF!</v>
      </c>
      <c r="I199" s="136" t="e">
        <f t="shared" ref="I199:I262" ca="1" si="11">IF(ISNUMBER(E199),ROUND(H199*D199,2),"")</f>
        <v>#REF!</v>
      </c>
    </row>
    <row r="200" spans="1:9" hidden="1" x14ac:dyDescent="0.25">
      <c r="A200" s="114" t="s">
        <v>379</v>
      </c>
      <c r="B200" s="115" t="s">
        <v>6366</v>
      </c>
      <c r="C200" s="116" t="s">
        <v>20</v>
      </c>
      <c r="D200" s="116">
        <v>0</v>
      </c>
      <c r="E200" s="135">
        <f ca="1">OFFSET(INDEX(Composições!A:J,MATCH(Orçamentária!A200,Composições!A:A,0),8),2,0)</f>
        <v>19.779</v>
      </c>
      <c r="F200" s="136">
        <f t="shared" ca="1" si="9"/>
        <v>0</v>
      </c>
      <c r="G200" s="137" t="e">
        <f>IF(A200&lt;&gt;"",IF(AND(#REF!="Padrão",$H$4=#REF!),BDI!$B$17,IF(AND(#REF!="Padrão",$H$4=#REF!),BDI!#REF!,IF(AND(#REF!="Diferenciado",$H$4=#REF!),BDI!$E$17,IF(AND(#REF!="Diferenciado",$H$4=#REF!),BDI!#REF!,IF(#REF!="ZERO",0))))),"")</f>
        <v>#REF!</v>
      </c>
      <c r="H200" s="138" t="e">
        <f t="shared" ca="1" si="10"/>
        <v>#REF!</v>
      </c>
      <c r="I200" s="136" t="e">
        <f t="shared" ca="1" si="11"/>
        <v>#REF!</v>
      </c>
    </row>
    <row r="201" spans="1:9" hidden="1" x14ac:dyDescent="0.25">
      <c r="A201" s="114" t="s">
        <v>381</v>
      </c>
      <c r="B201" s="115" t="s">
        <v>1743</v>
      </c>
      <c r="C201" s="116" t="s">
        <v>20</v>
      </c>
      <c r="D201" s="116">
        <v>0</v>
      </c>
      <c r="E201" s="135">
        <f ca="1">OFFSET(INDEX(Composições!A:J,MATCH(Orçamentária!A201,Composições!A:A,0),8),2,0)</f>
        <v>3.9981529</v>
      </c>
      <c r="F201" s="136">
        <f t="shared" ca="1" si="9"/>
        <v>0</v>
      </c>
      <c r="G201" s="137" t="e">
        <f>IF(A201&lt;&gt;"",IF(AND(#REF!="Padrão",$H$4=#REF!),BDI!$B$17,IF(AND(#REF!="Padrão",$H$4=#REF!),BDI!#REF!,IF(AND(#REF!="Diferenciado",$H$4=#REF!),BDI!$E$17,IF(AND(#REF!="Diferenciado",$H$4=#REF!),BDI!#REF!,IF(#REF!="ZERO",0))))),"")</f>
        <v>#REF!</v>
      </c>
      <c r="H201" s="138" t="e">
        <f t="shared" ca="1" si="10"/>
        <v>#REF!</v>
      </c>
      <c r="I201" s="136" t="e">
        <f t="shared" ca="1" si="11"/>
        <v>#REF!</v>
      </c>
    </row>
    <row r="202" spans="1:9" hidden="1" x14ac:dyDescent="0.25">
      <c r="A202" s="114" t="s">
        <v>382</v>
      </c>
      <c r="B202" s="115" t="s">
        <v>6367</v>
      </c>
      <c r="C202" s="116" t="s">
        <v>20</v>
      </c>
      <c r="D202" s="116">
        <v>0</v>
      </c>
      <c r="E202" s="135">
        <f ca="1">OFFSET(INDEX(Composições!A:J,MATCH(Orçamentária!A202,Composições!A:A,0),8),2,0)</f>
        <v>35.089247499999999</v>
      </c>
      <c r="F202" s="136">
        <f t="shared" ca="1" si="9"/>
        <v>0</v>
      </c>
      <c r="G202" s="137" t="e">
        <f>IF(A202&lt;&gt;"",IF(AND(#REF!="Padrão",$H$4=#REF!),BDI!$B$17,IF(AND(#REF!="Padrão",$H$4=#REF!),BDI!#REF!,IF(AND(#REF!="Diferenciado",$H$4=#REF!),BDI!$E$17,IF(AND(#REF!="Diferenciado",$H$4=#REF!),BDI!#REF!,IF(#REF!="ZERO",0))))),"")</f>
        <v>#REF!</v>
      </c>
      <c r="H202" s="138" t="e">
        <f t="shared" ca="1" si="10"/>
        <v>#REF!</v>
      </c>
      <c r="I202" s="136" t="e">
        <f t="shared" ca="1" si="11"/>
        <v>#REF!</v>
      </c>
    </row>
    <row r="203" spans="1:9" hidden="1" x14ac:dyDescent="0.25">
      <c r="A203" s="114" t="s">
        <v>384</v>
      </c>
      <c r="B203" s="115" t="s">
        <v>6368</v>
      </c>
      <c r="C203" s="116" t="s">
        <v>20</v>
      </c>
      <c r="D203" s="116">
        <v>0</v>
      </c>
      <c r="E203" s="135">
        <f ca="1">OFFSET(INDEX(Composições!A:J,MATCH(Orçamentária!A203,Composições!A:A,0),8),2,0)</f>
        <v>7.6377985999999982</v>
      </c>
      <c r="F203" s="136">
        <f t="shared" ca="1" si="9"/>
        <v>0</v>
      </c>
      <c r="G203" s="137" t="e">
        <f>IF(A203&lt;&gt;"",IF(AND(#REF!="Padrão",$H$4=#REF!),BDI!$B$17,IF(AND(#REF!="Padrão",$H$4=#REF!),BDI!#REF!,IF(AND(#REF!="Diferenciado",$H$4=#REF!),BDI!$E$17,IF(AND(#REF!="Diferenciado",$H$4=#REF!),BDI!#REF!,IF(#REF!="ZERO",0))))),"")</f>
        <v>#REF!</v>
      </c>
      <c r="H203" s="138" t="e">
        <f t="shared" ca="1" si="10"/>
        <v>#REF!</v>
      </c>
      <c r="I203" s="136" t="e">
        <f t="shared" ca="1" si="11"/>
        <v>#REF!</v>
      </c>
    </row>
    <row r="204" spans="1:9" hidden="1" x14ac:dyDescent="0.25">
      <c r="A204" s="114" t="s">
        <v>386</v>
      </c>
      <c r="B204" s="115" t="s">
        <v>1744</v>
      </c>
      <c r="C204" s="116" t="s">
        <v>20</v>
      </c>
      <c r="D204" s="116">
        <v>0</v>
      </c>
      <c r="E204" s="135">
        <f ca="1">OFFSET(INDEX(Composições!A:J,MATCH(Orçamentária!A204,Composições!A:A,0),8),2,0)</f>
        <v>130.61416999999997</v>
      </c>
      <c r="F204" s="136">
        <f t="shared" ca="1" si="9"/>
        <v>0</v>
      </c>
      <c r="G204" s="137" t="e">
        <f>IF(A204&lt;&gt;"",IF(AND(#REF!="Padrão",$H$4=#REF!),BDI!$B$17,IF(AND(#REF!="Padrão",$H$4=#REF!),BDI!#REF!,IF(AND(#REF!="Diferenciado",$H$4=#REF!),BDI!$E$17,IF(AND(#REF!="Diferenciado",$H$4=#REF!),BDI!#REF!,IF(#REF!="ZERO",0))))),"")</f>
        <v>#REF!</v>
      </c>
      <c r="H204" s="138" t="e">
        <f t="shared" ca="1" si="10"/>
        <v>#REF!</v>
      </c>
      <c r="I204" s="136" t="e">
        <f t="shared" ca="1" si="11"/>
        <v>#REF!</v>
      </c>
    </row>
    <row r="205" spans="1:9" hidden="1" x14ac:dyDescent="0.25">
      <c r="A205" s="114" t="s">
        <v>388</v>
      </c>
      <c r="B205" s="115" t="s">
        <v>6369</v>
      </c>
      <c r="C205" s="116" t="s">
        <v>20</v>
      </c>
      <c r="D205" s="116">
        <v>0</v>
      </c>
      <c r="E205" s="135">
        <f ca="1">OFFSET(INDEX(Composições!A:J,MATCH(Orçamentária!A205,Composições!A:A,0),8),2,0)</f>
        <v>137.82579859999998</v>
      </c>
      <c r="F205" s="136">
        <f t="shared" ca="1" si="9"/>
        <v>0</v>
      </c>
      <c r="G205" s="137" t="e">
        <f>IF(A205&lt;&gt;"",IF(AND(#REF!="Padrão",$H$4=#REF!),BDI!$B$17,IF(AND(#REF!="Padrão",$H$4=#REF!),BDI!#REF!,IF(AND(#REF!="Diferenciado",$H$4=#REF!),BDI!$E$17,IF(AND(#REF!="Diferenciado",$H$4=#REF!),BDI!#REF!,IF(#REF!="ZERO",0))))),"")</f>
        <v>#REF!</v>
      </c>
      <c r="H205" s="138" t="e">
        <f t="shared" ca="1" si="10"/>
        <v>#REF!</v>
      </c>
      <c r="I205" s="136" t="e">
        <f t="shared" ca="1" si="11"/>
        <v>#REF!</v>
      </c>
    </row>
    <row r="206" spans="1:9" hidden="1" x14ac:dyDescent="0.25">
      <c r="A206" s="114" t="s">
        <v>390</v>
      </c>
      <c r="B206" s="115" t="s">
        <v>1745</v>
      </c>
      <c r="C206" s="116" t="s">
        <v>20</v>
      </c>
      <c r="D206" s="116">
        <v>0</v>
      </c>
      <c r="E206" s="135">
        <f ca="1">OFFSET(INDEX(Composições!A:J,MATCH(Orçamentária!A206,Composições!A:A,0),8),2,0)</f>
        <v>4.6586403999999995</v>
      </c>
      <c r="F206" s="136">
        <f t="shared" ca="1" si="9"/>
        <v>0</v>
      </c>
      <c r="G206" s="137" t="e">
        <f>IF(A206&lt;&gt;"",IF(AND(#REF!="Padrão",$H$4=#REF!),BDI!$B$17,IF(AND(#REF!="Padrão",$H$4=#REF!),BDI!#REF!,IF(AND(#REF!="Diferenciado",$H$4=#REF!),BDI!$E$17,IF(AND(#REF!="Diferenciado",$H$4=#REF!),BDI!#REF!,IF(#REF!="ZERO",0))))),"")</f>
        <v>#REF!</v>
      </c>
      <c r="H206" s="138" t="e">
        <f t="shared" ca="1" si="10"/>
        <v>#REF!</v>
      </c>
      <c r="I206" s="136" t="e">
        <f t="shared" ca="1" si="11"/>
        <v>#REF!</v>
      </c>
    </row>
    <row r="207" spans="1:9" hidden="1" x14ac:dyDescent="0.25">
      <c r="A207" s="114" t="s">
        <v>392</v>
      </c>
      <c r="B207" s="115" t="s">
        <v>6370</v>
      </c>
      <c r="C207" s="116" t="s">
        <v>20</v>
      </c>
      <c r="D207" s="116">
        <v>0</v>
      </c>
      <c r="E207" s="135">
        <f ca="1">OFFSET(INDEX(Composições!A:J,MATCH(Orçamentária!A207,Composições!A:A,0),8),2,0)</f>
        <v>4.6586403999999995</v>
      </c>
      <c r="F207" s="136">
        <f t="shared" ca="1" si="9"/>
        <v>0</v>
      </c>
      <c r="G207" s="137" t="e">
        <f>IF(A207&lt;&gt;"",IF(AND(#REF!="Padrão",$H$4=#REF!),BDI!$B$17,IF(AND(#REF!="Padrão",$H$4=#REF!),BDI!#REF!,IF(AND(#REF!="Diferenciado",$H$4=#REF!),BDI!$E$17,IF(AND(#REF!="Diferenciado",$H$4=#REF!),BDI!#REF!,IF(#REF!="ZERO",0))))),"")</f>
        <v>#REF!</v>
      </c>
      <c r="H207" s="138" t="e">
        <f t="shared" ca="1" si="10"/>
        <v>#REF!</v>
      </c>
      <c r="I207" s="136" t="e">
        <f t="shared" ca="1" si="11"/>
        <v>#REF!</v>
      </c>
    </row>
    <row r="208" spans="1:9" hidden="1" x14ac:dyDescent="0.25">
      <c r="A208" s="114" t="s">
        <v>394</v>
      </c>
      <c r="B208" s="115" t="s">
        <v>1746</v>
      </c>
      <c r="C208" s="116" t="s">
        <v>20</v>
      </c>
      <c r="D208" s="116">
        <v>0</v>
      </c>
      <c r="E208" s="135">
        <f ca="1">OFFSET(INDEX(Composições!A:J,MATCH(Orçamentária!A208,Composições!A:A,0),8),2,0)</f>
        <v>2.7149128500000002</v>
      </c>
      <c r="F208" s="136">
        <f t="shared" ca="1" si="9"/>
        <v>0</v>
      </c>
      <c r="G208" s="137" t="e">
        <f>IF(A208&lt;&gt;"",IF(AND(#REF!="Padrão",$H$4=#REF!),BDI!$B$17,IF(AND(#REF!="Padrão",$H$4=#REF!),BDI!#REF!,IF(AND(#REF!="Diferenciado",$H$4=#REF!),BDI!$E$17,IF(AND(#REF!="Diferenciado",$H$4=#REF!),BDI!#REF!,IF(#REF!="ZERO",0))))),"")</f>
        <v>#REF!</v>
      </c>
      <c r="H208" s="138" t="e">
        <f t="shared" ca="1" si="10"/>
        <v>#REF!</v>
      </c>
      <c r="I208" s="136" t="e">
        <f t="shared" ca="1" si="11"/>
        <v>#REF!</v>
      </c>
    </row>
    <row r="209" spans="1:9" hidden="1" x14ac:dyDescent="0.25">
      <c r="A209" s="114" t="s">
        <v>396</v>
      </c>
      <c r="B209" s="115" t="s">
        <v>6371</v>
      </c>
      <c r="C209" s="116" t="s">
        <v>20</v>
      </c>
      <c r="D209" s="116">
        <v>0</v>
      </c>
      <c r="E209" s="135">
        <f ca="1">OFFSET(INDEX(Composições!A:J,MATCH(Orçamentária!A209,Composições!A:A,0),8),2,0)</f>
        <v>2.7149128500000002</v>
      </c>
      <c r="F209" s="136">
        <f t="shared" ca="1" si="9"/>
        <v>0</v>
      </c>
      <c r="G209" s="137" t="e">
        <f>IF(A209&lt;&gt;"",IF(AND(#REF!="Padrão",$H$4=#REF!),BDI!$B$17,IF(AND(#REF!="Padrão",$H$4=#REF!),BDI!#REF!,IF(AND(#REF!="Diferenciado",$H$4=#REF!),BDI!$E$17,IF(AND(#REF!="Diferenciado",$H$4=#REF!),BDI!#REF!,IF(#REF!="ZERO",0))))),"")</f>
        <v>#REF!</v>
      </c>
      <c r="H209" s="138" t="e">
        <f t="shared" ca="1" si="10"/>
        <v>#REF!</v>
      </c>
      <c r="I209" s="136" t="e">
        <f t="shared" ca="1" si="11"/>
        <v>#REF!</v>
      </c>
    </row>
    <row r="210" spans="1:9" hidden="1" x14ac:dyDescent="0.25">
      <c r="A210" s="114" t="s">
        <v>398</v>
      </c>
      <c r="B210" s="115" t="s">
        <v>6372</v>
      </c>
      <c r="C210" s="116" t="s">
        <v>20</v>
      </c>
      <c r="D210" s="116">
        <v>0</v>
      </c>
      <c r="E210" s="135">
        <f ca="1">OFFSET(INDEX(Composições!A:J,MATCH(Orçamentária!A210,Composições!A:A,0),8),2,0)</f>
        <v>2.7149128500000002</v>
      </c>
      <c r="F210" s="136">
        <f t="shared" ca="1" si="9"/>
        <v>0</v>
      </c>
      <c r="G210" s="137" t="e">
        <f>IF(A210&lt;&gt;"",IF(AND(#REF!="Padrão",$H$4=#REF!),BDI!$B$17,IF(AND(#REF!="Padrão",$H$4=#REF!),BDI!#REF!,IF(AND(#REF!="Diferenciado",$H$4=#REF!),BDI!$E$17,IF(AND(#REF!="Diferenciado",$H$4=#REF!),BDI!#REF!,IF(#REF!="ZERO",0))))),"")</f>
        <v>#REF!</v>
      </c>
      <c r="H210" s="138" t="e">
        <f t="shared" ca="1" si="10"/>
        <v>#REF!</v>
      </c>
      <c r="I210" s="136" t="e">
        <f t="shared" ca="1" si="11"/>
        <v>#REF!</v>
      </c>
    </row>
    <row r="211" spans="1:9" hidden="1" x14ac:dyDescent="0.25">
      <c r="A211" s="114" t="s">
        <v>400</v>
      </c>
      <c r="B211" s="115" t="s">
        <v>1747</v>
      </c>
      <c r="C211" s="116" t="s">
        <v>20</v>
      </c>
      <c r="D211" s="116">
        <v>0</v>
      </c>
      <c r="E211" s="135">
        <f ca="1">OFFSET(INDEX(Composições!A:J,MATCH(Orçamentária!A211,Composições!A:A,0),8),2,0)</f>
        <v>161.27941284999997</v>
      </c>
      <c r="F211" s="136">
        <f t="shared" ca="1" si="9"/>
        <v>0</v>
      </c>
      <c r="G211" s="137" t="e">
        <f>IF(A211&lt;&gt;"",IF(AND(#REF!="Padrão",$H$4=#REF!),BDI!$B$17,IF(AND(#REF!="Padrão",$H$4=#REF!),BDI!#REF!,IF(AND(#REF!="Diferenciado",$H$4=#REF!),BDI!$E$17,IF(AND(#REF!="Diferenciado",$H$4=#REF!),BDI!#REF!,IF(#REF!="ZERO",0))))),"")</f>
        <v>#REF!</v>
      </c>
      <c r="H211" s="138" t="e">
        <f t="shared" ca="1" si="10"/>
        <v>#REF!</v>
      </c>
      <c r="I211" s="136" t="e">
        <f t="shared" ca="1" si="11"/>
        <v>#REF!</v>
      </c>
    </row>
    <row r="212" spans="1:9" hidden="1" x14ac:dyDescent="0.25">
      <c r="A212" s="114" t="s">
        <v>402</v>
      </c>
      <c r="B212" s="115" t="s">
        <v>6373</v>
      </c>
      <c r="C212" s="116" t="s">
        <v>20</v>
      </c>
      <c r="D212" s="116">
        <v>0</v>
      </c>
      <c r="E212" s="135">
        <f ca="1">OFFSET(INDEX(Composições!A:J,MATCH(Orçamentária!A212,Composições!A:A,0),8),2,0)</f>
        <v>3.2756674500000003</v>
      </c>
      <c r="F212" s="136">
        <f t="shared" ca="1" si="9"/>
        <v>0</v>
      </c>
      <c r="G212" s="137" t="e">
        <f>IF(A212&lt;&gt;"",IF(AND(#REF!="Padrão",$H$4=#REF!),BDI!$B$17,IF(AND(#REF!="Padrão",$H$4=#REF!),BDI!#REF!,IF(AND(#REF!="Diferenciado",$H$4=#REF!),BDI!$E$17,IF(AND(#REF!="Diferenciado",$H$4=#REF!),BDI!#REF!,IF(#REF!="ZERO",0))))),"")</f>
        <v>#REF!</v>
      </c>
      <c r="H212" s="138" t="e">
        <f t="shared" ca="1" si="10"/>
        <v>#REF!</v>
      </c>
      <c r="I212" s="136" t="e">
        <f t="shared" ca="1" si="11"/>
        <v>#REF!</v>
      </c>
    </row>
    <row r="213" spans="1:9" hidden="1" x14ac:dyDescent="0.25">
      <c r="A213" s="114" t="s">
        <v>404</v>
      </c>
      <c r="B213" s="115" t="s">
        <v>6374</v>
      </c>
      <c r="C213" s="116" t="s">
        <v>20</v>
      </c>
      <c r="D213" s="116">
        <v>0</v>
      </c>
      <c r="E213" s="135">
        <f ca="1">OFFSET(INDEX(Composições!A:J,MATCH(Orçamentária!A213,Composições!A:A,0),8),2,0)</f>
        <v>60.689729699999994</v>
      </c>
      <c r="F213" s="136">
        <f t="shared" ca="1" si="9"/>
        <v>0</v>
      </c>
      <c r="G213" s="137" t="e">
        <f>IF(A213&lt;&gt;"",IF(AND(#REF!="Padrão",$H$4=#REF!),BDI!$B$17,IF(AND(#REF!="Padrão",$H$4=#REF!),BDI!#REF!,IF(AND(#REF!="Diferenciado",$H$4=#REF!),BDI!$E$17,IF(AND(#REF!="Diferenciado",$H$4=#REF!),BDI!#REF!,IF(#REF!="ZERO",0))))),"")</f>
        <v>#REF!</v>
      </c>
      <c r="H213" s="138" t="e">
        <f t="shared" ca="1" si="10"/>
        <v>#REF!</v>
      </c>
      <c r="I213" s="136" t="e">
        <f t="shared" ca="1" si="11"/>
        <v>#REF!</v>
      </c>
    </row>
    <row r="214" spans="1:9" hidden="1" x14ac:dyDescent="0.25">
      <c r="A214" s="114" t="s">
        <v>406</v>
      </c>
      <c r="B214" s="115" t="s">
        <v>6439</v>
      </c>
      <c r="C214" s="116" t="s">
        <v>20</v>
      </c>
      <c r="D214" s="116">
        <v>0</v>
      </c>
      <c r="E214" s="135">
        <f ca="1">OFFSET(INDEX(Composições!A:J,MATCH(Orçamentária!A214,Composições!A:A,0),8),2,0)</f>
        <v>31.454756500000002</v>
      </c>
      <c r="F214" s="136">
        <f t="shared" ca="1" si="9"/>
        <v>0</v>
      </c>
      <c r="G214" s="137" t="e">
        <f>IF(A214&lt;&gt;"",IF(AND(#REF!="Padrão",$H$4=#REF!),BDI!$B$17,IF(AND(#REF!="Padrão",$H$4=#REF!),BDI!#REF!,IF(AND(#REF!="Diferenciado",$H$4=#REF!),BDI!$E$17,IF(AND(#REF!="Diferenciado",$H$4=#REF!),BDI!#REF!,IF(#REF!="ZERO",0))))),"")</f>
        <v>#REF!</v>
      </c>
      <c r="H214" s="138" t="e">
        <f t="shared" ca="1" si="10"/>
        <v>#REF!</v>
      </c>
      <c r="I214" s="136" t="e">
        <f t="shared" ca="1" si="11"/>
        <v>#REF!</v>
      </c>
    </row>
    <row r="215" spans="1:9" hidden="1" x14ac:dyDescent="0.25">
      <c r="A215" s="114" t="s">
        <v>409</v>
      </c>
      <c r="B215" s="115" t="s">
        <v>6440</v>
      </c>
      <c r="C215" s="116" t="s">
        <v>20</v>
      </c>
      <c r="D215" s="116">
        <v>0</v>
      </c>
      <c r="E215" s="135">
        <f ca="1">OFFSET(INDEX(Composições!A:J,MATCH(Orçamentária!A215,Composições!A:A,0),8),2,0)</f>
        <v>254.22975649999998</v>
      </c>
      <c r="F215" s="136">
        <f t="shared" ca="1" si="9"/>
        <v>0</v>
      </c>
      <c r="G215" s="137" t="e">
        <f>IF(A215&lt;&gt;"",IF(AND(#REF!="Padrão",$H$4=#REF!),BDI!$B$17,IF(AND(#REF!="Padrão",$H$4=#REF!),BDI!#REF!,IF(AND(#REF!="Diferenciado",$H$4=#REF!),BDI!$E$17,IF(AND(#REF!="Diferenciado",$H$4=#REF!),BDI!#REF!,IF(#REF!="ZERO",0))))),"")</f>
        <v>#REF!</v>
      </c>
      <c r="H215" s="138" t="e">
        <f t="shared" ca="1" si="10"/>
        <v>#REF!</v>
      </c>
      <c r="I215" s="136" t="e">
        <f t="shared" ca="1" si="11"/>
        <v>#REF!</v>
      </c>
    </row>
    <row r="216" spans="1:9" hidden="1" x14ac:dyDescent="0.25">
      <c r="A216" s="114" t="s">
        <v>411</v>
      </c>
      <c r="B216" s="115" t="s">
        <v>6441</v>
      </c>
      <c r="C216" s="116" t="s">
        <v>20</v>
      </c>
      <c r="D216" s="116">
        <v>0</v>
      </c>
      <c r="E216" s="135">
        <f ca="1">OFFSET(INDEX(Composições!A:J,MATCH(Orçamentária!A216,Composições!A:A,0),8),2,0)</f>
        <v>31.454756500000002</v>
      </c>
      <c r="F216" s="136">
        <f t="shared" ca="1" si="9"/>
        <v>0</v>
      </c>
      <c r="G216" s="137" t="e">
        <f>IF(A216&lt;&gt;"",IF(AND(#REF!="Padrão",$H$4=#REF!),BDI!$B$17,IF(AND(#REF!="Padrão",$H$4=#REF!),BDI!#REF!,IF(AND(#REF!="Diferenciado",$H$4=#REF!),BDI!$E$17,IF(AND(#REF!="Diferenciado",$H$4=#REF!),BDI!#REF!,IF(#REF!="ZERO",0))))),"")</f>
        <v>#REF!</v>
      </c>
      <c r="H216" s="138" t="e">
        <f t="shared" ca="1" si="10"/>
        <v>#REF!</v>
      </c>
      <c r="I216" s="136" t="e">
        <f t="shared" ca="1" si="11"/>
        <v>#REF!</v>
      </c>
    </row>
    <row r="217" spans="1:9" hidden="1" x14ac:dyDescent="0.25">
      <c r="A217" s="114" t="s">
        <v>413</v>
      </c>
      <c r="B217" s="115" t="s">
        <v>6442</v>
      </c>
      <c r="C217" s="116" t="s">
        <v>20</v>
      </c>
      <c r="D217" s="116">
        <v>0</v>
      </c>
      <c r="E217" s="135">
        <f ca="1">OFFSET(INDEX(Composições!A:J,MATCH(Orçamentária!A217,Composições!A:A,0),8),2,0)</f>
        <v>211.92625649999999</v>
      </c>
      <c r="F217" s="136">
        <f t="shared" ca="1" si="9"/>
        <v>0</v>
      </c>
      <c r="G217" s="137" t="e">
        <f>IF(A217&lt;&gt;"",IF(AND(#REF!="Padrão",$H$4=#REF!),BDI!$B$17,IF(AND(#REF!="Padrão",$H$4=#REF!),BDI!#REF!,IF(AND(#REF!="Diferenciado",$H$4=#REF!),BDI!$E$17,IF(AND(#REF!="Diferenciado",$H$4=#REF!),BDI!#REF!,IF(#REF!="ZERO",0))))),"")</f>
        <v>#REF!</v>
      </c>
      <c r="H217" s="138" t="e">
        <f t="shared" ca="1" si="10"/>
        <v>#REF!</v>
      </c>
      <c r="I217" s="136" t="e">
        <f t="shared" ca="1" si="11"/>
        <v>#REF!</v>
      </c>
    </row>
    <row r="218" spans="1:9" hidden="1" x14ac:dyDescent="0.25">
      <c r="A218" s="114" t="s">
        <v>415</v>
      </c>
      <c r="B218" s="115" t="s">
        <v>6443</v>
      </c>
      <c r="C218" s="116" t="s">
        <v>20</v>
      </c>
      <c r="D218" s="116">
        <v>0</v>
      </c>
      <c r="E218" s="135">
        <f ca="1">OFFSET(INDEX(Composições!A:J,MATCH(Orçamentária!A218,Composições!A:A,0),8),2,0)</f>
        <v>35.6858456</v>
      </c>
      <c r="F218" s="136">
        <f t="shared" ca="1" si="9"/>
        <v>0</v>
      </c>
      <c r="G218" s="137" t="e">
        <f>IF(A218&lt;&gt;"",IF(AND(#REF!="Padrão",$H$4=#REF!),BDI!$B$17,IF(AND(#REF!="Padrão",$H$4=#REF!),BDI!#REF!,IF(AND(#REF!="Diferenciado",$H$4=#REF!),BDI!$E$17,IF(AND(#REF!="Diferenciado",$H$4=#REF!),BDI!#REF!,IF(#REF!="ZERO",0))))),"")</f>
        <v>#REF!</v>
      </c>
      <c r="H218" s="138" t="e">
        <f t="shared" ca="1" si="10"/>
        <v>#REF!</v>
      </c>
      <c r="I218" s="136" t="e">
        <f t="shared" ca="1" si="11"/>
        <v>#REF!</v>
      </c>
    </row>
    <row r="219" spans="1:9" hidden="1" x14ac:dyDescent="0.25">
      <c r="A219" s="114" t="s">
        <v>417</v>
      </c>
      <c r="B219" s="115" t="s">
        <v>6375</v>
      </c>
      <c r="C219" s="116" t="s">
        <v>20</v>
      </c>
      <c r="D219" s="116">
        <v>0</v>
      </c>
      <c r="E219" s="135">
        <f ca="1">OFFSET(INDEX(Composições!A:J,MATCH(Orçamentária!A219,Composições!A:A,0),8),2,0)</f>
        <v>24.9649474</v>
      </c>
      <c r="F219" s="136">
        <f t="shared" ca="1" si="9"/>
        <v>0</v>
      </c>
      <c r="G219" s="137" t="e">
        <f>IF(A219&lt;&gt;"",IF(AND(#REF!="Padrão",$H$4=#REF!),BDI!$B$17,IF(AND(#REF!="Padrão",$H$4=#REF!),BDI!#REF!,IF(AND(#REF!="Diferenciado",$H$4=#REF!),BDI!$E$17,IF(AND(#REF!="Diferenciado",$H$4=#REF!),BDI!#REF!,IF(#REF!="ZERO",0))))),"")</f>
        <v>#REF!</v>
      </c>
      <c r="H219" s="138" t="e">
        <f t="shared" ca="1" si="10"/>
        <v>#REF!</v>
      </c>
      <c r="I219" s="136" t="e">
        <f t="shared" ca="1" si="11"/>
        <v>#REF!</v>
      </c>
    </row>
    <row r="220" spans="1:9" hidden="1" x14ac:dyDescent="0.25">
      <c r="A220" s="114" t="s">
        <v>419</v>
      </c>
      <c r="B220" s="115" t="s">
        <v>1748</v>
      </c>
      <c r="C220" s="116" t="s">
        <v>20</v>
      </c>
      <c r="D220" s="116">
        <v>0</v>
      </c>
      <c r="E220" s="135">
        <f ca="1">OFFSET(INDEX(Composições!A:J,MATCH(Orçamentária!A220,Composições!A:A,0),8),2,0)</f>
        <v>223.2217565</v>
      </c>
      <c r="F220" s="136">
        <f t="shared" ca="1" si="9"/>
        <v>0</v>
      </c>
      <c r="G220" s="137" t="e">
        <f>IF(A220&lt;&gt;"",IF(AND(#REF!="Padrão",$H$4=#REF!),BDI!$B$17,IF(AND(#REF!="Padrão",$H$4=#REF!),BDI!#REF!,IF(AND(#REF!="Diferenciado",$H$4=#REF!),BDI!$E$17,IF(AND(#REF!="Diferenciado",$H$4=#REF!),BDI!#REF!,IF(#REF!="ZERO",0))))),"")</f>
        <v>#REF!</v>
      </c>
      <c r="H220" s="138" t="e">
        <f t="shared" ca="1" si="10"/>
        <v>#REF!</v>
      </c>
      <c r="I220" s="136" t="e">
        <f t="shared" ca="1" si="11"/>
        <v>#REF!</v>
      </c>
    </row>
    <row r="221" spans="1:9" hidden="1" x14ac:dyDescent="0.25">
      <c r="A221" s="114" t="s">
        <v>421</v>
      </c>
      <c r="B221" s="115" t="s">
        <v>1749</v>
      </c>
      <c r="C221" s="116" t="s">
        <v>20</v>
      </c>
      <c r="D221" s="116">
        <v>0</v>
      </c>
      <c r="E221" s="135">
        <f ca="1">OFFSET(INDEX(Composições!A:J,MATCH(Orçamentária!A221,Composições!A:A,0),8),2,0)</f>
        <v>11.802419999999998</v>
      </c>
      <c r="F221" s="136">
        <f t="shared" ca="1" si="9"/>
        <v>0</v>
      </c>
      <c r="G221" s="137" t="e">
        <f>IF(A221&lt;&gt;"",IF(AND(#REF!="Padrão",$H$4=#REF!),BDI!$B$17,IF(AND(#REF!="Padrão",$H$4=#REF!),BDI!#REF!,IF(AND(#REF!="Diferenciado",$H$4=#REF!),BDI!$E$17,IF(AND(#REF!="Diferenciado",$H$4=#REF!),BDI!#REF!,IF(#REF!="ZERO",0))))),"")</f>
        <v>#REF!</v>
      </c>
      <c r="H221" s="138" t="e">
        <f t="shared" ca="1" si="10"/>
        <v>#REF!</v>
      </c>
      <c r="I221" s="136" t="e">
        <f t="shared" ca="1" si="11"/>
        <v>#REF!</v>
      </c>
    </row>
    <row r="222" spans="1:9" hidden="1" x14ac:dyDescent="0.25">
      <c r="A222" s="114" t="s">
        <v>423</v>
      </c>
      <c r="B222" s="115" t="s">
        <v>1750</v>
      </c>
      <c r="C222" s="116" t="s">
        <v>20</v>
      </c>
      <c r="D222" s="116">
        <v>0</v>
      </c>
      <c r="E222" s="135">
        <f ca="1">OFFSET(INDEX(Composições!A:J,MATCH(Orçamentária!A222,Composições!A:A,0),8),2,0)</f>
        <v>41.828499999999991</v>
      </c>
      <c r="F222" s="136">
        <f t="shared" ca="1" si="9"/>
        <v>0</v>
      </c>
      <c r="G222" s="137" t="e">
        <f>IF(A222&lt;&gt;"",IF(AND(#REF!="Padrão",$H$4=#REF!),BDI!$B$17,IF(AND(#REF!="Padrão",$H$4=#REF!),BDI!#REF!,IF(AND(#REF!="Diferenciado",$H$4=#REF!),BDI!$E$17,IF(AND(#REF!="Diferenciado",$H$4=#REF!),BDI!#REF!,IF(#REF!="ZERO",0))))),"")</f>
        <v>#REF!</v>
      </c>
      <c r="H222" s="138" t="e">
        <f t="shared" ca="1" si="10"/>
        <v>#REF!</v>
      </c>
      <c r="I222" s="136" t="e">
        <f t="shared" ca="1" si="11"/>
        <v>#REF!</v>
      </c>
    </row>
    <row r="223" spans="1:9" hidden="1" x14ac:dyDescent="0.25">
      <c r="A223" s="114" t="s">
        <v>426</v>
      </c>
      <c r="B223" s="115" t="s">
        <v>1751</v>
      </c>
      <c r="C223" s="116" t="s">
        <v>20</v>
      </c>
      <c r="D223" s="116">
        <v>0</v>
      </c>
      <c r="E223" s="135">
        <f ca="1">OFFSET(INDEX(Composições!A:J,MATCH(Orçamentária!A223,Composições!A:A,0),8),2,0)</f>
        <v>41.828499999999991</v>
      </c>
      <c r="F223" s="136">
        <f t="shared" ca="1" si="9"/>
        <v>0</v>
      </c>
      <c r="G223" s="137" t="e">
        <f>IF(A223&lt;&gt;"",IF(AND(#REF!="Padrão",$H$4=#REF!),BDI!$B$17,IF(AND(#REF!="Padrão",$H$4=#REF!),BDI!#REF!,IF(AND(#REF!="Diferenciado",$H$4=#REF!),BDI!$E$17,IF(AND(#REF!="Diferenciado",$H$4=#REF!),BDI!#REF!,IF(#REF!="ZERO",0))))),"")</f>
        <v>#REF!</v>
      </c>
      <c r="H223" s="138" t="e">
        <f t="shared" ca="1" si="10"/>
        <v>#REF!</v>
      </c>
      <c r="I223" s="136" t="e">
        <f t="shared" ca="1" si="11"/>
        <v>#REF!</v>
      </c>
    </row>
    <row r="224" spans="1:9" hidden="1" x14ac:dyDescent="0.25">
      <c r="A224" s="114" t="s">
        <v>428</v>
      </c>
      <c r="B224" s="115" t="s">
        <v>1752</v>
      </c>
      <c r="C224" s="116" t="s">
        <v>20</v>
      </c>
      <c r="D224" s="116">
        <v>0</v>
      </c>
      <c r="E224" s="135">
        <f ca="1">OFFSET(INDEX(Composições!A:J,MATCH(Orçamentária!A224,Composições!A:A,0),8),2,0)</f>
        <v>41.828499999999991</v>
      </c>
      <c r="F224" s="136">
        <f t="shared" ca="1" si="9"/>
        <v>0</v>
      </c>
      <c r="G224" s="137" t="e">
        <f>IF(A224&lt;&gt;"",IF(AND(#REF!="Padrão",$H$4=#REF!),BDI!$B$17,IF(AND(#REF!="Padrão",$H$4=#REF!),BDI!#REF!,IF(AND(#REF!="Diferenciado",$H$4=#REF!),BDI!$E$17,IF(AND(#REF!="Diferenciado",$H$4=#REF!),BDI!#REF!,IF(#REF!="ZERO",0))))),"")</f>
        <v>#REF!</v>
      </c>
      <c r="H224" s="138" t="e">
        <f t="shared" ca="1" si="10"/>
        <v>#REF!</v>
      </c>
      <c r="I224" s="136" t="e">
        <f t="shared" ca="1" si="11"/>
        <v>#REF!</v>
      </c>
    </row>
    <row r="225" spans="1:9" hidden="1" x14ac:dyDescent="0.25">
      <c r="A225" s="114" t="s">
        <v>430</v>
      </c>
      <c r="B225" s="115" t="s">
        <v>1753</v>
      </c>
      <c r="C225" s="116" t="s">
        <v>20</v>
      </c>
      <c r="D225" s="116">
        <v>0</v>
      </c>
      <c r="E225" s="135">
        <f ca="1">OFFSET(INDEX(Composições!A:J,MATCH(Orçamentária!A225,Composições!A:A,0),8),2,0)</f>
        <v>41.828499999999998</v>
      </c>
      <c r="F225" s="136">
        <f t="shared" ca="1" si="9"/>
        <v>0</v>
      </c>
      <c r="G225" s="137" t="e">
        <f>IF(A225&lt;&gt;"",IF(AND(#REF!="Padrão",$H$4=#REF!),BDI!$B$17,IF(AND(#REF!="Padrão",$H$4=#REF!),BDI!#REF!,IF(AND(#REF!="Diferenciado",$H$4=#REF!),BDI!$E$17,IF(AND(#REF!="Diferenciado",$H$4=#REF!),BDI!#REF!,IF(#REF!="ZERO",0))))),"")</f>
        <v>#REF!</v>
      </c>
      <c r="H225" s="138" t="e">
        <f t="shared" ca="1" si="10"/>
        <v>#REF!</v>
      </c>
      <c r="I225" s="136" t="e">
        <f t="shared" ca="1" si="11"/>
        <v>#REF!</v>
      </c>
    </row>
    <row r="226" spans="1:9" hidden="1" x14ac:dyDescent="0.25">
      <c r="A226" s="114" t="s">
        <v>432</v>
      </c>
      <c r="B226" s="115" t="s">
        <v>1754</v>
      </c>
      <c r="C226" s="116" t="s">
        <v>20</v>
      </c>
      <c r="D226" s="116">
        <v>0</v>
      </c>
      <c r="E226" s="135">
        <f ca="1">OFFSET(INDEX(Composições!A:J,MATCH(Orçamentária!A226,Composições!A:A,0),8),2,0)</f>
        <v>34.2880422</v>
      </c>
      <c r="F226" s="136">
        <f t="shared" ca="1" si="9"/>
        <v>0</v>
      </c>
      <c r="G226" s="137" t="e">
        <f>IF(A226&lt;&gt;"",IF(AND(#REF!="Padrão",$H$4=#REF!),BDI!$B$17,IF(AND(#REF!="Padrão",$H$4=#REF!),BDI!#REF!,IF(AND(#REF!="Diferenciado",$H$4=#REF!),BDI!$E$17,IF(AND(#REF!="Diferenciado",$H$4=#REF!),BDI!#REF!,IF(#REF!="ZERO",0))))),"")</f>
        <v>#REF!</v>
      </c>
      <c r="H226" s="138" t="e">
        <f t="shared" ca="1" si="10"/>
        <v>#REF!</v>
      </c>
      <c r="I226" s="136" t="e">
        <f t="shared" ca="1" si="11"/>
        <v>#REF!</v>
      </c>
    </row>
    <row r="227" spans="1:9" hidden="1" x14ac:dyDescent="0.25">
      <c r="A227" s="114" t="s">
        <v>434</v>
      </c>
      <c r="B227" s="115" t="s">
        <v>1755</v>
      </c>
      <c r="C227" s="116" t="s">
        <v>20</v>
      </c>
      <c r="D227" s="116">
        <v>0</v>
      </c>
      <c r="E227" s="135">
        <f ca="1">OFFSET(INDEX(Composições!A:J,MATCH(Orçamentária!A227,Composições!A:A,0),8),2,0)</f>
        <v>110.85661529999999</v>
      </c>
      <c r="F227" s="136">
        <f t="shared" ca="1" si="9"/>
        <v>0</v>
      </c>
      <c r="G227" s="137" t="e">
        <f>IF(A227&lt;&gt;"",IF(AND(#REF!="Padrão",$H$4=#REF!),BDI!$B$17,IF(AND(#REF!="Padrão",$H$4=#REF!),BDI!#REF!,IF(AND(#REF!="Diferenciado",$H$4=#REF!),BDI!$E$17,IF(AND(#REF!="Diferenciado",$H$4=#REF!),BDI!#REF!,IF(#REF!="ZERO",0))))),"")</f>
        <v>#REF!</v>
      </c>
      <c r="H227" s="138" t="e">
        <f t="shared" ca="1" si="10"/>
        <v>#REF!</v>
      </c>
      <c r="I227" s="136" t="e">
        <f t="shared" ca="1" si="11"/>
        <v>#REF!</v>
      </c>
    </row>
    <row r="228" spans="1:9" hidden="1" x14ac:dyDescent="0.25">
      <c r="A228" s="114" t="s">
        <v>436</v>
      </c>
      <c r="B228" s="115" t="s">
        <v>6376</v>
      </c>
      <c r="C228" s="116" t="s">
        <v>20</v>
      </c>
      <c r="D228" s="116">
        <v>0</v>
      </c>
      <c r="E228" s="135">
        <f ca="1">OFFSET(INDEX(Composições!A:J,MATCH(Orçamentária!A228,Composições!A:A,0),8),2,0)</f>
        <v>3.9981528999999996</v>
      </c>
      <c r="F228" s="136">
        <f t="shared" ca="1" si="9"/>
        <v>0</v>
      </c>
      <c r="G228" s="137" t="e">
        <f>IF(A228&lt;&gt;"",IF(AND(#REF!="Padrão",$H$4=#REF!),BDI!$B$17,IF(AND(#REF!="Padrão",$H$4=#REF!),BDI!#REF!,IF(AND(#REF!="Diferenciado",$H$4=#REF!),BDI!$E$17,IF(AND(#REF!="Diferenciado",$H$4=#REF!),BDI!#REF!,IF(#REF!="ZERO",0))))),"")</f>
        <v>#REF!</v>
      </c>
      <c r="H228" s="138" t="e">
        <f t="shared" ca="1" si="10"/>
        <v>#REF!</v>
      </c>
      <c r="I228" s="136" t="e">
        <f t="shared" ca="1" si="11"/>
        <v>#REF!</v>
      </c>
    </row>
    <row r="229" spans="1:9" hidden="1" x14ac:dyDescent="0.25">
      <c r="A229" s="114" t="s">
        <v>439</v>
      </c>
      <c r="B229" s="115" t="s">
        <v>6377</v>
      </c>
      <c r="C229" s="116" t="s">
        <v>20</v>
      </c>
      <c r="D229" s="116">
        <v>0</v>
      </c>
      <c r="E229" s="135">
        <f ca="1">OFFSET(INDEX(Composições!A:J,MATCH(Orçamentária!A229,Composições!A:A,0),8),2,0)</f>
        <v>8.698388099999999</v>
      </c>
      <c r="F229" s="136">
        <f t="shared" ca="1" si="9"/>
        <v>0</v>
      </c>
      <c r="G229" s="137" t="e">
        <f>IF(A229&lt;&gt;"",IF(AND(#REF!="Padrão",$H$4=#REF!),BDI!$B$17,IF(AND(#REF!="Padrão",$H$4=#REF!),BDI!#REF!,IF(AND(#REF!="Diferenciado",$H$4=#REF!),BDI!$E$17,IF(AND(#REF!="Diferenciado",$H$4=#REF!),BDI!#REF!,IF(#REF!="ZERO",0))))),"")</f>
        <v>#REF!</v>
      </c>
      <c r="H229" s="138" t="e">
        <f t="shared" ca="1" si="10"/>
        <v>#REF!</v>
      </c>
      <c r="I229" s="136" t="e">
        <f t="shared" ca="1" si="11"/>
        <v>#REF!</v>
      </c>
    </row>
    <row r="230" spans="1:9" hidden="1" x14ac:dyDescent="0.25">
      <c r="A230" s="114" t="s">
        <v>441</v>
      </c>
      <c r="B230" s="115" t="s">
        <v>6378</v>
      </c>
      <c r="C230" s="116" t="s">
        <v>20</v>
      </c>
      <c r="D230" s="116">
        <v>0</v>
      </c>
      <c r="E230" s="135">
        <f ca="1">OFFSET(INDEX(Composições!A:J,MATCH(Orçamentária!A230,Composições!A:A,0),8),2,0)</f>
        <v>8.698388099999999</v>
      </c>
      <c r="F230" s="136">
        <f t="shared" ca="1" si="9"/>
        <v>0</v>
      </c>
      <c r="G230" s="137" t="e">
        <f>IF(A230&lt;&gt;"",IF(AND(#REF!="Padrão",$H$4=#REF!),BDI!$B$17,IF(AND(#REF!="Padrão",$H$4=#REF!),BDI!#REF!,IF(AND(#REF!="Diferenciado",$H$4=#REF!),BDI!$E$17,IF(AND(#REF!="Diferenciado",$H$4=#REF!),BDI!#REF!,IF(#REF!="ZERO",0))))),"")</f>
        <v>#REF!</v>
      </c>
      <c r="H230" s="138" t="e">
        <f t="shared" ca="1" si="10"/>
        <v>#REF!</v>
      </c>
      <c r="I230" s="136" t="e">
        <f t="shared" ca="1" si="11"/>
        <v>#REF!</v>
      </c>
    </row>
    <row r="231" spans="1:9" hidden="1" x14ac:dyDescent="0.25">
      <c r="A231" s="114" t="s">
        <v>443</v>
      </c>
      <c r="B231" s="115" t="s">
        <v>6379</v>
      </c>
      <c r="C231" s="116" t="s">
        <v>20</v>
      </c>
      <c r="D231" s="116">
        <v>0</v>
      </c>
      <c r="E231" s="135">
        <f ca="1">OFFSET(INDEX(Composições!A:J,MATCH(Orçamentária!A231,Composições!A:A,0),8),2,0)</f>
        <v>17.394552249999997</v>
      </c>
      <c r="F231" s="136">
        <f t="shared" ca="1" si="9"/>
        <v>0</v>
      </c>
      <c r="G231" s="137" t="e">
        <f>IF(A231&lt;&gt;"",IF(AND(#REF!="Padrão",$H$4=#REF!),BDI!$B$17,IF(AND(#REF!="Padrão",$H$4=#REF!),BDI!#REF!,IF(AND(#REF!="Diferenciado",$H$4=#REF!),BDI!$E$17,IF(AND(#REF!="Diferenciado",$H$4=#REF!),BDI!#REF!,IF(#REF!="ZERO",0))))),"")</f>
        <v>#REF!</v>
      </c>
      <c r="H231" s="138" t="e">
        <f t="shared" ca="1" si="10"/>
        <v>#REF!</v>
      </c>
      <c r="I231" s="136" t="e">
        <f t="shared" ca="1" si="11"/>
        <v>#REF!</v>
      </c>
    </row>
    <row r="232" spans="1:9" hidden="1" x14ac:dyDescent="0.25">
      <c r="A232" s="114" t="s">
        <v>445</v>
      </c>
      <c r="B232" s="115" t="s">
        <v>1756</v>
      </c>
      <c r="C232" s="116" t="s">
        <v>20</v>
      </c>
      <c r="D232" s="116">
        <v>0</v>
      </c>
      <c r="E232" s="135">
        <f ca="1">OFFSET(INDEX(Composições!A:J,MATCH(Orçamentária!A232,Composições!A:A,0),8),2,0)</f>
        <v>8.3790772947901484</v>
      </c>
      <c r="F232" s="136">
        <f t="shared" ca="1" si="9"/>
        <v>0</v>
      </c>
      <c r="G232" s="137" t="e">
        <f>IF(A232&lt;&gt;"",IF(AND(#REF!="Padrão",$H$4=#REF!),BDI!$B$17,IF(AND(#REF!="Padrão",$H$4=#REF!),BDI!#REF!,IF(AND(#REF!="Diferenciado",$H$4=#REF!),BDI!$E$17,IF(AND(#REF!="Diferenciado",$H$4=#REF!),BDI!#REF!,IF(#REF!="ZERO",0))))),"")</f>
        <v>#REF!</v>
      </c>
      <c r="H232" s="138" t="e">
        <f t="shared" ca="1" si="10"/>
        <v>#REF!</v>
      </c>
      <c r="I232" s="136" t="e">
        <f t="shared" ca="1" si="11"/>
        <v>#REF!</v>
      </c>
    </row>
    <row r="233" spans="1:9" hidden="1" x14ac:dyDescent="0.25">
      <c r="A233" s="114" t="s">
        <v>447</v>
      </c>
      <c r="B233" s="115" t="s">
        <v>448</v>
      </c>
      <c r="C233" s="116" t="s">
        <v>20</v>
      </c>
      <c r="D233" s="116">
        <v>0</v>
      </c>
      <c r="E233" s="135">
        <f ca="1">OFFSET(INDEX(Composições!A:J,MATCH(Orçamentária!A233,Composições!A:A,0),8),2,0)</f>
        <v>5.901209999999999</v>
      </c>
      <c r="F233" s="136">
        <f t="shared" ca="1" si="9"/>
        <v>0</v>
      </c>
      <c r="G233" s="137" t="e">
        <f>IF(A233&lt;&gt;"",IF(AND(#REF!="Padrão",$H$4=#REF!),BDI!$B$17,IF(AND(#REF!="Padrão",$H$4=#REF!),BDI!#REF!,IF(AND(#REF!="Diferenciado",$H$4=#REF!),BDI!$E$17,IF(AND(#REF!="Diferenciado",$H$4=#REF!),BDI!#REF!,IF(#REF!="ZERO",0))))),"")</f>
        <v>#REF!</v>
      </c>
      <c r="H233" s="138" t="e">
        <f t="shared" ca="1" si="10"/>
        <v>#REF!</v>
      </c>
      <c r="I233" s="136" t="e">
        <f t="shared" ca="1" si="11"/>
        <v>#REF!</v>
      </c>
    </row>
    <row r="234" spans="1:9" hidden="1" x14ac:dyDescent="0.25">
      <c r="A234" s="114" t="s">
        <v>449</v>
      </c>
      <c r="B234" s="115" t="s">
        <v>1757</v>
      </c>
      <c r="C234" s="116" t="s">
        <v>20</v>
      </c>
      <c r="D234" s="116">
        <v>0</v>
      </c>
      <c r="E234" s="135">
        <f ca="1">OFFSET(INDEX(Composições!A:J,MATCH(Orçamentária!A234,Composições!A:A,0),8),2,0)</f>
        <v>11.361191059720198</v>
      </c>
      <c r="F234" s="136">
        <f t="shared" ca="1" si="9"/>
        <v>0</v>
      </c>
      <c r="G234" s="137" t="e">
        <f>IF(A234&lt;&gt;"",IF(AND(#REF!="Padrão",$H$4=#REF!),BDI!$B$17,IF(AND(#REF!="Padrão",$H$4=#REF!),BDI!#REF!,IF(AND(#REF!="Diferenciado",$H$4=#REF!),BDI!$E$17,IF(AND(#REF!="Diferenciado",$H$4=#REF!),BDI!#REF!,IF(#REF!="ZERO",0))))),"")</f>
        <v>#REF!</v>
      </c>
      <c r="H234" s="138" t="e">
        <f t="shared" ca="1" si="10"/>
        <v>#REF!</v>
      </c>
      <c r="I234" s="136" t="e">
        <f t="shared" ca="1" si="11"/>
        <v>#REF!</v>
      </c>
    </row>
    <row r="235" spans="1:9" hidden="1" x14ac:dyDescent="0.25">
      <c r="A235" s="114" t="s">
        <v>451</v>
      </c>
      <c r="B235" s="115" t="s">
        <v>452</v>
      </c>
      <c r="C235" s="116" t="s">
        <v>20</v>
      </c>
      <c r="D235" s="116">
        <v>0</v>
      </c>
      <c r="E235" s="135">
        <f ca="1">OFFSET(INDEX(Composições!A:J,MATCH(Orçamentária!A235,Composições!A:A,0),8),2,0)</f>
        <v>6.7558679999999995</v>
      </c>
      <c r="F235" s="136">
        <f t="shared" ca="1" si="9"/>
        <v>0</v>
      </c>
      <c r="G235" s="137" t="e">
        <f>IF(A235&lt;&gt;"",IF(AND(#REF!="Padrão",$H$4=#REF!),BDI!$B$17,IF(AND(#REF!="Padrão",$H$4=#REF!),BDI!#REF!,IF(AND(#REF!="Diferenciado",$H$4=#REF!),BDI!$E$17,IF(AND(#REF!="Diferenciado",$H$4=#REF!),BDI!#REF!,IF(#REF!="ZERO",0))))),"")</f>
        <v>#REF!</v>
      </c>
      <c r="H235" s="138" t="e">
        <f t="shared" ca="1" si="10"/>
        <v>#REF!</v>
      </c>
      <c r="I235" s="136" t="e">
        <f t="shared" ca="1" si="11"/>
        <v>#REF!</v>
      </c>
    </row>
    <row r="236" spans="1:9" hidden="1" x14ac:dyDescent="0.25">
      <c r="A236" s="114" t="s">
        <v>453</v>
      </c>
      <c r="B236" s="115" t="s">
        <v>1758</v>
      </c>
      <c r="C236" s="116" t="s">
        <v>20</v>
      </c>
      <c r="D236" s="116">
        <v>0</v>
      </c>
      <c r="E236" s="135">
        <f ca="1">OFFSET(INDEX(Composições!A:J,MATCH(Orçamentária!A236,Composições!A:A,0),8),2,0)</f>
        <v>14.081507999999998</v>
      </c>
      <c r="F236" s="136">
        <f t="shared" ca="1" si="9"/>
        <v>0</v>
      </c>
      <c r="G236" s="137" t="e">
        <f>IF(A236&lt;&gt;"",IF(AND(#REF!="Padrão",$H$4=#REF!),BDI!$B$17,IF(AND(#REF!="Padrão",$H$4=#REF!),BDI!#REF!,IF(AND(#REF!="Diferenciado",$H$4=#REF!),BDI!$E$17,IF(AND(#REF!="Diferenciado",$H$4=#REF!),BDI!#REF!,IF(#REF!="ZERO",0))))),"")</f>
        <v>#REF!</v>
      </c>
      <c r="H236" s="138" t="e">
        <f t="shared" ca="1" si="10"/>
        <v>#REF!</v>
      </c>
      <c r="I236" s="136" t="e">
        <f t="shared" ca="1" si="11"/>
        <v>#REF!</v>
      </c>
    </row>
    <row r="237" spans="1:9" hidden="1" x14ac:dyDescent="0.25">
      <c r="A237" s="114" t="s">
        <v>455</v>
      </c>
      <c r="B237" s="115" t="s">
        <v>1759</v>
      </c>
      <c r="C237" s="116" t="s">
        <v>20</v>
      </c>
      <c r="D237" s="116">
        <v>0</v>
      </c>
      <c r="E237" s="135">
        <f ca="1">OFFSET(INDEX(Composições!A:J,MATCH(Orçamentária!A237,Composições!A:A,0),8),2,0)</f>
        <v>14.081507999999998</v>
      </c>
      <c r="F237" s="136">
        <f t="shared" ca="1" si="9"/>
        <v>0</v>
      </c>
      <c r="G237" s="137" t="e">
        <f>IF(A237&lt;&gt;"",IF(AND(#REF!="Padrão",$H$4=#REF!),BDI!$B$17,IF(AND(#REF!="Padrão",$H$4=#REF!),BDI!#REF!,IF(AND(#REF!="Diferenciado",$H$4=#REF!),BDI!$E$17,IF(AND(#REF!="Diferenciado",$H$4=#REF!),BDI!#REF!,IF(#REF!="ZERO",0))))),"")</f>
        <v>#REF!</v>
      </c>
      <c r="H237" s="138" t="e">
        <f t="shared" ca="1" si="10"/>
        <v>#REF!</v>
      </c>
      <c r="I237" s="136" t="e">
        <f t="shared" ca="1" si="11"/>
        <v>#REF!</v>
      </c>
    </row>
    <row r="238" spans="1:9" hidden="1" x14ac:dyDescent="0.25">
      <c r="A238" s="114" t="s">
        <v>457</v>
      </c>
      <c r="B238" s="115" t="s">
        <v>1760</v>
      </c>
      <c r="C238" s="116" t="s">
        <v>20</v>
      </c>
      <c r="D238" s="116">
        <v>0</v>
      </c>
      <c r="E238" s="135">
        <f ca="1">OFFSET(INDEX(Composições!A:J,MATCH(Orçamentária!A238,Composições!A:A,0),8),2,0)</f>
        <v>66.188076999999993</v>
      </c>
      <c r="F238" s="136">
        <f t="shared" ca="1" si="9"/>
        <v>0</v>
      </c>
      <c r="G238" s="137" t="e">
        <f>IF(A238&lt;&gt;"",IF(AND(#REF!="Padrão",$H$4=#REF!),BDI!$B$17,IF(AND(#REF!="Padrão",$H$4=#REF!),BDI!#REF!,IF(AND(#REF!="Diferenciado",$H$4=#REF!),BDI!$E$17,IF(AND(#REF!="Diferenciado",$H$4=#REF!),BDI!#REF!,IF(#REF!="ZERO",0))))),"")</f>
        <v>#REF!</v>
      </c>
      <c r="H238" s="138" t="e">
        <f t="shared" ca="1" si="10"/>
        <v>#REF!</v>
      </c>
      <c r="I238" s="136" t="e">
        <f t="shared" ca="1" si="11"/>
        <v>#REF!</v>
      </c>
    </row>
    <row r="239" spans="1:9" hidden="1" x14ac:dyDescent="0.25">
      <c r="A239" s="114" t="s">
        <v>459</v>
      </c>
      <c r="B239" s="115" t="s">
        <v>1761</v>
      </c>
      <c r="C239" s="116" t="s">
        <v>20</v>
      </c>
      <c r="D239" s="116">
        <v>0</v>
      </c>
      <c r="E239" s="135">
        <f ca="1">OFFSET(INDEX(Composições!A:J,MATCH(Orçamentária!A239,Composições!A:A,0),8),2,0)</f>
        <v>14.081507999999998</v>
      </c>
      <c r="F239" s="136">
        <f t="shared" ca="1" si="9"/>
        <v>0</v>
      </c>
      <c r="G239" s="137" t="e">
        <f>IF(A239&lt;&gt;"",IF(AND(#REF!="Padrão",$H$4=#REF!),BDI!$B$17,IF(AND(#REF!="Padrão",$H$4=#REF!),BDI!#REF!,IF(AND(#REF!="Diferenciado",$H$4=#REF!),BDI!$E$17,IF(AND(#REF!="Diferenciado",$H$4=#REF!),BDI!#REF!,IF(#REF!="ZERO",0))))),"")</f>
        <v>#REF!</v>
      </c>
      <c r="H239" s="138" t="e">
        <f t="shared" ca="1" si="10"/>
        <v>#REF!</v>
      </c>
      <c r="I239" s="136" t="e">
        <f t="shared" ca="1" si="11"/>
        <v>#REF!</v>
      </c>
    </row>
    <row r="240" spans="1:9" hidden="1" x14ac:dyDescent="0.25">
      <c r="A240" s="114" t="s">
        <v>461</v>
      </c>
      <c r="B240" s="115" t="s">
        <v>1762</v>
      </c>
      <c r="C240" s="116" t="s">
        <v>93</v>
      </c>
      <c r="D240" s="116">
        <v>0</v>
      </c>
      <c r="E240" s="135">
        <f ca="1">OFFSET(INDEX(Composições!A:J,MATCH(Orçamentária!A240,Composições!A:A,0),8),2,0)</f>
        <v>7.3256399999999999</v>
      </c>
      <c r="F240" s="136">
        <f t="shared" ca="1" si="9"/>
        <v>0</v>
      </c>
      <c r="G240" s="137" t="e">
        <f>IF(A240&lt;&gt;"",IF(AND(#REF!="Padrão",$H$4=#REF!),BDI!$B$17,IF(AND(#REF!="Padrão",$H$4=#REF!),BDI!#REF!,IF(AND(#REF!="Diferenciado",$H$4=#REF!),BDI!$E$17,IF(AND(#REF!="Diferenciado",$H$4=#REF!),BDI!#REF!,IF(#REF!="ZERO",0))))),"")</f>
        <v>#REF!</v>
      </c>
      <c r="H240" s="138" t="e">
        <f t="shared" ca="1" si="10"/>
        <v>#REF!</v>
      </c>
      <c r="I240" s="136" t="e">
        <f t="shared" ca="1" si="11"/>
        <v>#REF!</v>
      </c>
    </row>
    <row r="241" spans="1:9" hidden="1" x14ac:dyDescent="0.25">
      <c r="A241" s="114" t="s">
        <v>463</v>
      </c>
      <c r="B241" s="115" t="s">
        <v>6444</v>
      </c>
      <c r="C241" s="116" t="s">
        <v>20</v>
      </c>
      <c r="D241" s="116">
        <v>0</v>
      </c>
      <c r="E241" s="135">
        <f ca="1">OFFSET(INDEX(Composições!A:J,MATCH(Orçamentária!A241,Composições!A:A,0),8),2,0)</f>
        <v>33.705372999999994</v>
      </c>
      <c r="F241" s="136">
        <f t="shared" ca="1" si="9"/>
        <v>0</v>
      </c>
      <c r="G241" s="137" t="e">
        <f>IF(A241&lt;&gt;"",IF(AND(#REF!="Padrão",$H$4=#REF!),BDI!$B$17,IF(AND(#REF!="Padrão",$H$4=#REF!),BDI!#REF!,IF(AND(#REF!="Diferenciado",$H$4=#REF!),BDI!$E$17,IF(AND(#REF!="Diferenciado",$H$4=#REF!),BDI!#REF!,IF(#REF!="ZERO",0))))),"")</f>
        <v>#REF!</v>
      </c>
      <c r="H241" s="138" t="e">
        <f t="shared" ca="1" si="10"/>
        <v>#REF!</v>
      </c>
      <c r="I241" s="136" t="e">
        <f t="shared" ca="1" si="11"/>
        <v>#REF!</v>
      </c>
    </row>
    <row r="242" spans="1:9" hidden="1" x14ac:dyDescent="0.25">
      <c r="A242" s="114" t="s">
        <v>466</v>
      </c>
      <c r="B242" s="115" t="s">
        <v>1763</v>
      </c>
      <c r="C242" s="116" t="s">
        <v>93</v>
      </c>
      <c r="D242" s="116">
        <v>0</v>
      </c>
      <c r="E242" s="135">
        <f ca="1">OFFSET(INDEX(Composições!A:J,MATCH(Orçamentária!A242,Composições!A:A,0),8),2,0)</f>
        <v>19.074726999999996</v>
      </c>
      <c r="F242" s="136">
        <f t="shared" ca="1" si="9"/>
        <v>0</v>
      </c>
      <c r="G242" s="137" t="e">
        <f>IF(A242&lt;&gt;"",IF(AND(#REF!="Padrão",$H$4=#REF!),BDI!$B$17,IF(AND(#REF!="Padrão",$H$4=#REF!),BDI!#REF!,IF(AND(#REF!="Diferenciado",$H$4=#REF!),BDI!$E$17,IF(AND(#REF!="Diferenciado",$H$4=#REF!),BDI!#REF!,IF(#REF!="ZERO",0))))),"")</f>
        <v>#REF!</v>
      </c>
      <c r="H242" s="138" t="e">
        <f t="shared" ca="1" si="10"/>
        <v>#REF!</v>
      </c>
      <c r="I242" s="136" t="e">
        <f t="shared" ca="1" si="11"/>
        <v>#REF!</v>
      </c>
    </row>
    <row r="243" spans="1:9" hidden="1" x14ac:dyDescent="0.25">
      <c r="A243" s="114" t="s">
        <v>477</v>
      </c>
      <c r="B243" s="115" t="s">
        <v>1764</v>
      </c>
      <c r="C243" s="116" t="s">
        <v>93</v>
      </c>
      <c r="D243" s="116">
        <v>0</v>
      </c>
      <c r="E243" s="135">
        <f ca="1">OFFSET(INDEX(Composições!A:J,MATCH(Orçamentária!A243,Composições!A:A,0),8),2,0)</f>
        <v>25.432772999999997</v>
      </c>
      <c r="F243" s="136">
        <f t="shared" ca="1" si="9"/>
        <v>0</v>
      </c>
      <c r="G243" s="137" t="e">
        <f>IF(A243&lt;&gt;"",IF(AND(#REF!="Padrão",$H$4=#REF!),BDI!$B$17,IF(AND(#REF!="Padrão",$H$4=#REF!),BDI!#REF!,IF(AND(#REF!="Diferenciado",$H$4=#REF!),BDI!$E$17,IF(AND(#REF!="Diferenciado",$H$4=#REF!),BDI!#REF!,IF(#REF!="ZERO",0))))),"")</f>
        <v>#REF!</v>
      </c>
      <c r="H243" s="138" t="e">
        <f t="shared" ca="1" si="10"/>
        <v>#REF!</v>
      </c>
      <c r="I243" s="136" t="e">
        <f t="shared" ca="1" si="11"/>
        <v>#REF!</v>
      </c>
    </row>
    <row r="244" spans="1:9" hidden="1" x14ac:dyDescent="0.25">
      <c r="A244" s="114" t="s">
        <v>482</v>
      </c>
      <c r="B244" s="115" t="s">
        <v>1765</v>
      </c>
      <c r="C244" s="116" t="s">
        <v>93</v>
      </c>
      <c r="D244" s="116">
        <v>0</v>
      </c>
      <c r="E244" s="135">
        <f ca="1">OFFSET(INDEX(Composições!A:J,MATCH(Orçamentária!A244,Composições!A:A,0),8),2,0)</f>
        <v>21.362972999999997</v>
      </c>
      <c r="F244" s="136">
        <f t="shared" ca="1" si="9"/>
        <v>0</v>
      </c>
      <c r="G244" s="137" t="e">
        <f>IF(A244&lt;&gt;"",IF(AND(#REF!="Padrão",$H$4=#REF!),BDI!$B$17,IF(AND(#REF!="Padrão",$H$4=#REF!),BDI!#REF!,IF(AND(#REF!="Diferenciado",$H$4=#REF!),BDI!$E$17,IF(AND(#REF!="Diferenciado",$H$4=#REF!),BDI!#REF!,IF(#REF!="ZERO",0))))),"")</f>
        <v>#REF!</v>
      </c>
      <c r="H244" s="138" t="e">
        <f t="shared" ca="1" si="10"/>
        <v>#REF!</v>
      </c>
      <c r="I244" s="136" t="e">
        <f t="shared" ca="1" si="11"/>
        <v>#REF!</v>
      </c>
    </row>
    <row r="245" spans="1:9" hidden="1" x14ac:dyDescent="0.25">
      <c r="A245" s="114" t="s">
        <v>485</v>
      </c>
      <c r="B245" s="115" t="s">
        <v>1766</v>
      </c>
      <c r="C245" s="116" t="s">
        <v>93</v>
      </c>
      <c r="D245" s="116">
        <v>0</v>
      </c>
      <c r="E245" s="135">
        <f ca="1">OFFSET(INDEX(Composições!A:J,MATCH(Orçamentária!A245,Composições!A:A,0),8),2,0)</f>
        <v>27.467672999999998</v>
      </c>
      <c r="F245" s="136">
        <f t="shared" ca="1" si="9"/>
        <v>0</v>
      </c>
      <c r="G245" s="137" t="e">
        <f>IF(A245&lt;&gt;"",IF(AND(#REF!="Padrão",$H$4=#REF!),BDI!$B$17,IF(AND(#REF!="Padrão",$H$4=#REF!),BDI!#REF!,IF(AND(#REF!="Diferenciado",$H$4=#REF!),BDI!$E$17,IF(AND(#REF!="Diferenciado",$H$4=#REF!),BDI!#REF!,IF(#REF!="ZERO",0))))),"")</f>
        <v>#REF!</v>
      </c>
      <c r="H245" s="138" t="e">
        <f t="shared" ca="1" si="10"/>
        <v>#REF!</v>
      </c>
      <c r="I245" s="136" t="e">
        <f t="shared" ca="1" si="11"/>
        <v>#REF!</v>
      </c>
    </row>
    <row r="246" spans="1:9" hidden="1" x14ac:dyDescent="0.25">
      <c r="A246" s="114" t="s">
        <v>489</v>
      </c>
      <c r="B246" s="115" t="s">
        <v>1767</v>
      </c>
      <c r="C246" s="116" t="s">
        <v>93</v>
      </c>
      <c r="D246" s="116">
        <v>0</v>
      </c>
      <c r="E246" s="135">
        <f ca="1">OFFSET(INDEX(Composições!A:J,MATCH(Orçamentária!A246,Composições!A:A,0),8),2,0)</f>
        <v>23.397872999999997</v>
      </c>
      <c r="F246" s="136">
        <f t="shared" ca="1" si="9"/>
        <v>0</v>
      </c>
      <c r="G246" s="137" t="e">
        <f>IF(A246&lt;&gt;"",IF(AND(#REF!="Padrão",$H$4=#REF!),BDI!$B$17,IF(AND(#REF!="Padrão",$H$4=#REF!),BDI!#REF!,IF(AND(#REF!="Diferenciado",$H$4=#REF!),BDI!$E$17,IF(AND(#REF!="Diferenciado",$H$4=#REF!),BDI!#REF!,IF(#REF!="ZERO",0))))),"")</f>
        <v>#REF!</v>
      </c>
      <c r="H246" s="138" t="e">
        <f t="shared" ca="1" si="10"/>
        <v>#REF!</v>
      </c>
      <c r="I246" s="136" t="e">
        <f t="shared" ca="1" si="11"/>
        <v>#REF!</v>
      </c>
    </row>
    <row r="247" spans="1:9" hidden="1" x14ac:dyDescent="0.25">
      <c r="A247" s="114" t="s">
        <v>492</v>
      </c>
      <c r="B247" s="115" t="s">
        <v>1768</v>
      </c>
      <c r="C247" s="116" t="s">
        <v>93</v>
      </c>
      <c r="D247" s="116">
        <v>0</v>
      </c>
      <c r="E247" s="135">
        <f ca="1">OFFSET(INDEX(Composições!A:J,MATCH(Orçamentária!A247,Composições!A:A,0),8),2,0)</f>
        <v>23.397872999999997</v>
      </c>
      <c r="F247" s="136">
        <f t="shared" ca="1" si="9"/>
        <v>0</v>
      </c>
      <c r="G247" s="137" t="e">
        <f>IF(A247&lt;&gt;"",IF(AND(#REF!="Padrão",$H$4=#REF!),BDI!$B$17,IF(AND(#REF!="Padrão",$H$4=#REF!),BDI!#REF!,IF(AND(#REF!="Diferenciado",$H$4=#REF!),BDI!$E$17,IF(AND(#REF!="Diferenciado",$H$4=#REF!),BDI!#REF!,IF(#REF!="ZERO",0))))),"")</f>
        <v>#REF!</v>
      </c>
      <c r="H247" s="138" t="e">
        <f t="shared" ca="1" si="10"/>
        <v>#REF!</v>
      </c>
      <c r="I247" s="136" t="e">
        <f t="shared" ca="1" si="11"/>
        <v>#REF!</v>
      </c>
    </row>
    <row r="248" spans="1:9" hidden="1" x14ac:dyDescent="0.25">
      <c r="A248" s="114" t="s">
        <v>496</v>
      </c>
      <c r="B248" s="115" t="s">
        <v>1769</v>
      </c>
      <c r="C248" s="116" t="s">
        <v>93</v>
      </c>
      <c r="D248" s="116">
        <v>0</v>
      </c>
      <c r="E248" s="135">
        <f ca="1">OFFSET(INDEX(Composições!A:J,MATCH(Orçamentária!A248,Composições!A:A,0),8),2,0)</f>
        <v>19.711226999999997</v>
      </c>
      <c r="F248" s="136">
        <f t="shared" ca="1" si="9"/>
        <v>0</v>
      </c>
      <c r="G248" s="137" t="e">
        <f>IF(A248&lt;&gt;"",IF(AND(#REF!="Padrão",$H$4=#REF!),BDI!$B$17,IF(AND(#REF!="Padrão",$H$4=#REF!),BDI!#REF!,IF(AND(#REF!="Diferenciado",$H$4=#REF!),BDI!$E$17,IF(AND(#REF!="Diferenciado",$H$4=#REF!),BDI!#REF!,IF(#REF!="ZERO",0))))),"")</f>
        <v>#REF!</v>
      </c>
      <c r="H248" s="138" t="e">
        <f t="shared" ca="1" si="10"/>
        <v>#REF!</v>
      </c>
      <c r="I248" s="136" t="e">
        <f t="shared" ca="1" si="11"/>
        <v>#REF!</v>
      </c>
    </row>
    <row r="249" spans="1:9" hidden="1" x14ac:dyDescent="0.25">
      <c r="A249" s="114" t="s">
        <v>500</v>
      </c>
      <c r="B249" s="115" t="s">
        <v>1770</v>
      </c>
      <c r="C249" s="116" t="s">
        <v>93</v>
      </c>
      <c r="D249" s="116">
        <v>0</v>
      </c>
      <c r="E249" s="135">
        <f ca="1">OFFSET(INDEX(Composições!A:J,MATCH(Orçamentária!A249,Composições!A:A,0),8),2,0)</f>
        <v>20.358800615340002</v>
      </c>
      <c r="F249" s="136">
        <f t="shared" ca="1" si="9"/>
        <v>0</v>
      </c>
      <c r="G249" s="137" t="e">
        <f>IF(A249&lt;&gt;"",IF(AND(#REF!="Padrão",$H$4=#REF!),BDI!$B$17,IF(AND(#REF!="Padrão",$H$4=#REF!),BDI!#REF!,IF(AND(#REF!="Diferenciado",$H$4=#REF!),BDI!$E$17,IF(AND(#REF!="Diferenciado",$H$4=#REF!),BDI!#REF!,IF(#REF!="ZERO",0))))),"")</f>
        <v>#REF!</v>
      </c>
      <c r="H249" s="138" t="e">
        <f t="shared" ca="1" si="10"/>
        <v>#REF!</v>
      </c>
      <c r="I249" s="136" t="e">
        <f t="shared" ca="1" si="11"/>
        <v>#REF!</v>
      </c>
    </row>
    <row r="250" spans="1:9" hidden="1" x14ac:dyDescent="0.25">
      <c r="A250" s="114" t="s">
        <v>504</v>
      </c>
      <c r="B250" s="115" t="s">
        <v>1771</v>
      </c>
      <c r="C250" s="116" t="s">
        <v>93</v>
      </c>
      <c r="D250" s="116">
        <v>0</v>
      </c>
      <c r="E250" s="135">
        <f ca="1">OFFSET(INDEX(Composições!A:J,MATCH(Orçamentária!A250,Composições!A:A,0),8),2,0)</f>
        <v>16.967242647479999</v>
      </c>
      <c r="F250" s="136">
        <f t="shared" ca="1" si="9"/>
        <v>0</v>
      </c>
      <c r="G250" s="137" t="e">
        <f>IF(A250&lt;&gt;"",IF(AND(#REF!="Padrão",$H$4=#REF!),BDI!$B$17,IF(AND(#REF!="Padrão",$H$4=#REF!),BDI!#REF!,IF(AND(#REF!="Diferenciado",$H$4=#REF!),BDI!$E$17,IF(AND(#REF!="Diferenciado",$H$4=#REF!),BDI!#REF!,IF(#REF!="ZERO",0))))),"")</f>
        <v>#REF!</v>
      </c>
      <c r="H250" s="138" t="e">
        <f t="shared" ca="1" si="10"/>
        <v>#REF!</v>
      </c>
      <c r="I250" s="136" t="e">
        <f t="shared" ca="1" si="11"/>
        <v>#REF!</v>
      </c>
    </row>
    <row r="251" spans="1:9" hidden="1" x14ac:dyDescent="0.25">
      <c r="A251" s="114" t="s">
        <v>507</v>
      </c>
      <c r="B251" s="115" t="s">
        <v>1772</v>
      </c>
      <c r="C251" s="116" t="s">
        <v>93</v>
      </c>
      <c r="D251" s="116">
        <v>0</v>
      </c>
      <c r="E251" s="135">
        <f ca="1">OFFSET(INDEX(Composições!A:J,MATCH(Orçamentária!A251,Composições!A:A,0),8),2,0)</f>
        <v>14.81917985322</v>
      </c>
      <c r="F251" s="136">
        <f t="shared" ca="1" si="9"/>
        <v>0</v>
      </c>
      <c r="G251" s="137" t="e">
        <f>IF(A251&lt;&gt;"",IF(AND(#REF!="Padrão",$H$4=#REF!),BDI!$B$17,IF(AND(#REF!="Padrão",$H$4=#REF!),BDI!#REF!,IF(AND(#REF!="Diferenciado",$H$4=#REF!),BDI!$E$17,IF(AND(#REF!="Diferenciado",$H$4=#REF!),BDI!#REF!,IF(#REF!="ZERO",0))))),"")</f>
        <v>#REF!</v>
      </c>
      <c r="H251" s="138" t="e">
        <f t="shared" ca="1" si="10"/>
        <v>#REF!</v>
      </c>
      <c r="I251" s="136" t="e">
        <f t="shared" ca="1" si="11"/>
        <v>#REF!</v>
      </c>
    </row>
    <row r="252" spans="1:9" hidden="1" x14ac:dyDescent="0.25">
      <c r="A252" s="114" t="s">
        <v>510</v>
      </c>
      <c r="B252" s="115" t="s">
        <v>1773</v>
      </c>
      <c r="C252" s="116" t="s">
        <v>93</v>
      </c>
      <c r="D252" s="116">
        <v>0</v>
      </c>
      <c r="E252" s="135">
        <f ca="1">OFFSET(INDEX(Composições!A:J,MATCH(Orçamentária!A252,Composições!A:A,0),8),2,0)</f>
        <v>22.704822765339998</v>
      </c>
      <c r="F252" s="136">
        <f t="shared" ca="1" si="9"/>
        <v>0</v>
      </c>
      <c r="G252" s="137" t="e">
        <f>IF(A252&lt;&gt;"",IF(AND(#REF!="Padrão",$H$4=#REF!),BDI!$B$17,IF(AND(#REF!="Padrão",$H$4=#REF!),BDI!#REF!,IF(AND(#REF!="Diferenciado",$H$4=#REF!),BDI!$E$17,IF(AND(#REF!="Diferenciado",$H$4=#REF!),BDI!#REF!,IF(#REF!="ZERO",0))))),"")</f>
        <v>#REF!</v>
      </c>
      <c r="H252" s="138" t="e">
        <f t="shared" ca="1" si="10"/>
        <v>#REF!</v>
      </c>
      <c r="I252" s="136" t="e">
        <f t="shared" ca="1" si="11"/>
        <v>#REF!</v>
      </c>
    </row>
    <row r="253" spans="1:9" hidden="1" x14ac:dyDescent="0.25">
      <c r="A253" s="114" t="s">
        <v>515</v>
      </c>
      <c r="B253" s="115" t="s">
        <v>1774</v>
      </c>
      <c r="C253" s="116" t="s">
        <v>93</v>
      </c>
      <c r="D253" s="116">
        <v>0</v>
      </c>
      <c r="E253" s="135">
        <f ca="1">OFFSET(INDEX(Composições!A:J,MATCH(Orçamentária!A253,Composições!A:A,0),8),2,0)</f>
        <v>13.556637849179998</v>
      </c>
      <c r="F253" s="136">
        <f t="shared" ca="1" si="9"/>
        <v>0</v>
      </c>
      <c r="G253" s="137" t="e">
        <f>IF(A253&lt;&gt;"",IF(AND(#REF!="Padrão",$H$4=#REF!),BDI!$B$17,IF(AND(#REF!="Padrão",$H$4=#REF!),BDI!#REF!,IF(AND(#REF!="Diferenciado",$H$4=#REF!),BDI!$E$17,IF(AND(#REF!="Diferenciado",$H$4=#REF!),BDI!#REF!,IF(#REF!="ZERO",0))))),"")</f>
        <v>#REF!</v>
      </c>
      <c r="H253" s="138" t="e">
        <f t="shared" ca="1" si="10"/>
        <v>#REF!</v>
      </c>
      <c r="I253" s="136" t="e">
        <f t="shared" ca="1" si="11"/>
        <v>#REF!</v>
      </c>
    </row>
    <row r="254" spans="1:9" hidden="1" x14ac:dyDescent="0.25">
      <c r="A254" s="114" t="s">
        <v>518</v>
      </c>
      <c r="B254" s="115" t="s">
        <v>1775</v>
      </c>
      <c r="C254" s="116" t="s">
        <v>93</v>
      </c>
      <c r="D254" s="116">
        <v>0</v>
      </c>
      <c r="E254" s="135">
        <f ca="1">OFFSET(INDEX(Composições!A:J,MATCH(Orçamentária!A254,Composições!A:A,0),8),2,0)</f>
        <v>13.245080499999998</v>
      </c>
      <c r="F254" s="136">
        <f t="shared" ca="1" si="9"/>
        <v>0</v>
      </c>
      <c r="G254" s="137" t="e">
        <f>IF(A254&lt;&gt;"",IF(AND(#REF!="Padrão",$H$4=#REF!),BDI!$B$17,IF(AND(#REF!="Padrão",$H$4=#REF!),BDI!#REF!,IF(AND(#REF!="Diferenciado",$H$4=#REF!),BDI!$E$17,IF(AND(#REF!="Diferenciado",$H$4=#REF!),BDI!#REF!,IF(#REF!="ZERO",0))))),"")</f>
        <v>#REF!</v>
      </c>
      <c r="H254" s="138" t="e">
        <f t="shared" ca="1" si="10"/>
        <v>#REF!</v>
      </c>
      <c r="I254" s="136" t="e">
        <f t="shared" ca="1" si="11"/>
        <v>#REF!</v>
      </c>
    </row>
    <row r="255" spans="1:9" hidden="1" x14ac:dyDescent="0.25">
      <c r="A255" s="114" t="s">
        <v>521</v>
      </c>
      <c r="B255" s="115" t="s">
        <v>1776</v>
      </c>
      <c r="C255" s="116" t="s">
        <v>93</v>
      </c>
      <c r="D255" s="116">
        <v>0</v>
      </c>
      <c r="E255" s="135">
        <f ca="1">OFFSET(INDEX(Composições!A:J,MATCH(Orçamentária!A255,Composições!A:A,0),8),2,0)</f>
        <v>9.0557704999999995</v>
      </c>
      <c r="F255" s="136">
        <f t="shared" ca="1" si="9"/>
        <v>0</v>
      </c>
      <c r="G255" s="137" t="e">
        <f>IF(A255&lt;&gt;"",IF(AND(#REF!="Padrão",$H$4=#REF!),BDI!$B$17,IF(AND(#REF!="Padrão",$H$4=#REF!),BDI!#REF!,IF(AND(#REF!="Diferenciado",$H$4=#REF!),BDI!$E$17,IF(AND(#REF!="Diferenciado",$H$4=#REF!),BDI!#REF!,IF(#REF!="ZERO",0))))),"")</f>
        <v>#REF!</v>
      </c>
      <c r="H255" s="138" t="e">
        <f t="shared" ca="1" si="10"/>
        <v>#REF!</v>
      </c>
      <c r="I255" s="136" t="e">
        <f t="shared" ca="1" si="11"/>
        <v>#REF!</v>
      </c>
    </row>
    <row r="256" spans="1:9" hidden="1" x14ac:dyDescent="0.25">
      <c r="A256" s="114" t="s">
        <v>523</v>
      </c>
      <c r="B256" s="115" t="s">
        <v>1777</v>
      </c>
      <c r="C256" s="116" t="s">
        <v>93</v>
      </c>
      <c r="D256" s="116">
        <v>0</v>
      </c>
      <c r="E256" s="135">
        <f ca="1">OFFSET(INDEX(Composições!A:J,MATCH(Orçamentária!A256,Composições!A:A,0),8),2,0)</f>
        <v>19.080445999999998</v>
      </c>
      <c r="F256" s="136">
        <f t="shared" ca="1" si="9"/>
        <v>0</v>
      </c>
      <c r="G256" s="137" t="e">
        <f>IF(A256&lt;&gt;"",IF(AND(#REF!="Padrão",$H$4=#REF!),BDI!$B$17,IF(AND(#REF!="Padrão",$H$4=#REF!),BDI!#REF!,IF(AND(#REF!="Diferenciado",$H$4=#REF!),BDI!$E$17,IF(AND(#REF!="Diferenciado",$H$4=#REF!),BDI!#REF!,IF(#REF!="ZERO",0))))),"")</f>
        <v>#REF!</v>
      </c>
      <c r="H256" s="138" t="e">
        <f t="shared" ca="1" si="10"/>
        <v>#REF!</v>
      </c>
      <c r="I256" s="136" t="e">
        <f t="shared" ca="1" si="11"/>
        <v>#REF!</v>
      </c>
    </row>
    <row r="257" spans="1:9" hidden="1" x14ac:dyDescent="0.25">
      <c r="A257" s="114" t="s">
        <v>525</v>
      </c>
      <c r="B257" s="115" t="s">
        <v>1778</v>
      </c>
      <c r="C257" s="116" t="s">
        <v>93</v>
      </c>
      <c r="D257" s="116">
        <v>0</v>
      </c>
      <c r="E257" s="135">
        <f ca="1">OFFSET(INDEX(Composições!A:J,MATCH(Orçamentária!A257,Composições!A:A,0),8),2,0)</f>
        <v>14.782285000000002</v>
      </c>
      <c r="F257" s="136">
        <f t="shared" ca="1" si="9"/>
        <v>0</v>
      </c>
      <c r="G257" s="137" t="e">
        <f>IF(A257&lt;&gt;"",IF(AND(#REF!="Padrão",$H$4=#REF!),BDI!$B$17,IF(AND(#REF!="Padrão",$H$4=#REF!),BDI!#REF!,IF(AND(#REF!="Diferenciado",$H$4=#REF!),BDI!$E$17,IF(AND(#REF!="Diferenciado",$H$4=#REF!),BDI!#REF!,IF(#REF!="ZERO",0))))),"")</f>
        <v>#REF!</v>
      </c>
      <c r="H257" s="138" t="e">
        <f t="shared" ca="1" si="10"/>
        <v>#REF!</v>
      </c>
      <c r="I257" s="136" t="e">
        <f t="shared" ca="1" si="11"/>
        <v>#REF!</v>
      </c>
    </row>
    <row r="258" spans="1:9" hidden="1" x14ac:dyDescent="0.25">
      <c r="A258" s="114" t="s">
        <v>527</v>
      </c>
      <c r="B258" s="115" t="s">
        <v>1779</v>
      </c>
      <c r="C258" s="116" t="s">
        <v>93</v>
      </c>
      <c r="D258" s="116">
        <v>0</v>
      </c>
      <c r="E258" s="135">
        <f ca="1">OFFSET(INDEX(Composições!A:J,MATCH(Orçamentária!A258,Composições!A:A,0),8),2,0)</f>
        <v>18.820126999999996</v>
      </c>
      <c r="F258" s="136">
        <f t="shared" ca="1" si="9"/>
        <v>0</v>
      </c>
      <c r="G258" s="137" t="e">
        <f>IF(A258&lt;&gt;"",IF(AND(#REF!="Padrão",$H$4=#REF!),BDI!$B$17,IF(AND(#REF!="Padrão",$H$4=#REF!),BDI!#REF!,IF(AND(#REF!="Diferenciado",$H$4=#REF!),BDI!$E$17,IF(AND(#REF!="Diferenciado",$H$4=#REF!),BDI!#REF!,IF(#REF!="ZERO",0))))),"")</f>
        <v>#REF!</v>
      </c>
      <c r="H258" s="138" t="e">
        <f t="shared" ca="1" si="10"/>
        <v>#REF!</v>
      </c>
      <c r="I258" s="136" t="e">
        <f t="shared" ca="1" si="11"/>
        <v>#REF!</v>
      </c>
    </row>
    <row r="259" spans="1:9" hidden="1" x14ac:dyDescent="0.25">
      <c r="A259" s="114" t="s">
        <v>532</v>
      </c>
      <c r="B259" s="115" t="s">
        <v>1780</v>
      </c>
      <c r="C259" s="116" t="s">
        <v>20</v>
      </c>
      <c r="D259" s="116">
        <v>0</v>
      </c>
      <c r="E259" s="135">
        <f ca="1">OFFSET(INDEX(Composições!A:J,MATCH(Orçamentária!A259,Composições!A:A,0),8),2,0)</f>
        <v>5.7387600000000001</v>
      </c>
      <c r="F259" s="136">
        <f t="shared" ca="1" si="9"/>
        <v>0</v>
      </c>
      <c r="G259" s="137" t="e">
        <f>IF(A259&lt;&gt;"",IF(AND(#REF!="Padrão",$H$4=#REF!),BDI!$B$17,IF(AND(#REF!="Padrão",$H$4=#REF!),BDI!#REF!,IF(AND(#REF!="Diferenciado",$H$4=#REF!),BDI!$E$17,IF(AND(#REF!="Diferenciado",$H$4=#REF!),BDI!#REF!,IF(#REF!="ZERO",0))))),"")</f>
        <v>#REF!</v>
      </c>
      <c r="H259" s="138" t="e">
        <f t="shared" ca="1" si="10"/>
        <v>#REF!</v>
      </c>
      <c r="I259" s="136" t="e">
        <f t="shared" ca="1" si="11"/>
        <v>#REF!</v>
      </c>
    </row>
    <row r="260" spans="1:9" hidden="1" x14ac:dyDescent="0.25">
      <c r="A260" s="114" t="s">
        <v>535</v>
      </c>
      <c r="B260" s="115" t="s">
        <v>1781</v>
      </c>
      <c r="C260" s="116" t="s">
        <v>20</v>
      </c>
      <c r="D260" s="116">
        <v>0</v>
      </c>
      <c r="E260" s="135">
        <f ca="1">OFFSET(INDEX(Composições!A:J,MATCH(Orçamentária!A260,Composições!A:A,0),8),2,0)</f>
        <v>9.4395799999999994</v>
      </c>
      <c r="F260" s="136">
        <f t="shared" ca="1" si="9"/>
        <v>0</v>
      </c>
      <c r="G260" s="137" t="e">
        <f>IF(A260&lt;&gt;"",IF(AND(#REF!="Padrão",$H$4=#REF!),BDI!$B$17,IF(AND(#REF!="Padrão",$H$4=#REF!),BDI!#REF!,IF(AND(#REF!="Diferenciado",$H$4=#REF!),BDI!$E$17,IF(AND(#REF!="Diferenciado",$H$4=#REF!),BDI!#REF!,IF(#REF!="ZERO",0))))),"")</f>
        <v>#REF!</v>
      </c>
      <c r="H260" s="138" t="e">
        <f t="shared" ca="1" si="10"/>
        <v>#REF!</v>
      </c>
      <c r="I260" s="136" t="e">
        <f t="shared" ca="1" si="11"/>
        <v>#REF!</v>
      </c>
    </row>
    <row r="261" spans="1:9" hidden="1" x14ac:dyDescent="0.25">
      <c r="A261" s="114" t="s">
        <v>538</v>
      </c>
      <c r="B261" s="115" t="s">
        <v>539</v>
      </c>
      <c r="C261" s="116" t="s">
        <v>20</v>
      </c>
      <c r="D261" s="116">
        <v>0</v>
      </c>
      <c r="E261" s="135">
        <f ca="1">OFFSET(INDEX(Composições!A:J,MATCH(Orçamentária!A261,Composições!A:A,0),8),2,0)</f>
        <v>4.4615799999999997</v>
      </c>
      <c r="F261" s="136">
        <f t="shared" ca="1" si="9"/>
        <v>0</v>
      </c>
      <c r="G261" s="137" t="e">
        <f>IF(A261&lt;&gt;"",IF(AND(#REF!="Padrão",$H$4=#REF!),BDI!$B$17,IF(AND(#REF!="Padrão",$H$4=#REF!),BDI!#REF!,IF(AND(#REF!="Diferenciado",$H$4=#REF!),BDI!$E$17,IF(AND(#REF!="Diferenciado",$H$4=#REF!),BDI!#REF!,IF(#REF!="ZERO",0))))),"")</f>
        <v>#REF!</v>
      </c>
      <c r="H261" s="138" t="e">
        <f t="shared" ca="1" si="10"/>
        <v>#REF!</v>
      </c>
      <c r="I261" s="136" t="e">
        <f t="shared" ca="1" si="11"/>
        <v>#REF!</v>
      </c>
    </row>
    <row r="262" spans="1:9" hidden="1" x14ac:dyDescent="0.25">
      <c r="A262" s="114" t="s">
        <v>540</v>
      </c>
      <c r="B262" s="115" t="s">
        <v>1782</v>
      </c>
      <c r="C262" s="116" t="s">
        <v>20</v>
      </c>
      <c r="D262" s="116">
        <v>0</v>
      </c>
      <c r="E262" s="135">
        <f ca="1">OFFSET(INDEX(Composições!A:J,MATCH(Orçamentária!A262,Composições!A:A,0),8),2,0)</f>
        <v>6.1046999999999993</v>
      </c>
      <c r="F262" s="136">
        <f t="shared" ca="1" si="9"/>
        <v>0</v>
      </c>
      <c r="G262" s="137" t="e">
        <f>IF(A262&lt;&gt;"",IF(AND(#REF!="Padrão",$H$4=#REF!),BDI!$B$17,IF(AND(#REF!="Padrão",$H$4=#REF!),BDI!#REF!,IF(AND(#REF!="Diferenciado",$H$4=#REF!),BDI!$E$17,IF(AND(#REF!="Diferenciado",$H$4=#REF!),BDI!#REF!,IF(#REF!="ZERO",0))))),"")</f>
        <v>#REF!</v>
      </c>
      <c r="H262" s="138" t="e">
        <f t="shared" ca="1" si="10"/>
        <v>#REF!</v>
      </c>
      <c r="I262" s="136" t="e">
        <f t="shared" ca="1" si="11"/>
        <v>#REF!</v>
      </c>
    </row>
    <row r="263" spans="1:9" hidden="1" x14ac:dyDescent="0.25">
      <c r="A263" s="114" t="s">
        <v>543</v>
      </c>
      <c r="B263" s="115" t="s">
        <v>544</v>
      </c>
      <c r="C263" s="116" t="s">
        <v>20</v>
      </c>
      <c r="D263" s="116">
        <v>0</v>
      </c>
      <c r="E263" s="135">
        <f ca="1">OFFSET(INDEX(Composições!A:J,MATCH(Orçamentária!A263,Composições!A:A,0),8),2,0)</f>
        <v>2.2894999999999999</v>
      </c>
      <c r="F263" s="136">
        <f t="shared" ref="F263:F326" ca="1" si="12">IF(ISNUMBER(E263),D263*E263,"")</f>
        <v>0</v>
      </c>
      <c r="G263" s="137" t="e">
        <f>IF(A263&lt;&gt;"",IF(AND(#REF!="Padrão",$H$4=#REF!),BDI!$B$17,IF(AND(#REF!="Padrão",$H$4=#REF!),BDI!#REF!,IF(AND(#REF!="Diferenciado",$H$4=#REF!),BDI!$E$17,IF(AND(#REF!="Diferenciado",$H$4=#REF!),BDI!#REF!,IF(#REF!="ZERO",0))))),"")</f>
        <v>#REF!</v>
      </c>
      <c r="H263" s="138" t="e">
        <f t="shared" ref="H263:H326" ca="1" si="13">IF(ISNUMBER(E263),ROUND(E263*(1+G263),2),"")</f>
        <v>#REF!</v>
      </c>
      <c r="I263" s="136" t="e">
        <f t="shared" ref="I263:I326" ca="1" si="14">IF(ISNUMBER(E263),ROUND(H263*D263,2),"")</f>
        <v>#REF!</v>
      </c>
    </row>
    <row r="264" spans="1:9" hidden="1" x14ac:dyDescent="0.25">
      <c r="A264" s="114" t="s">
        <v>545</v>
      </c>
      <c r="B264" s="115" t="s">
        <v>1783</v>
      </c>
      <c r="C264" s="116" t="s">
        <v>20</v>
      </c>
      <c r="D264" s="116">
        <v>0</v>
      </c>
      <c r="E264" s="135">
        <f ca="1">OFFSET(INDEX(Composições!A:J,MATCH(Orçamentária!A264,Composições!A:A,0),8),2,0)</f>
        <v>20.077984000000001</v>
      </c>
      <c r="F264" s="136">
        <f t="shared" ca="1" si="12"/>
        <v>0</v>
      </c>
      <c r="G264" s="137" t="e">
        <f>IF(A264&lt;&gt;"",IF(AND(#REF!="Padrão",$H$4=#REF!),BDI!$B$17,IF(AND(#REF!="Padrão",$H$4=#REF!),BDI!#REF!,IF(AND(#REF!="Diferenciado",$H$4=#REF!),BDI!$E$17,IF(AND(#REF!="Diferenciado",$H$4=#REF!),BDI!#REF!,IF(#REF!="ZERO",0))))),"")</f>
        <v>#REF!</v>
      </c>
      <c r="H264" s="138" t="e">
        <f t="shared" ca="1" si="13"/>
        <v>#REF!</v>
      </c>
      <c r="I264" s="136" t="e">
        <f t="shared" ca="1" si="14"/>
        <v>#REF!</v>
      </c>
    </row>
    <row r="265" spans="1:9" hidden="1" x14ac:dyDescent="0.25">
      <c r="A265" s="114" t="s">
        <v>547</v>
      </c>
      <c r="B265" s="115" t="s">
        <v>1784</v>
      </c>
      <c r="C265" s="116" t="s">
        <v>20</v>
      </c>
      <c r="D265" s="116">
        <v>0</v>
      </c>
      <c r="E265" s="135">
        <f ca="1">OFFSET(INDEX(Composições!A:J,MATCH(Orçamentária!A265,Composições!A:A,0),8),2,0)</f>
        <v>14.942549999999999</v>
      </c>
      <c r="F265" s="136">
        <f t="shared" ca="1" si="12"/>
        <v>0</v>
      </c>
      <c r="G265" s="137" t="e">
        <f>IF(A265&lt;&gt;"",IF(AND(#REF!="Padrão",$H$4=#REF!),BDI!$B$17,IF(AND(#REF!="Padrão",$H$4=#REF!),BDI!#REF!,IF(AND(#REF!="Diferenciado",$H$4=#REF!),BDI!$E$17,IF(AND(#REF!="Diferenciado",$H$4=#REF!),BDI!#REF!,IF(#REF!="ZERO",0))))),"")</f>
        <v>#REF!</v>
      </c>
      <c r="H265" s="138" t="e">
        <f t="shared" ca="1" si="13"/>
        <v>#REF!</v>
      </c>
      <c r="I265" s="136" t="e">
        <f t="shared" ca="1" si="14"/>
        <v>#REF!</v>
      </c>
    </row>
    <row r="266" spans="1:9" hidden="1" x14ac:dyDescent="0.25">
      <c r="A266" s="114" t="s">
        <v>549</v>
      </c>
      <c r="B266" s="115" t="s">
        <v>550</v>
      </c>
      <c r="C266" s="116" t="s">
        <v>20</v>
      </c>
      <c r="D266" s="116">
        <v>0</v>
      </c>
      <c r="E266" s="135">
        <f ca="1">OFFSET(INDEX(Composições!A:J,MATCH(Orçamentária!A266,Composições!A:A,0),8),2,0)</f>
        <v>2.2894999999999999</v>
      </c>
      <c r="F266" s="136">
        <f t="shared" ca="1" si="12"/>
        <v>0</v>
      </c>
      <c r="G266" s="137" t="e">
        <f>IF(A266&lt;&gt;"",IF(AND(#REF!="Padrão",$H$4=#REF!),BDI!$B$17,IF(AND(#REF!="Padrão",$H$4=#REF!),BDI!#REF!,IF(AND(#REF!="Diferenciado",$H$4=#REF!),BDI!$E$17,IF(AND(#REF!="Diferenciado",$H$4=#REF!),BDI!#REF!,IF(#REF!="ZERO",0))))),"")</f>
        <v>#REF!</v>
      </c>
      <c r="H266" s="138" t="e">
        <f t="shared" ca="1" si="13"/>
        <v>#REF!</v>
      </c>
      <c r="I266" s="136" t="e">
        <f t="shared" ca="1" si="14"/>
        <v>#REF!</v>
      </c>
    </row>
    <row r="267" spans="1:9" hidden="1" x14ac:dyDescent="0.25">
      <c r="A267" s="114" t="s">
        <v>551</v>
      </c>
      <c r="B267" s="115" t="s">
        <v>552</v>
      </c>
      <c r="C267" s="116" t="s">
        <v>20</v>
      </c>
      <c r="D267" s="116">
        <v>0</v>
      </c>
      <c r="E267" s="135">
        <f ca="1">OFFSET(INDEX(Composições!A:J,MATCH(Orçamentária!A267,Composições!A:A,0),8),2,0)</f>
        <v>12.534983999999998</v>
      </c>
      <c r="F267" s="136">
        <f t="shared" ca="1" si="12"/>
        <v>0</v>
      </c>
      <c r="G267" s="137" t="e">
        <f>IF(A267&lt;&gt;"",IF(AND(#REF!="Padrão",$H$4=#REF!),BDI!$B$17,IF(AND(#REF!="Padrão",$H$4=#REF!),BDI!#REF!,IF(AND(#REF!="Diferenciado",$H$4=#REF!),BDI!$E$17,IF(AND(#REF!="Diferenciado",$H$4=#REF!),BDI!#REF!,IF(#REF!="ZERO",0))))),"")</f>
        <v>#REF!</v>
      </c>
      <c r="H267" s="138" t="e">
        <f t="shared" ca="1" si="13"/>
        <v>#REF!</v>
      </c>
      <c r="I267" s="136" t="e">
        <f t="shared" ca="1" si="14"/>
        <v>#REF!</v>
      </c>
    </row>
    <row r="268" spans="1:9" hidden="1" x14ac:dyDescent="0.25">
      <c r="A268" s="114" t="s">
        <v>553</v>
      </c>
      <c r="B268" s="115" t="s">
        <v>1785</v>
      </c>
      <c r="C268" s="116" t="s">
        <v>20</v>
      </c>
      <c r="D268" s="116">
        <v>0</v>
      </c>
      <c r="E268" s="135">
        <f ca="1">OFFSET(INDEX(Composições!A:J,MATCH(Orçamentária!A268,Composições!A:A,0),8),2,0)</f>
        <v>16.147529999999996</v>
      </c>
      <c r="F268" s="136">
        <f t="shared" ca="1" si="12"/>
        <v>0</v>
      </c>
      <c r="G268" s="137" t="e">
        <f>IF(A268&lt;&gt;"",IF(AND(#REF!="Padrão",$H$4=#REF!),BDI!$B$17,IF(AND(#REF!="Padrão",$H$4=#REF!),BDI!#REF!,IF(AND(#REF!="Diferenciado",$H$4=#REF!),BDI!$E$17,IF(AND(#REF!="Diferenciado",$H$4=#REF!),BDI!#REF!,IF(#REF!="ZERO",0))))),"")</f>
        <v>#REF!</v>
      </c>
      <c r="H268" s="138" t="e">
        <f t="shared" ca="1" si="13"/>
        <v>#REF!</v>
      </c>
      <c r="I268" s="136" t="e">
        <f t="shared" ca="1" si="14"/>
        <v>#REF!</v>
      </c>
    </row>
    <row r="269" spans="1:9" hidden="1" x14ac:dyDescent="0.25">
      <c r="A269" s="114" t="s">
        <v>555</v>
      </c>
      <c r="B269" s="115" t="s">
        <v>1786</v>
      </c>
      <c r="C269" s="116" t="s">
        <v>20</v>
      </c>
      <c r="D269" s="116">
        <v>0</v>
      </c>
      <c r="E269" s="135">
        <f ca="1">OFFSET(INDEX(Composições!A:J,MATCH(Orçamentária!A269,Composições!A:A,0),8),2,0)</f>
        <v>17.990529999999996</v>
      </c>
      <c r="F269" s="136">
        <f t="shared" ca="1" si="12"/>
        <v>0</v>
      </c>
      <c r="G269" s="137" t="e">
        <f>IF(A269&lt;&gt;"",IF(AND(#REF!="Padrão",$H$4=#REF!),BDI!$B$17,IF(AND(#REF!="Padrão",$H$4=#REF!),BDI!#REF!,IF(AND(#REF!="Diferenciado",$H$4=#REF!),BDI!$E$17,IF(AND(#REF!="Diferenciado",$H$4=#REF!),BDI!#REF!,IF(#REF!="ZERO",0))))),"")</f>
        <v>#REF!</v>
      </c>
      <c r="H269" s="138" t="e">
        <f t="shared" ca="1" si="13"/>
        <v>#REF!</v>
      </c>
      <c r="I269" s="136" t="e">
        <f t="shared" ca="1" si="14"/>
        <v>#REF!</v>
      </c>
    </row>
    <row r="270" spans="1:9" hidden="1" x14ac:dyDescent="0.25">
      <c r="A270" s="114" t="s">
        <v>557</v>
      </c>
      <c r="B270" s="115" t="s">
        <v>559</v>
      </c>
      <c r="C270" s="116" t="s">
        <v>20</v>
      </c>
      <c r="D270" s="116">
        <v>0</v>
      </c>
      <c r="E270" s="135">
        <f ca="1">OFFSET(INDEX(Composições!A:J,MATCH(Orçamentária!A270,Composições!A:A,0),8),2,0)</f>
        <v>7.1221499999999995</v>
      </c>
      <c r="F270" s="136">
        <f t="shared" ca="1" si="12"/>
        <v>0</v>
      </c>
      <c r="G270" s="137" t="e">
        <f>IF(A270&lt;&gt;"",IF(AND(#REF!="Padrão",$H$4=#REF!),BDI!$B$17,IF(AND(#REF!="Padrão",$H$4=#REF!),BDI!#REF!,IF(AND(#REF!="Diferenciado",$H$4=#REF!),BDI!$E$17,IF(AND(#REF!="Diferenciado",$H$4=#REF!),BDI!#REF!,IF(#REF!="ZERO",0))))),"")</f>
        <v>#REF!</v>
      </c>
      <c r="H270" s="138" t="e">
        <f t="shared" ca="1" si="13"/>
        <v>#REF!</v>
      </c>
      <c r="I270" s="136" t="e">
        <f t="shared" ca="1" si="14"/>
        <v>#REF!</v>
      </c>
    </row>
    <row r="271" spans="1:9" hidden="1" x14ac:dyDescent="0.25">
      <c r="A271" s="114" t="s">
        <v>560</v>
      </c>
      <c r="B271" s="115" t="s">
        <v>1787</v>
      </c>
      <c r="C271" s="116" t="s">
        <v>20</v>
      </c>
      <c r="D271" s="116">
        <v>0</v>
      </c>
      <c r="E271" s="135">
        <f ca="1">OFFSET(INDEX(Composições!A:J,MATCH(Orçamentária!A271,Composições!A:A,0),8),2,0)</f>
        <v>1.7802999999999998</v>
      </c>
      <c r="F271" s="136">
        <f t="shared" ca="1" si="12"/>
        <v>0</v>
      </c>
      <c r="G271" s="137" t="e">
        <f>IF(A271&lt;&gt;"",IF(AND(#REF!="Padrão",$H$4=#REF!),BDI!$B$17,IF(AND(#REF!="Padrão",$H$4=#REF!),BDI!#REF!,IF(AND(#REF!="Diferenciado",$H$4=#REF!),BDI!$E$17,IF(AND(#REF!="Diferenciado",$H$4=#REF!),BDI!#REF!,IF(#REF!="ZERO",0))))),"")</f>
        <v>#REF!</v>
      </c>
      <c r="H271" s="138" t="e">
        <f t="shared" ca="1" si="13"/>
        <v>#REF!</v>
      </c>
      <c r="I271" s="136" t="e">
        <f t="shared" ca="1" si="14"/>
        <v>#REF!</v>
      </c>
    </row>
    <row r="272" spans="1:9" hidden="1" x14ac:dyDescent="0.25">
      <c r="A272" s="114" t="s">
        <v>562</v>
      </c>
      <c r="B272" s="115" t="s">
        <v>1788</v>
      </c>
      <c r="C272" s="116" t="s">
        <v>20</v>
      </c>
      <c r="D272" s="116">
        <v>0</v>
      </c>
      <c r="E272" s="135">
        <f ca="1">OFFSET(INDEX(Composições!A:J,MATCH(Orçamentária!A272,Composições!A:A,0),8),2,0)</f>
        <v>1.7802999999999998</v>
      </c>
      <c r="F272" s="136">
        <f t="shared" ca="1" si="12"/>
        <v>0</v>
      </c>
      <c r="G272" s="137" t="e">
        <f>IF(A272&lt;&gt;"",IF(AND(#REF!="Padrão",$H$4=#REF!),BDI!$B$17,IF(AND(#REF!="Padrão",$H$4=#REF!),BDI!#REF!,IF(AND(#REF!="Diferenciado",$H$4=#REF!),BDI!$E$17,IF(AND(#REF!="Diferenciado",$H$4=#REF!),BDI!#REF!,IF(#REF!="ZERO",0))))),"")</f>
        <v>#REF!</v>
      </c>
      <c r="H272" s="138" t="e">
        <f t="shared" ca="1" si="13"/>
        <v>#REF!</v>
      </c>
      <c r="I272" s="136" t="e">
        <f t="shared" ca="1" si="14"/>
        <v>#REF!</v>
      </c>
    </row>
    <row r="273" spans="1:9" hidden="1" x14ac:dyDescent="0.25">
      <c r="A273" s="114" t="s">
        <v>564</v>
      </c>
      <c r="B273" s="115" t="s">
        <v>1789</v>
      </c>
      <c r="C273" s="116" t="s">
        <v>20</v>
      </c>
      <c r="D273" s="116">
        <v>0</v>
      </c>
      <c r="E273" s="135">
        <f ca="1">OFFSET(INDEX(Composições!A:J,MATCH(Orçamentária!A273,Composições!A:A,0),8),2,0)</f>
        <v>2.6704499999999993</v>
      </c>
      <c r="F273" s="136">
        <f t="shared" ca="1" si="12"/>
        <v>0</v>
      </c>
      <c r="G273" s="137" t="e">
        <f>IF(A273&lt;&gt;"",IF(AND(#REF!="Padrão",$H$4=#REF!),BDI!$B$17,IF(AND(#REF!="Padrão",$H$4=#REF!),BDI!#REF!,IF(AND(#REF!="Diferenciado",$H$4=#REF!),BDI!$E$17,IF(AND(#REF!="Diferenciado",$H$4=#REF!),BDI!#REF!,IF(#REF!="ZERO",0))))),"")</f>
        <v>#REF!</v>
      </c>
      <c r="H273" s="138" t="e">
        <f t="shared" ca="1" si="13"/>
        <v>#REF!</v>
      </c>
      <c r="I273" s="136" t="e">
        <f t="shared" ca="1" si="14"/>
        <v>#REF!</v>
      </c>
    </row>
    <row r="274" spans="1:9" hidden="1" x14ac:dyDescent="0.25">
      <c r="A274" s="114" t="s">
        <v>566</v>
      </c>
      <c r="B274" s="115" t="s">
        <v>1790</v>
      </c>
      <c r="C274" s="116" t="s">
        <v>20</v>
      </c>
      <c r="D274" s="116">
        <v>0</v>
      </c>
      <c r="E274" s="135">
        <f ca="1">OFFSET(INDEX(Composições!A:J,MATCH(Orçamentária!A274,Composições!A:A,0),8),2,0)</f>
        <v>6.1046999999999993</v>
      </c>
      <c r="F274" s="136">
        <f t="shared" ca="1" si="12"/>
        <v>0</v>
      </c>
      <c r="G274" s="137" t="e">
        <f>IF(A274&lt;&gt;"",IF(AND(#REF!="Padrão",$H$4=#REF!),BDI!$B$17,IF(AND(#REF!="Padrão",$H$4=#REF!),BDI!#REF!,IF(AND(#REF!="Diferenciado",$H$4=#REF!),BDI!$E$17,IF(AND(#REF!="Diferenciado",$H$4=#REF!),BDI!#REF!,IF(#REF!="ZERO",0))))),"")</f>
        <v>#REF!</v>
      </c>
      <c r="H274" s="138" t="e">
        <f t="shared" ca="1" si="13"/>
        <v>#REF!</v>
      </c>
      <c r="I274" s="136" t="e">
        <f t="shared" ca="1" si="14"/>
        <v>#REF!</v>
      </c>
    </row>
    <row r="275" spans="1:9" hidden="1" x14ac:dyDescent="0.25">
      <c r="A275" s="114" t="s">
        <v>568</v>
      </c>
      <c r="B275" s="115" t="s">
        <v>1791</v>
      </c>
      <c r="C275" s="116" t="s">
        <v>20</v>
      </c>
      <c r="D275" s="116">
        <v>0</v>
      </c>
      <c r="E275" s="135">
        <f ca="1">OFFSET(INDEX(Composições!A:J,MATCH(Orçamentária!A275,Composições!A:A,0),8),2,0)</f>
        <v>12.534983999999998</v>
      </c>
      <c r="F275" s="136">
        <f t="shared" ca="1" si="12"/>
        <v>0</v>
      </c>
      <c r="G275" s="137" t="e">
        <f>IF(A275&lt;&gt;"",IF(AND(#REF!="Padrão",$H$4=#REF!),BDI!$B$17,IF(AND(#REF!="Padrão",$H$4=#REF!),BDI!#REF!,IF(AND(#REF!="Diferenciado",$H$4=#REF!),BDI!$E$17,IF(AND(#REF!="Diferenciado",$H$4=#REF!),BDI!#REF!,IF(#REF!="ZERO",0))))),"")</f>
        <v>#REF!</v>
      </c>
      <c r="H275" s="138" t="e">
        <f t="shared" ca="1" si="13"/>
        <v>#REF!</v>
      </c>
      <c r="I275" s="136" t="e">
        <f t="shared" ca="1" si="14"/>
        <v>#REF!</v>
      </c>
    </row>
    <row r="276" spans="1:9" hidden="1" x14ac:dyDescent="0.25">
      <c r="A276" s="114" t="s">
        <v>569</v>
      </c>
      <c r="B276" s="115" t="s">
        <v>1792</v>
      </c>
      <c r="C276" s="116" t="s">
        <v>20</v>
      </c>
      <c r="D276" s="116">
        <v>0</v>
      </c>
      <c r="E276" s="135">
        <f ca="1">OFFSET(INDEX(Composições!A:J,MATCH(Orçamentária!A276,Composições!A:A,0),8),2,0)</f>
        <v>26.453699999999998</v>
      </c>
      <c r="F276" s="136">
        <f t="shared" ca="1" si="12"/>
        <v>0</v>
      </c>
      <c r="G276" s="137" t="e">
        <f>IF(A276&lt;&gt;"",IF(AND(#REF!="Padrão",$H$4=#REF!),BDI!$B$17,IF(AND(#REF!="Padrão",$H$4=#REF!),BDI!#REF!,IF(AND(#REF!="Diferenciado",$H$4=#REF!),BDI!$E$17,IF(AND(#REF!="Diferenciado",$H$4=#REF!),BDI!#REF!,IF(#REF!="ZERO",0))))),"")</f>
        <v>#REF!</v>
      </c>
      <c r="H276" s="138" t="e">
        <f t="shared" ca="1" si="13"/>
        <v>#REF!</v>
      </c>
      <c r="I276" s="136" t="e">
        <f t="shared" ca="1" si="14"/>
        <v>#REF!</v>
      </c>
    </row>
    <row r="277" spans="1:9" hidden="1" x14ac:dyDescent="0.25">
      <c r="A277" s="114" t="s">
        <v>572</v>
      </c>
      <c r="B277" s="115" t="s">
        <v>1793</v>
      </c>
      <c r="C277" s="116" t="s">
        <v>20</v>
      </c>
      <c r="D277" s="116">
        <v>0</v>
      </c>
      <c r="E277" s="135">
        <f ca="1">OFFSET(INDEX(Composições!A:J,MATCH(Orçamentária!A277,Composições!A:A,0),8),2,0)</f>
        <v>5.4413169000000003</v>
      </c>
      <c r="F277" s="136">
        <f t="shared" ca="1" si="12"/>
        <v>0</v>
      </c>
      <c r="G277" s="137" t="e">
        <f>IF(A277&lt;&gt;"",IF(AND(#REF!="Padrão",$H$4=#REF!),BDI!$B$17,IF(AND(#REF!="Padrão",$H$4=#REF!),BDI!#REF!,IF(AND(#REF!="Diferenciado",$H$4=#REF!),BDI!$E$17,IF(AND(#REF!="Diferenciado",$H$4=#REF!),BDI!#REF!,IF(#REF!="ZERO",0))))),"")</f>
        <v>#REF!</v>
      </c>
      <c r="H277" s="138" t="e">
        <f t="shared" ca="1" si="13"/>
        <v>#REF!</v>
      </c>
      <c r="I277" s="136" t="e">
        <f t="shared" ca="1" si="14"/>
        <v>#REF!</v>
      </c>
    </row>
    <row r="278" spans="1:9" hidden="1" x14ac:dyDescent="0.25">
      <c r="A278" s="114" t="s">
        <v>574</v>
      </c>
      <c r="B278" s="115" t="s">
        <v>1794</v>
      </c>
      <c r="C278" s="116" t="s">
        <v>20</v>
      </c>
      <c r="D278" s="116">
        <v>0</v>
      </c>
      <c r="E278" s="135">
        <f ca="1">OFFSET(INDEX(Composições!A:J,MATCH(Orçamentária!A278,Composições!A:A,0),8),2,0)</f>
        <v>10.764858499999999</v>
      </c>
      <c r="F278" s="136">
        <f t="shared" ca="1" si="12"/>
        <v>0</v>
      </c>
      <c r="G278" s="137" t="e">
        <f>IF(A278&lt;&gt;"",IF(AND(#REF!="Padrão",$H$4=#REF!),BDI!$B$17,IF(AND(#REF!="Padrão",$H$4=#REF!),BDI!#REF!,IF(AND(#REF!="Diferenciado",$H$4=#REF!),BDI!$E$17,IF(AND(#REF!="Diferenciado",$H$4=#REF!),BDI!#REF!,IF(#REF!="ZERO",0))))),"")</f>
        <v>#REF!</v>
      </c>
      <c r="H278" s="138" t="e">
        <f t="shared" ca="1" si="13"/>
        <v>#REF!</v>
      </c>
      <c r="I278" s="136" t="e">
        <f t="shared" ca="1" si="14"/>
        <v>#REF!</v>
      </c>
    </row>
    <row r="279" spans="1:9" hidden="1" x14ac:dyDescent="0.25">
      <c r="A279" s="114" t="s">
        <v>578</v>
      </c>
      <c r="B279" s="115" t="s">
        <v>1795</v>
      </c>
      <c r="C279" s="116" t="s">
        <v>20</v>
      </c>
      <c r="D279" s="116">
        <v>0</v>
      </c>
      <c r="E279" s="135">
        <f ca="1">OFFSET(INDEX(Composições!A:J,MATCH(Orçamentária!A279,Composições!A:A,0),8),2,0)</f>
        <v>10.764858499999999</v>
      </c>
      <c r="F279" s="136">
        <f t="shared" ca="1" si="12"/>
        <v>0</v>
      </c>
      <c r="G279" s="137" t="e">
        <f>IF(A279&lt;&gt;"",IF(AND(#REF!="Padrão",$H$4=#REF!),BDI!$B$17,IF(AND(#REF!="Padrão",$H$4=#REF!),BDI!#REF!,IF(AND(#REF!="Diferenciado",$H$4=#REF!),BDI!$E$17,IF(AND(#REF!="Diferenciado",$H$4=#REF!),BDI!#REF!,IF(#REF!="ZERO",0))))),"")</f>
        <v>#REF!</v>
      </c>
      <c r="H279" s="138" t="e">
        <f t="shared" ca="1" si="13"/>
        <v>#REF!</v>
      </c>
      <c r="I279" s="136" t="e">
        <f t="shared" ca="1" si="14"/>
        <v>#REF!</v>
      </c>
    </row>
    <row r="280" spans="1:9" hidden="1" x14ac:dyDescent="0.25">
      <c r="A280" s="114" t="s">
        <v>581</v>
      </c>
      <c r="B280" s="115" t="s">
        <v>1796</v>
      </c>
      <c r="C280" s="116" t="s">
        <v>20</v>
      </c>
      <c r="D280" s="116">
        <v>0</v>
      </c>
      <c r="E280" s="135">
        <f ca="1">OFFSET(INDEX(Composições!A:J,MATCH(Orçamentária!A280,Composições!A:A,0),8),2,0)</f>
        <v>12.562266099999999</v>
      </c>
      <c r="F280" s="136">
        <f t="shared" ca="1" si="12"/>
        <v>0</v>
      </c>
      <c r="G280" s="137" t="e">
        <f>IF(A280&lt;&gt;"",IF(AND(#REF!="Padrão",$H$4=#REF!),BDI!$B$17,IF(AND(#REF!="Padrão",$H$4=#REF!),BDI!#REF!,IF(AND(#REF!="Diferenciado",$H$4=#REF!),BDI!$E$17,IF(AND(#REF!="Diferenciado",$H$4=#REF!),BDI!#REF!,IF(#REF!="ZERO",0))))),"")</f>
        <v>#REF!</v>
      </c>
      <c r="H280" s="138" t="e">
        <f t="shared" ca="1" si="13"/>
        <v>#REF!</v>
      </c>
      <c r="I280" s="136" t="e">
        <f t="shared" ca="1" si="14"/>
        <v>#REF!</v>
      </c>
    </row>
    <row r="281" spans="1:9" hidden="1" x14ac:dyDescent="0.25">
      <c r="A281" s="114" t="s">
        <v>583</v>
      </c>
      <c r="B281" s="115" t="s">
        <v>1797</v>
      </c>
      <c r="C281" s="116" t="s">
        <v>20</v>
      </c>
      <c r="D281" s="116">
        <v>0</v>
      </c>
      <c r="E281" s="135">
        <f ca="1">OFFSET(INDEX(Composições!A:J,MATCH(Orçamentária!A281,Composições!A:A,0),8),2,0)</f>
        <v>10.764858499999999</v>
      </c>
      <c r="F281" s="136">
        <f t="shared" ca="1" si="12"/>
        <v>0</v>
      </c>
      <c r="G281" s="137" t="e">
        <f>IF(A281&lt;&gt;"",IF(AND(#REF!="Padrão",$H$4=#REF!),BDI!$B$17,IF(AND(#REF!="Padrão",$H$4=#REF!),BDI!#REF!,IF(AND(#REF!="Diferenciado",$H$4=#REF!),BDI!$E$17,IF(AND(#REF!="Diferenciado",$H$4=#REF!),BDI!#REF!,IF(#REF!="ZERO",0))))),"")</f>
        <v>#REF!</v>
      </c>
      <c r="H281" s="138" t="e">
        <f t="shared" ca="1" si="13"/>
        <v>#REF!</v>
      </c>
      <c r="I281" s="136" t="e">
        <f t="shared" ca="1" si="14"/>
        <v>#REF!</v>
      </c>
    </row>
    <row r="282" spans="1:9" hidden="1" x14ac:dyDescent="0.25">
      <c r="A282" s="114" t="s">
        <v>586</v>
      </c>
      <c r="B282" s="115" t="s">
        <v>1798</v>
      </c>
      <c r="C282" s="116" t="s">
        <v>20</v>
      </c>
      <c r="D282" s="116">
        <v>0</v>
      </c>
      <c r="E282" s="135">
        <f ca="1">OFFSET(INDEX(Composições!A:J,MATCH(Orçamentária!A282,Composições!A:A,0),8),2,0)</f>
        <v>12.562266099999999</v>
      </c>
      <c r="F282" s="136">
        <f t="shared" ca="1" si="12"/>
        <v>0</v>
      </c>
      <c r="G282" s="137" t="e">
        <f>IF(A282&lt;&gt;"",IF(AND(#REF!="Padrão",$H$4=#REF!),BDI!$B$17,IF(AND(#REF!="Padrão",$H$4=#REF!),BDI!#REF!,IF(AND(#REF!="Diferenciado",$H$4=#REF!),BDI!$E$17,IF(AND(#REF!="Diferenciado",$H$4=#REF!),BDI!#REF!,IF(#REF!="ZERO",0))))),"")</f>
        <v>#REF!</v>
      </c>
      <c r="H282" s="138" t="e">
        <f t="shared" ca="1" si="13"/>
        <v>#REF!</v>
      </c>
      <c r="I282" s="136" t="e">
        <f t="shared" ca="1" si="14"/>
        <v>#REF!</v>
      </c>
    </row>
    <row r="283" spans="1:9" hidden="1" x14ac:dyDescent="0.25">
      <c r="A283" s="114" t="s">
        <v>588</v>
      </c>
      <c r="B283" s="115" t="s">
        <v>4112</v>
      </c>
      <c r="C283" s="116" t="s">
        <v>93</v>
      </c>
      <c r="D283" s="116">
        <v>0</v>
      </c>
      <c r="E283" s="135">
        <f ca="1">OFFSET(INDEX(Composições!A:J,MATCH(Orçamentária!A283,Composições!A:A,0),8),2,0)</f>
        <v>0.40200199999999991</v>
      </c>
      <c r="F283" s="136">
        <f t="shared" ca="1" si="12"/>
        <v>0</v>
      </c>
      <c r="G283" s="137" t="e">
        <f>IF(A283&lt;&gt;"",IF(AND(#REF!="Padrão",$H$4=#REF!),BDI!$B$17,IF(AND(#REF!="Padrão",$H$4=#REF!),BDI!#REF!,IF(AND(#REF!="Diferenciado",$H$4=#REF!),BDI!$E$17,IF(AND(#REF!="Diferenciado",$H$4=#REF!),BDI!#REF!,IF(#REF!="ZERO",0))))),"")</f>
        <v>#REF!</v>
      </c>
      <c r="H283" s="138" t="e">
        <f t="shared" ca="1" si="13"/>
        <v>#REF!</v>
      </c>
      <c r="I283" s="136" t="e">
        <f t="shared" ca="1" si="14"/>
        <v>#REF!</v>
      </c>
    </row>
    <row r="284" spans="1:9" hidden="1" x14ac:dyDescent="0.25">
      <c r="A284" s="114" t="s">
        <v>591</v>
      </c>
      <c r="B284" s="115" t="s">
        <v>4113</v>
      </c>
      <c r="C284" s="116" t="s">
        <v>93</v>
      </c>
      <c r="D284" s="116">
        <v>0</v>
      </c>
      <c r="E284" s="135">
        <f ca="1">OFFSET(INDEX(Composições!A:J,MATCH(Orçamentária!A284,Composições!A:A,0),8),2,0)</f>
        <v>0.56479399999999991</v>
      </c>
      <c r="F284" s="136">
        <f t="shared" ca="1" si="12"/>
        <v>0</v>
      </c>
      <c r="G284" s="137" t="e">
        <f>IF(A284&lt;&gt;"",IF(AND(#REF!="Padrão",$H$4=#REF!),BDI!$B$17,IF(AND(#REF!="Padrão",$H$4=#REF!),BDI!#REF!,IF(AND(#REF!="Diferenciado",$H$4=#REF!),BDI!$E$17,IF(AND(#REF!="Diferenciado",$H$4=#REF!),BDI!#REF!,IF(#REF!="ZERO",0))))),"")</f>
        <v>#REF!</v>
      </c>
      <c r="H284" s="138" t="e">
        <f t="shared" ca="1" si="13"/>
        <v>#REF!</v>
      </c>
      <c r="I284" s="136" t="e">
        <f t="shared" ca="1" si="14"/>
        <v>#REF!</v>
      </c>
    </row>
    <row r="285" spans="1:9" hidden="1" x14ac:dyDescent="0.25">
      <c r="A285" s="114" t="s">
        <v>593</v>
      </c>
      <c r="B285" s="115" t="s">
        <v>1799</v>
      </c>
      <c r="C285" s="116" t="s">
        <v>93</v>
      </c>
      <c r="D285" s="116">
        <v>0</v>
      </c>
      <c r="E285" s="135">
        <f ca="1">OFFSET(INDEX(Composições!A:J,MATCH(Orçamentária!A285,Composições!A:A,0),8),2,0)</f>
        <v>1.253088</v>
      </c>
      <c r="F285" s="136">
        <f t="shared" ca="1" si="12"/>
        <v>0</v>
      </c>
      <c r="G285" s="137" t="e">
        <f>IF(A285&lt;&gt;"",IF(AND(#REF!="Padrão",$H$4=#REF!),BDI!$B$17,IF(AND(#REF!="Padrão",$H$4=#REF!),BDI!#REF!,IF(AND(#REF!="Diferenciado",$H$4=#REF!),BDI!$E$17,IF(AND(#REF!="Diferenciado",$H$4=#REF!),BDI!#REF!,IF(#REF!="ZERO",0))))),"")</f>
        <v>#REF!</v>
      </c>
      <c r="H285" s="138" t="e">
        <f t="shared" ca="1" si="13"/>
        <v>#REF!</v>
      </c>
      <c r="I285" s="136" t="e">
        <f t="shared" ca="1" si="14"/>
        <v>#REF!</v>
      </c>
    </row>
    <row r="286" spans="1:9" hidden="1" x14ac:dyDescent="0.25">
      <c r="A286" s="114" t="s">
        <v>595</v>
      </c>
      <c r="B286" s="115" t="s">
        <v>1800</v>
      </c>
      <c r="C286" s="116" t="s">
        <v>93</v>
      </c>
      <c r="D286" s="116">
        <v>0</v>
      </c>
      <c r="E286" s="135">
        <f ca="1">OFFSET(INDEX(Composições!A:J,MATCH(Orçamentária!A286,Composições!A:A,0),8),2,0)</f>
        <v>2.1484439999999996</v>
      </c>
      <c r="F286" s="136">
        <f t="shared" ca="1" si="12"/>
        <v>0</v>
      </c>
      <c r="G286" s="137" t="e">
        <f>IF(A286&lt;&gt;"",IF(AND(#REF!="Padrão",$H$4=#REF!),BDI!$B$17,IF(AND(#REF!="Padrão",$H$4=#REF!),BDI!#REF!,IF(AND(#REF!="Diferenciado",$H$4=#REF!),BDI!$E$17,IF(AND(#REF!="Diferenciado",$H$4=#REF!),BDI!#REF!,IF(#REF!="ZERO",0))))),"")</f>
        <v>#REF!</v>
      </c>
      <c r="H286" s="138" t="e">
        <f t="shared" ca="1" si="13"/>
        <v>#REF!</v>
      </c>
      <c r="I286" s="136" t="e">
        <f t="shared" ca="1" si="14"/>
        <v>#REF!</v>
      </c>
    </row>
    <row r="287" spans="1:9" hidden="1" x14ac:dyDescent="0.25">
      <c r="A287" s="114" t="s">
        <v>597</v>
      </c>
      <c r="B287" s="115" t="s">
        <v>1801</v>
      </c>
      <c r="C287" s="116" t="s">
        <v>93</v>
      </c>
      <c r="D287" s="116">
        <v>0</v>
      </c>
      <c r="E287" s="135">
        <f ca="1">OFFSET(INDEX(Composições!A:J,MATCH(Orçamentária!A287,Composições!A:A,0),8),2,0)</f>
        <v>1.6600679999999999</v>
      </c>
      <c r="F287" s="136">
        <f t="shared" ca="1" si="12"/>
        <v>0</v>
      </c>
      <c r="G287" s="137" t="e">
        <f>IF(A287&lt;&gt;"",IF(AND(#REF!="Padrão",$H$4=#REF!),BDI!$B$17,IF(AND(#REF!="Padrão",$H$4=#REF!),BDI!#REF!,IF(AND(#REF!="Diferenciado",$H$4=#REF!),BDI!$E$17,IF(AND(#REF!="Diferenciado",$H$4=#REF!),BDI!#REF!,IF(#REF!="ZERO",0))))),"")</f>
        <v>#REF!</v>
      </c>
      <c r="H287" s="138" t="e">
        <f t="shared" ca="1" si="13"/>
        <v>#REF!</v>
      </c>
      <c r="I287" s="136" t="e">
        <f t="shared" ca="1" si="14"/>
        <v>#REF!</v>
      </c>
    </row>
    <row r="288" spans="1:9" hidden="1" x14ac:dyDescent="0.25">
      <c r="A288" s="114" t="s">
        <v>599</v>
      </c>
      <c r="B288" s="115" t="s">
        <v>1802</v>
      </c>
      <c r="C288" s="116" t="s">
        <v>93</v>
      </c>
      <c r="D288" s="116">
        <v>0</v>
      </c>
      <c r="E288" s="135">
        <f ca="1">OFFSET(INDEX(Composições!A:J,MATCH(Orçamentária!A288,Composições!A:A,0),8),2,0)</f>
        <v>0.40200199999999991</v>
      </c>
      <c r="F288" s="136">
        <f t="shared" ca="1" si="12"/>
        <v>0</v>
      </c>
      <c r="G288" s="137" t="e">
        <f>IF(A288&lt;&gt;"",IF(AND(#REF!="Padrão",$H$4=#REF!),BDI!$B$17,IF(AND(#REF!="Padrão",$H$4=#REF!),BDI!#REF!,IF(AND(#REF!="Diferenciado",$H$4=#REF!),BDI!$E$17,IF(AND(#REF!="Diferenciado",$H$4=#REF!),BDI!#REF!,IF(#REF!="ZERO",0))))),"")</f>
        <v>#REF!</v>
      </c>
      <c r="H288" s="138" t="e">
        <f t="shared" ca="1" si="13"/>
        <v>#REF!</v>
      </c>
      <c r="I288" s="136" t="e">
        <f t="shared" ca="1" si="14"/>
        <v>#REF!</v>
      </c>
    </row>
    <row r="289" spans="1:9" hidden="1" x14ac:dyDescent="0.25">
      <c r="A289" s="114" t="s">
        <v>601</v>
      </c>
      <c r="B289" s="115" t="s">
        <v>1803</v>
      </c>
      <c r="C289" s="116" t="s">
        <v>93</v>
      </c>
      <c r="D289" s="116">
        <v>0</v>
      </c>
      <c r="E289" s="135">
        <f ca="1">OFFSET(INDEX(Composições!A:J,MATCH(Orçamentária!A289,Composições!A:A,0),8),2,0)</f>
        <v>2.1484439999999996</v>
      </c>
      <c r="F289" s="136">
        <f t="shared" ca="1" si="12"/>
        <v>0</v>
      </c>
      <c r="G289" s="137" t="e">
        <f>IF(A289&lt;&gt;"",IF(AND(#REF!="Padrão",$H$4=#REF!),BDI!$B$17,IF(AND(#REF!="Padrão",$H$4=#REF!),BDI!#REF!,IF(AND(#REF!="Diferenciado",$H$4=#REF!),BDI!$E$17,IF(AND(#REF!="Diferenciado",$H$4=#REF!),BDI!#REF!,IF(#REF!="ZERO",0))))),"")</f>
        <v>#REF!</v>
      </c>
      <c r="H289" s="138" t="e">
        <f t="shared" ca="1" si="13"/>
        <v>#REF!</v>
      </c>
      <c r="I289" s="136" t="e">
        <f t="shared" ca="1" si="14"/>
        <v>#REF!</v>
      </c>
    </row>
    <row r="290" spans="1:9" hidden="1" x14ac:dyDescent="0.25">
      <c r="A290" s="114" t="s">
        <v>603</v>
      </c>
      <c r="B290" s="115" t="s">
        <v>1804</v>
      </c>
      <c r="C290" s="116" t="s">
        <v>20</v>
      </c>
      <c r="D290" s="116">
        <v>0</v>
      </c>
      <c r="E290" s="135">
        <f ca="1">OFFSET(INDEX(Composições!A:J,MATCH(Orçamentária!A290,Composições!A:A,0),8),2,0)</f>
        <v>36.951260894361596</v>
      </c>
      <c r="F290" s="136">
        <f t="shared" ca="1" si="12"/>
        <v>0</v>
      </c>
      <c r="G290" s="137" t="e">
        <f>IF(A290&lt;&gt;"",IF(AND(#REF!="Padrão",$H$4=#REF!),BDI!$B$17,IF(AND(#REF!="Padrão",$H$4=#REF!),BDI!#REF!,IF(AND(#REF!="Diferenciado",$H$4=#REF!),BDI!$E$17,IF(AND(#REF!="Diferenciado",$H$4=#REF!),BDI!#REF!,IF(#REF!="ZERO",0))))),"")</f>
        <v>#REF!</v>
      </c>
      <c r="H290" s="138" t="e">
        <f t="shared" ca="1" si="13"/>
        <v>#REF!</v>
      </c>
      <c r="I290" s="136" t="e">
        <f t="shared" ca="1" si="14"/>
        <v>#REF!</v>
      </c>
    </row>
    <row r="291" spans="1:9" hidden="1" x14ac:dyDescent="0.25">
      <c r="A291" s="114" t="s">
        <v>1805</v>
      </c>
      <c r="B291" s="115" t="s">
        <v>6445</v>
      </c>
      <c r="C291" s="116" t="s">
        <v>20</v>
      </c>
      <c r="D291" s="116">
        <v>0</v>
      </c>
      <c r="E291" s="135" t="s">
        <v>558</v>
      </c>
      <c r="F291" s="136" t="str">
        <f t="shared" si="12"/>
        <v/>
      </c>
      <c r="G291" s="137" t="e">
        <f>IF(A291&lt;&gt;"",IF(AND(#REF!="Padrão",$H$4=#REF!),BDI!$B$17,IF(AND(#REF!="Padrão",$H$4=#REF!),BDI!#REF!,IF(AND(#REF!="Diferenciado",$H$4=#REF!),BDI!$E$17,IF(AND(#REF!="Diferenciado",$H$4=#REF!),BDI!#REF!,IF(#REF!="ZERO",0))))),"")</f>
        <v>#REF!</v>
      </c>
      <c r="H291" s="138" t="str">
        <f t="shared" si="13"/>
        <v/>
      </c>
      <c r="I291" s="136" t="str">
        <f t="shared" si="14"/>
        <v/>
      </c>
    </row>
    <row r="292" spans="1:9" hidden="1" x14ac:dyDescent="0.25">
      <c r="A292" s="114" t="s">
        <v>1806</v>
      </c>
      <c r="B292" s="115" t="s">
        <v>1807</v>
      </c>
      <c r="C292" s="116" t="s">
        <v>20</v>
      </c>
      <c r="D292" s="116">
        <v>0</v>
      </c>
      <c r="E292" s="135" t="s">
        <v>558</v>
      </c>
      <c r="F292" s="136" t="str">
        <f t="shared" si="12"/>
        <v/>
      </c>
      <c r="G292" s="137" t="e">
        <f>IF(A292&lt;&gt;"",IF(AND(#REF!="Padrão",$H$4=#REF!),BDI!$B$17,IF(AND(#REF!="Padrão",$H$4=#REF!),BDI!#REF!,IF(AND(#REF!="Diferenciado",$H$4=#REF!),BDI!$E$17,IF(AND(#REF!="Diferenciado",$H$4=#REF!),BDI!#REF!,IF(#REF!="ZERO",0))))),"")</f>
        <v>#REF!</v>
      </c>
      <c r="H292" s="138" t="str">
        <f t="shared" si="13"/>
        <v/>
      </c>
      <c r="I292" s="136" t="str">
        <f t="shared" si="14"/>
        <v/>
      </c>
    </row>
    <row r="293" spans="1:9" hidden="1" x14ac:dyDescent="0.25">
      <c r="A293" s="114" t="s">
        <v>1808</v>
      </c>
      <c r="B293" s="115" t="s">
        <v>1809</v>
      </c>
      <c r="C293" s="116" t="s">
        <v>20</v>
      </c>
      <c r="D293" s="116">
        <v>0</v>
      </c>
      <c r="E293" s="135" t="s">
        <v>558</v>
      </c>
      <c r="F293" s="136" t="str">
        <f t="shared" si="12"/>
        <v/>
      </c>
      <c r="G293" s="137" t="e">
        <f>IF(A293&lt;&gt;"",IF(AND(#REF!="Padrão",$H$4=#REF!),BDI!$B$17,IF(AND(#REF!="Padrão",$H$4=#REF!),BDI!#REF!,IF(AND(#REF!="Diferenciado",$H$4=#REF!),BDI!$E$17,IF(AND(#REF!="Diferenciado",$H$4=#REF!),BDI!#REF!,IF(#REF!="ZERO",0))))),"")</f>
        <v>#REF!</v>
      </c>
      <c r="H293" s="138" t="str">
        <f t="shared" si="13"/>
        <v/>
      </c>
      <c r="I293" s="136" t="str">
        <f t="shared" si="14"/>
        <v/>
      </c>
    </row>
    <row r="294" spans="1:9" hidden="1" x14ac:dyDescent="0.25">
      <c r="A294" s="114" t="s">
        <v>1810</v>
      </c>
      <c r="B294" s="115" t="s">
        <v>1811</v>
      </c>
      <c r="C294" s="116" t="s">
        <v>20</v>
      </c>
      <c r="D294" s="116">
        <v>0</v>
      </c>
      <c r="E294" s="135" t="s">
        <v>558</v>
      </c>
      <c r="F294" s="136" t="str">
        <f t="shared" si="12"/>
        <v/>
      </c>
      <c r="G294" s="137" t="e">
        <f>IF(A294&lt;&gt;"",IF(AND(#REF!="Padrão",$H$4=#REF!),BDI!$B$17,IF(AND(#REF!="Padrão",$H$4=#REF!),BDI!#REF!,IF(AND(#REF!="Diferenciado",$H$4=#REF!),BDI!$E$17,IF(AND(#REF!="Diferenciado",$H$4=#REF!),BDI!#REF!,IF(#REF!="ZERO",0))))),"")</f>
        <v>#REF!</v>
      </c>
      <c r="H294" s="138" t="str">
        <f t="shared" si="13"/>
        <v/>
      </c>
      <c r="I294" s="136" t="str">
        <f t="shared" si="14"/>
        <v/>
      </c>
    </row>
    <row r="295" spans="1:9" hidden="1" x14ac:dyDescent="0.25">
      <c r="A295" s="114" t="s">
        <v>1812</v>
      </c>
      <c r="B295" s="115" t="s">
        <v>1813</v>
      </c>
      <c r="C295" s="116" t="s">
        <v>20</v>
      </c>
      <c r="D295" s="116">
        <v>0</v>
      </c>
      <c r="E295" s="135" t="s">
        <v>558</v>
      </c>
      <c r="F295" s="136" t="str">
        <f t="shared" si="12"/>
        <v/>
      </c>
      <c r="G295" s="137" t="e">
        <f>IF(A295&lt;&gt;"",IF(AND(#REF!="Padrão",$H$4=#REF!),BDI!$B$17,IF(AND(#REF!="Padrão",$H$4=#REF!),BDI!#REF!,IF(AND(#REF!="Diferenciado",$H$4=#REF!),BDI!$E$17,IF(AND(#REF!="Diferenciado",$H$4=#REF!),BDI!#REF!,IF(#REF!="ZERO",0))))),"")</f>
        <v>#REF!</v>
      </c>
      <c r="H295" s="138" t="str">
        <f t="shared" si="13"/>
        <v/>
      </c>
      <c r="I295" s="136" t="str">
        <f t="shared" si="14"/>
        <v/>
      </c>
    </row>
    <row r="296" spans="1:9" hidden="1" x14ac:dyDescent="0.25">
      <c r="A296" s="114" t="s">
        <v>1814</v>
      </c>
      <c r="B296" s="115" t="s">
        <v>1815</v>
      </c>
      <c r="C296" s="116" t="s">
        <v>20</v>
      </c>
      <c r="D296" s="116">
        <v>0</v>
      </c>
      <c r="E296" s="135" t="s">
        <v>558</v>
      </c>
      <c r="F296" s="136" t="str">
        <f t="shared" si="12"/>
        <v/>
      </c>
      <c r="G296" s="137" t="e">
        <f>IF(A296&lt;&gt;"",IF(AND(#REF!="Padrão",$H$4=#REF!),BDI!$B$17,IF(AND(#REF!="Padrão",$H$4=#REF!),BDI!#REF!,IF(AND(#REF!="Diferenciado",$H$4=#REF!),BDI!$E$17,IF(AND(#REF!="Diferenciado",$H$4=#REF!),BDI!#REF!,IF(#REF!="ZERO",0))))),"")</f>
        <v>#REF!</v>
      </c>
      <c r="H296" s="138" t="str">
        <f t="shared" si="13"/>
        <v/>
      </c>
      <c r="I296" s="136" t="str">
        <f t="shared" si="14"/>
        <v/>
      </c>
    </row>
    <row r="297" spans="1:9" hidden="1" x14ac:dyDescent="0.25">
      <c r="A297" s="114" t="s">
        <v>1816</v>
      </c>
      <c r="B297" s="115" t="s">
        <v>1817</v>
      </c>
      <c r="C297" s="116" t="s">
        <v>20</v>
      </c>
      <c r="D297" s="116">
        <v>0</v>
      </c>
      <c r="E297" s="135" t="s">
        <v>558</v>
      </c>
      <c r="F297" s="136" t="str">
        <f t="shared" si="12"/>
        <v/>
      </c>
      <c r="G297" s="137" t="e">
        <f>IF(A297&lt;&gt;"",IF(AND(#REF!="Padrão",$H$4=#REF!),BDI!$B$17,IF(AND(#REF!="Padrão",$H$4=#REF!),BDI!#REF!,IF(AND(#REF!="Diferenciado",$H$4=#REF!),BDI!$E$17,IF(AND(#REF!="Diferenciado",$H$4=#REF!),BDI!#REF!,IF(#REF!="ZERO",0))))),"")</f>
        <v>#REF!</v>
      </c>
      <c r="H297" s="138" t="str">
        <f t="shared" si="13"/>
        <v/>
      </c>
      <c r="I297" s="136" t="str">
        <f t="shared" si="14"/>
        <v/>
      </c>
    </row>
    <row r="298" spans="1:9" hidden="1" x14ac:dyDescent="0.25">
      <c r="A298" s="114" t="s">
        <v>605</v>
      </c>
      <c r="B298" s="115" t="s">
        <v>1818</v>
      </c>
      <c r="C298" s="116" t="s">
        <v>20</v>
      </c>
      <c r="D298" s="116">
        <v>0</v>
      </c>
      <c r="E298" s="135">
        <f ca="1">OFFSET(INDEX(Composições!A:J,MATCH(Orçamentária!A298,Composições!A:A,0),8),2,0)</f>
        <v>83.257999999999996</v>
      </c>
      <c r="F298" s="136">
        <f t="shared" ca="1" si="12"/>
        <v>0</v>
      </c>
      <c r="G298" s="137" t="e">
        <f>IF(A298&lt;&gt;"",IF(AND(#REF!="Padrão",$H$4=#REF!),BDI!$B$17,IF(AND(#REF!="Padrão",$H$4=#REF!),BDI!#REF!,IF(AND(#REF!="Diferenciado",$H$4=#REF!),BDI!$E$17,IF(AND(#REF!="Diferenciado",$H$4=#REF!),BDI!#REF!,IF(#REF!="ZERO",0))))),"")</f>
        <v>#REF!</v>
      </c>
      <c r="H298" s="138" t="e">
        <f t="shared" ca="1" si="13"/>
        <v>#REF!</v>
      </c>
      <c r="I298" s="136" t="e">
        <f t="shared" ca="1" si="14"/>
        <v>#REF!</v>
      </c>
    </row>
    <row r="299" spans="1:9" hidden="1" x14ac:dyDescent="0.25">
      <c r="A299" s="114" t="s">
        <v>607</v>
      </c>
      <c r="B299" s="115" t="s">
        <v>1819</v>
      </c>
      <c r="C299" s="116" t="s">
        <v>20</v>
      </c>
      <c r="D299" s="116">
        <v>0</v>
      </c>
      <c r="E299" s="135">
        <f ca="1">OFFSET(INDEX(Composições!A:J,MATCH(Orçamentária!A299,Composições!A:A,0),8),2,0)</f>
        <v>124.887</v>
      </c>
      <c r="F299" s="136">
        <f t="shared" ca="1" si="12"/>
        <v>0</v>
      </c>
      <c r="G299" s="137" t="e">
        <f>IF(A299&lt;&gt;"",IF(AND(#REF!="Padrão",$H$4=#REF!),BDI!$B$17,IF(AND(#REF!="Padrão",$H$4=#REF!),BDI!#REF!,IF(AND(#REF!="Diferenciado",$H$4=#REF!),BDI!$E$17,IF(AND(#REF!="Diferenciado",$H$4=#REF!),BDI!#REF!,IF(#REF!="ZERO",0))))),"")</f>
        <v>#REF!</v>
      </c>
      <c r="H299" s="138" t="e">
        <f t="shared" ca="1" si="13"/>
        <v>#REF!</v>
      </c>
      <c r="I299" s="136" t="e">
        <f t="shared" ca="1" si="14"/>
        <v>#REF!</v>
      </c>
    </row>
    <row r="300" spans="1:9" hidden="1" x14ac:dyDescent="0.25">
      <c r="A300" s="114" t="s">
        <v>608</v>
      </c>
      <c r="B300" s="115" t="s">
        <v>1820</v>
      </c>
      <c r="C300" s="116" t="s">
        <v>20</v>
      </c>
      <c r="D300" s="116">
        <v>0</v>
      </c>
      <c r="E300" s="135">
        <f ca="1">OFFSET(INDEX(Composições!A:J,MATCH(Orçamentária!A300,Composições!A:A,0),8),2,0)</f>
        <v>40.697999999999993</v>
      </c>
      <c r="F300" s="136">
        <f t="shared" ca="1" si="12"/>
        <v>0</v>
      </c>
      <c r="G300" s="137" t="e">
        <f>IF(A300&lt;&gt;"",IF(AND(#REF!="Padrão",$H$4=#REF!),BDI!$B$17,IF(AND(#REF!="Padrão",$H$4=#REF!),BDI!#REF!,IF(AND(#REF!="Diferenciado",$H$4=#REF!),BDI!$E$17,IF(AND(#REF!="Diferenciado",$H$4=#REF!),BDI!#REF!,IF(#REF!="ZERO",0))))),"")</f>
        <v>#REF!</v>
      </c>
      <c r="H300" s="138" t="e">
        <f t="shared" ca="1" si="13"/>
        <v>#REF!</v>
      </c>
      <c r="I300" s="136" t="e">
        <f t="shared" ca="1" si="14"/>
        <v>#REF!</v>
      </c>
    </row>
    <row r="301" spans="1:9" hidden="1" x14ac:dyDescent="0.25">
      <c r="A301" s="114" t="s">
        <v>610</v>
      </c>
      <c r="B301" s="115" t="s">
        <v>1821</v>
      </c>
      <c r="C301" s="116" t="s">
        <v>20</v>
      </c>
      <c r="D301" s="116">
        <v>0</v>
      </c>
      <c r="E301" s="135">
        <f ca="1">OFFSET(INDEX(Composições!A:J,MATCH(Orçamentária!A301,Composições!A:A,0),8),2,0)</f>
        <v>40.697999999999993</v>
      </c>
      <c r="F301" s="136">
        <f t="shared" ca="1" si="12"/>
        <v>0</v>
      </c>
      <c r="G301" s="137" t="e">
        <f>IF(A301&lt;&gt;"",IF(AND(#REF!="Padrão",$H$4=#REF!),BDI!$B$17,IF(AND(#REF!="Padrão",$H$4=#REF!),BDI!#REF!,IF(AND(#REF!="Diferenciado",$H$4=#REF!),BDI!$E$17,IF(AND(#REF!="Diferenciado",$H$4=#REF!),BDI!#REF!,IF(#REF!="ZERO",0))))),"")</f>
        <v>#REF!</v>
      </c>
      <c r="H301" s="138" t="e">
        <f t="shared" ca="1" si="13"/>
        <v>#REF!</v>
      </c>
      <c r="I301" s="136" t="e">
        <f t="shared" ca="1" si="14"/>
        <v>#REF!</v>
      </c>
    </row>
    <row r="302" spans="1:9" hidden="1" x14ac:dyDescent="0.25">
      <c r="A302" s="114" t="s">
        <v>612</v>
      </c>
      <c r="B302" s="115" t="s">
        <v>1822</v>
      </c>
      <c r="C302" s="116" t="s">
        <v>95</v>
      </c>
      <c r="D302" s="116">
        <v>0</v>
      </c>
      <c r="E302" s="135">
        <f ca="1">OFFSET(INDEX(Composições!A:J,MATCH(Orçamentária!A302,Composições!A:A,0),8),2,0)</f>
        <v>250.026624</v>
      </c>
      <c r="F302" s="136">
        <f t="shared" ca="1" si="12"/>
        <v>0</v>
      </c>
      <c r="G302" s="137" t="e">
        <f>IF(A302&lt;&gt;"",IF(AND(#REF!="Padrão",$H$4=#REF!),BDI!$B$17,IF(AND(#REF!="Padrão",$H$4=#REF!),BDI!#REF!,IF(AND(#REF!="Diferenciado",$H$4=#REF!),BDI!$E$17,IF(AND(#REF!="Diferenciado",$H$4=#REF!),BDI!#REF!,IF(#REF!="ZERO",0))))),"")</f>
        <v>#REF!</v>
      </c>
      <c r="H302" s="138" t="e">
        <f t="shared" ca="1" si="13"/>
        <v>#REF!</v>
      </c>
      <c r="I302" s="136" t="e">
        <f t="shared" ca="1" si="14"/>
        <v>#REF!</v>
      </c>
    </row>
    <row r="303" spans="1:9" hidden="1" x14ac:dyDescent="0.25">
      <c r="A303" s="114" t="s">
        <v>616</v>
      </c>
      <c r="B303" s="115" t="s">
        <v>1823</v>
      </c>
      <c r="C303" s="116" t="s">
        <v>93</v>
      </c>
      <c r="D303" s="116">
        <v>0</v>
      </c>
      <c r="E303" s="135">
        <f ca="1">OFFSET(INDEX(Composições!A:J,MATCH(Orçamentária!A303,Composições!A:A,0),8),2,0)</f>
        <v>16.184200000000001</v>
      </c>
      <c r="F303" s="136">
        <f t="shared" ca="1" si="12"/>
        <v>0</v>
      </c>
      <c r="G303" s="137" t="e">
        <f>IF(A303&lt;&gt;"",IF(AND(#REF!="Padrão",$H$4=#REF!),BDI!$B$17,IF(AND(#REF!="Padrão",$H$4=#REF!),BDI!#REF!,IF(AND(#REF!="Diferenciado",$H$4=#REF!),BDI!$E$17,IF(AND(#REF!="Diferenciado",$H$4=#REF!),BDI!#REF!,IF(#REF!="ZERO",0))))),"")</f>
        <v>#REF!</v>
      </c>
      <c r="H303" s="138" t="e">
        <f t="shared" ca="1" si="13"/>
        <v>#REF!</v>
      </c>
      <c r="I303" s="136" t="e">
        <f t="shared" ca="1" si="14"/>
        <v>#REF!</v>
      </c>
    </row>
    <row r="304" spans="1:9" hidden="1" x14ac:dyDescent="0.25">
      <c r="A304" s="114" t="s">
        <v>618</v>
      </c>
      <c r="B304" s="115" t="s">
        <v>1824</v>
      </c>
      <c r="C304" s="116" t="s">
        <v>93</v>
      </c>
      <c r="D304" s="116">
        <v>0</v>
      </c>
      <c r="E304" s="135">
        <f ca="1">OFFSET(INDEX(Composições!A:J,MATCH(Orçamentária!A304,Composições!A:A,0),8),2,0)</f>
        <v>16.184200000000001</v>
      </c>
      <c r="F304" s="136">
        <f t="shared" ca="1" si="12"/>
        <v>0</v>
      </c>
      <c r="G304" s="137" t="e">
        <f>IF(A304&lt;&gt;"",IF(AND(#REF!="Padrão",$H$4=#REF!),BDI!$B$17,IF(AND(#REF!="Padrão",$H$4=#REF!),BDI!#REF!,IF(AND(#REF!="Diferenciado",$H$4=#REF!),BDI!$E$17,IF(AND(#REF!="Diferenciado",$H$4=#REF!),BDI!#REF!,IF(#REF!="ZERO",0))))),"")</f>
        <v>#REF!</v>
      </c>
      <c r="H304" s="138" t="e">
        <f t="shared" ca="1" si="13"/>
        <v>#REF!</v>
      </c>
      <c r="I304" s="136" t="e">
        <f t="shared" ca="1" si="14"/>
        <v>#REF!</v>
      </c>
    </row>
    <row r="305" spans="1:9" hidden="1" x14ac:dyDescent="0.25">
      <c r="A305" s="114" t="s">
        <v>620</v>
      </c>
      <c r="B305" s="115" t="s">
        <v>1825</v>
      </c>
      <c r="C305" s="116" t="s">
        <v>20</v>
      </c>
      <c r="D305" s="116">
        <v>0</v>
      </c>
      <c r="E305" s="135">
        <f ca="1">OFFSET(INDEX(Composições!A:J,MATCH(Orçamentária!A305,Composições!A:A,0),8),2,0)</f>
        <v>104.07249999999999</v>
      </c>
      <c r="F305" s="136">
        <f t="shared" ca="1" si="12"/>
        <v>0</v>
      </c>
      <c r="G305" s="137" t="e">
        <f>IF(A305&lt;&gt;"",IF(AND(#REF!="Padrão",$H$4=#REF!),BDI!$B$17,IF(AND(#REF!="Padrão",$H$4=#REF!),BDI!#REF!,IF(AND(#REF!="Diferenciado",$H$4=#REF!),BDI!$E$17,IF(AND(#REF!="Diferenciado",$H$4=#REF!),BDI!#REF!,IF(#REF!="ZERO",0))))),"")</f>
        <v>#REF!</v>
      </c>
      <c r="H305" s="138" t="e">
        <f t="shared" ca="1" si="13"/>
        <v>#REF!</v>
      </c>
      <c r="I305" s="136" t="e">
        <f t="shared" ca="1" si="14"/>
        <v>#REF!</v>
      </c>
    </row>
    <row r="306" spans="1:9" hidden="1" x14ac:dyDescent="0.25">
      <c r="A306" s="114" t="s">
        <v>622</v>
      </c>
      <c r="B306" s="115" t="s">
        <v>1826</v>
      </c>
      <c r="C306" s="116" t="s">
        <v>20</v>
      </c>
      <c r="D306" s="116">
        <v>0</v>
      </c>
      <c r="E306" s="135">
        <f ca="1">OFFSET(INDEX(Composições!A:J,MATCH(Orçamentária!A306,Composições!A:A,0),8),2,0)</f>
        <v>104.07249999999999</v>
      </c>
      <c r="F306" s="136">
        <f t="shared" ca="1" si="12"/>
        <v>0</v>
      </c>
      <c r="G306" s="137" t="e">
        <f>IF(A306&lt;&gt;"",IF(AND(#REF!="Padrão",$H$4=#REF!),BDI!$B$17,IF(AND(#REF!="Padrão",$H$4=#REF!),BDI!#REF!,IF(AND(#REF!="Diferenciado",$H$4=#REF!),BDI!$E$17,IF(AND(#REF!="Diferenciado",$H$4=#REF!),BDI!#REF!,IF(#REF!="ZERO",0))))),"")</f>
        <v>#REF!</v>
      </c>
      <c r="H306" s="138" t="e">
        <f t="shared" ca="1" si="13"/>
        <v>#REF!</v>
      </c>
      <c r="I306" s="136" t="e">
        <f t="shared" ca="1" si="14"/>
        <v>#REF!</v>
      </c>
    </row>
    <row r="307" spans="1:9" hidden="1" x14ac:dyDescent="0.25">
      <c r="A307" s="114" t="s">
        <v>624</v>
      </c>
      <c r="B307" s="115" t="s">
        <v>1827</v>
      </c>
      <c r="C307" s="116" t="s">
        <v>20</v>
      </c>
      <c r="D307" s="116">
        <v>0</v>
      </c>
      <c r="E307" s="135">
        <f ca="1">OFFSET(INDEX(Composições!A:J,MATCH(Orçamentária!A307,Composições!A:A,0),8),2,0)</f>
        <v>104.07249999999999</v>
      </c>
      <c r="F307" s="136">
        <f t="shared" ca="1" si="12"/>
        <v>0</v>
      </c>
      <c r="G307" s="137" t="e">
        <f>IF(A307&lt;&gt;"",IF(AND(#REF!="Padrão",$H$4=#REF!),BDI!$B$17,IF(AND(#REF!="Padrão",$H$4=#REF!),BDI!#REF!,IF(AND(#REF!="Diferenciado",$H$4=#REF!),BDI!$E$17,IF(AND(#REF!="Diferenciado",$H$4=#REF!),BDI!#REF!,IF(#REF!="ZERO",0))))),"")</f>
        <v>#REF!</v>
      </c>
      <c r="H307" s="138" t="e">
        <f t="shared" ca="1" si="13"/>
        <v>#REF!</v>
      </c>
      <c r="I307" s="136" t="e">
        <f t="shared" ca="1" si="14"/>
        <v>#REF!</v>
      </c>
    </row>
    <row r="308" spans="1:9" hidden="1" x14ac:dyDescent="0.25">
      <c r="A308" s="114" t="s">
        <v>626</v>
      </c>
      <c r="B308" s="115" t="s">
        <v>1828</v>
      </c>
      <c r="C308" s="116" t="s">
        <v>20</v>
      </c>
      <c r="D308" s="116">
        <v>0</v>
      </c>
      <c r="E308" s="135">
        <f ca="1">OFFSET(INDEX(Composições!A:J,MATCH(Orçamentária!A308,Composições!A:A,0),8),2,0)</f>
        <v>104.07249999999999</v>
      </c>
      <c r="F308" s="136">
        <f t="shared" ca="1" si="12"/>
        <v>0</v>
      </c>
      <c r="G308" s="137" t="e">
        <f>IF(A308&lt;&gt;"",IF(AND(#REF!="Padrão",$H$4=#REF!),BDI!$B$17,IF(AND(#REF!="Padrão",$H$4=#REF!),BDI!#REF!,IF(AND(#REF!="Diferenciado",$H$4=#REF!),BDI!$E$17,IF(AND(#REF!="Diferenciado",$H$4=#REF!),BDI!#REF!,IF(#REF!="ZERO",0))))),"")</f>
        <v>#REF!</v>
      </c>
      <c r="H308" s="138" t="e">
        <f t="shared" ca="1" si="13"/>
        <v>#REF!</v>
      </c>
      <c r="I308" s="136" t="e">
        <f t="shared" ca="1" si="14"/>
        <v>#REF!</v>
      </c>
    </row>
    <row r="309" spans="1:9" hidden="1" x14ac:dyDescent="0.25">
      <c r="A309" s="114" t="s">
        <v>628</v>
      </c>
      <c r="B309" s="115" t="s">
        <v>1829</v>
      </c>
      <c r="C309" s="116" t="s">
        <v>20</v>
      </c>
      <c r="D309" s="116">
        <v>0</v>
      </c>
      <c r="E309" s="135">
        <f ca="1">OFFSET(INDEX(Composições!A:J,MATCH(Orçamentária!A309,Composições!A:A,0),8),2,0)</f>
        <v>104.07249999999999</v>
      </c>
      <c r="F309" s="136">
        <f t="shared" ca="1" si="12"/>
        <v>0</v>
      </c>
      <c r="G309" s="137" t="e">
        <f>IF(A309&lt;&gt;"",IF(AND(#REF!="Padrão",$H$4=#REF!),BDI!$B$17,IF(AND(#REF!="Padrão",$H$4=#REF!),BDI!#REF!,IF(AND(#REF!="Diferenciado",$H$4=#REF!),BDI!$E$17,IF(AND(#REF!="Diferenciado",$H$4=#REF!),BDI!#REF!,IF(#REF!="ZERO",0))))),"")</f>
        <v>#REF!</v>
      </c>
      <c r="H309" s="138" t="e">
        <f t="shared" ca="1" si="13"/>
        <v>#REF!</v>
      </c>
      <c r="I309" s="136" t="e">
        <f t="shared" ca="1" si="14"/>
        <v>#REF!</v>
      </c>
    </row>
    <row r="310" spans="1:9" hidden="1" x14ac:dyDescent="0.25">
      <c r="A310" s="114" t="s">
        <v>630</v>
      </c>
      <c r="B310" s="115" t="s">
        <v>1830</v>
      </c>
      <c r="C310" s="116" t="s">
        <v>20</v>
      </c>
      <c r="D310" s="116">
        <v>0</v>
      </c>
      <c r="E310" s="135">
        <f ca="1">OFFSET(INDEX(Composições!A:J,MATCH(Orçamentária!A310,Composições!A:A,0),8),2,0)</f>
        <v>104.07249999999999</v>
      </c>
      <c r="F310" s="136">
        <f t="shared" ca="1" si="12"/>
        <v>0</v>
      </c>
      <c r="G310" s="137" t="e">
        <f>IF(A310&lt;&gt;"",IF(AND(#REF!="Padrão",$H$4=#REF!),BDI!$B$17,IF(AND(#REF!="Padrão",$H$4=#REF!),BDI!#REF!,IF(AND(#REF!="Diferenciado",$H$4=#REF!),BDI!$E$17,IF(AND(#REF!="Diferenciado",$H$4=#REF!),BDI!#REF!,IF(#REF!="ZERO",0))))),"")</f>
        <v>#REF!</v>
      </c>
      <c r="H310" s="138" t="e">
        <f t="shared" ca="1" si="13"/>
        <v>#REF!</v>
      </c>
      <c r="I310" s="136" t="e">
        <f t="shared" ca="1" si="14"/>
        <v>#REF!</v>
      </c>
    </row>
    <row r="311" spans="1:9" hidden="1" x14ac:dyDescent="0.25">
      <c r="A311" s="114" t="s">
        <v>632</v>
      </c>
      <c r="B311" s="115" t="s">
        <v>1831</v>
      </c>
      <c r="C311" s="116" t="s">
        <v>20</v>
      </c>
      <c r="D311" s="116">
        <v>0</v>
      </c>
      <c r="E311" s="135">
        <f ca="1">OFFSET(INDEX(Composições!A:J,MATCH(Orçamentária!A311,Composições!A:A,0),8),2,0)</f>
        <v>104.07249999999999</v>
      </c>
      <c r="F311" s="136">
        <f t="shared" ca="1" si="12"/>
        <v>0</v>
      </c>
      <c r="G311" s="137" t="e">
        <f>IF(A311&lt;&gt;"",IF(AND(#REF!="Padrão",$H$4=#REF!),BDI!$B$17,IF(AND(#REF!="Padrão",$H$4=#REF!),BDI!#REF!,IF(AND(#REF!="Diferenciado",$H$4=#REF!),BDI!$E$17,IF(AND(#REF!="Diferenciado",$H$4=#REF!),BDI!#REF!,IF(#REF!="ZERO",0))))),"")</f>
        <v>#REF!</v>
      </c>
      <c r="H311" s="138" t="e">
        <f t="shared" ca="1" si="13"/>
        <v>#REF!</v>
      </c>
      <c r="I311" s="136" t="e">
        <f t="shared" ca="1" si="14"/>
        <v>#REF!</v>
      </c>
    </row>
    <row r="312" spans="1:9" hidden="1" x14ac:dyDescent="0.25">
      <c r="A312" s="114" t="s">
        <v>634</v>
      </c>
      <c r="B312" s="115" t="s">
        <v>1832</v>
      </c>
      <c r="C312" s="116" t="s">
        <v>20</v>
      </c>
      <c r="D312" s="116">
        <v>0</v>
      </c>
      <c r="E312" s="135">
        <f ca="1">OFFSET(INDEX(Composições!A:J,MATCH(Orçamentária!A312,Composições!A:A,0),8),2,0)</f>
        <v>104.07249999999999</v>
      </c>
      <c r="F312" s="136">
        <f t="shared" ca="1" si="12"/>
        <v>0</v>
      </c>
      <c r="G312" s="137" t="e">
        <f>IF(A312&lt;&gt;"",IF(AND(#REF!="Padrão",$H$4=#REF!),BDI!$B$17,IF(AND(#REF!="Padrão",$H$4=#REF!),BDI!#REF!,IF(AND(#REF!="Diferenciado",$H$4=#REF!),BDI!$E$17,IF(AND(#REF!="Diferenciado",$H$4=#REF!),BDI!#REF!,IF(#REF!="ZERO",0))))),"")</f>
        <v>#REF!</v>
      </c>
      <c r="H312" s="138" t="e">
        <f t="shared" ca="1" si="13"/>
        <v>#REF!</v>
      </c>
      <c r="I312" s="136" t="e">
        <f t="shared" ca="1" si="14"/>
        <v>#REF!</v>
      </c>
    </row>
    <row r="313" spans="1:9" hidden="1" x14ac:dyDescent="0.25">
      <c r="A313" s="114" t="s">
        <v>636</v>
      </c>
      <c r="B313" s="115" t="s">
        <v>1833</v>
      </c>
      <c r="C313" s="116" t="s">
        <v>20</v>
      </c>
      <c r="D313" s="116">
        <v>0</v>
      </c>
      <c r="E313" s="135">
        <f ca="1">OFFSET(INDEX(Composições!A:J,MATCH(Orçamentária!A313,Composições!A:A,0),8),2,0)</f>
        <v>145.70150000000001</v>
      </c>
      <c r="F313" s="136">
        <f t="shared" ca="1" si="12"/>
        <v>0</v>
      </c>
      <c r="G313" s="137" t="e">
        <f>IF(A313&lt;&gt;"",IF(AND(#REF!="Padrão",$H$4=#REF!),BDI!$B$17,IF(AND(#REF!="Padrão",$H$4=#REF!),BDI!#REF!,IF(AND(#REF!="Diferenciado",$H$4=#REF!),BDI!$E$17,IF(AND(#REF!="Diferenciado",$H$4=#REF!),BDI!#REF!,IF(#REF!="ZERO",0))))),"")</f>
        <v>#REF!</v>
      </c>
      <c r="H313" s="138" t="e">
        <f t="shared" ca="1" si="13"/>
        <v>#REF!</v>
      </c>
      <c r="I313" s="136" t="e">
        <f t="shared" ca="1" si="14"/>
        <v>#REF!</v>
      </c>
    </row>
    <row r="314" spans="1:9" hidden="1" x14ac:dyDescent="0.25">
      <c r="A314" s="114" t="s">
        <v>638</v>
      </c>
      <c r="B314" s="115" t="s">
        <v>1834</v>
      </c>
      <c r="C314" s="116" t="s">
        <v>20</v>
      </c>
      <c r="D314" s="116">
        <v>0</v>
      </c>
      <c r="E314" s="135">
        <f ca="1">OFFSET(INDEX(Composições!A:J,MATCH(Orçamentária!A314,Composições!A:A,0),8),2,0)</f>
        <v>145.70150000000001</v>
      </c>
      <c r="F314" s="136">
        <f t="shared" ca="1" si="12"/>
        <v>0</v>
      </c>
      <c r="G314" s="137" t="e">
        <f>IF(A314&lt;&gt;"",IF(AND(#REF!="Padrão",$H$4=#REF!),BDI!$B$17,IF(AND(#REF!="Padrão",$H$4=#REF!),BDI!#REF!,IF(AND(#REF!="Diferenciado",$H$4=#REF!),BDI!$E$17,IF(AND(#REF!="Diferenciado",$H$4=#REF!),BDI!#REF!,IF(#REF!="ZERO",0))))),"")</f>
        <v>#REF!</v>
      </c>
      <c r="H314" s="138" t="e">
        <f t="shared" ca="1" si="13"/>
        <v>#REF!</v>
      </c>
      <c r="I314" s="136" t="e">
        <f t="shared" ca="1" si="14"/>
        <v>#REF!</v>
      </c>
    </row>
    <row r="315" spans="1:9" hidden="1" x14ac:dyDescent="0.25">
      <c r="A315" s="114" t="s">
        <v>640</v>
      </c>
      <c r="B315" s="115" t="s">
        <v>1835</v>
      </c>
      <c r="C315" s="116" t="s">
        <v>20</v>
      </c>
      <c r="D315" s="116">
        <v>0</v>
      </c>
      <c r="E315" s="135">
        <f ca="1">OFFSET(INDEX(Composições!A:J,MATCH(Orçamentária!A315,Composições!A:A,0),8),2,0)</f>
        <v>104.07249999999999</v>
      </c>
      <c r="F315" s="136">
        <f t="shared" ca="1" si="12"/>
        <v>0</v>
      </c>
      <c r="G315" s="137" t="e">
        <f>IF(A315&lt;&gt;"",IF(AND(#REF!="Padrão",$H$4=#REF!),BDI!$B$17,IF(AND(#REF!="Padrão",$H$4=#REF!),BDI!#REF!,IF(AND(#REF!="Diferenciado",$H$4=#REF!),BDI!$E$17,IF(AND(#REF!="Diferenciado",$H$4=#REF!),BDI!#REF!,IF(#REF!="ZERO",0))))),"")</f>
        <v>#REF!</v>
      </c>
      <c r="H315" s="138" t="e">
        <f t="shared" ca="1" si="13"/>
        <v>#REF!</v>
      </c>
      <c r="I315" s="136" t="e">
        <f t="shared" ca="1" si="14"/>
        <v>#REF!</v>
      </c>
    </row>
    <row r="316" spans="1:9" hidden="1" x14ac:dyDescent="0.25">
      <c r="A316" s="114" t="s">
        <v>641</v>
      </c>
      <c r="B316" s="115" t="s">
        <v>1836</v>
      </c>
      <c r="C316" s="116" t="s">
        <v>20</v>
      </c>
      <c r="D316" s="116">
        <v>0</v>
      </c>
      <c r="E316" s="135">
        <f ca="1">OFFSET(INDEX(Composições!A:J,MATCH(Orçamentária!A316,Composições!A:A,0),8),2,0)</f>
        <v>40.697999999999993</v>
      </c>
      <c r="F316" s="136">
        <f t="shared" ca="1" si="12"/>
        <v>0</v>
      </c>
      <c r="G316" s="137" t="e">
        <f>IF(A316&lt;&gt;"",IF(AND(#REF!="Padrão",$H$4=#REF!),BDI!$B$17,IF(AND(#REF!="Padrão",$H$4=#REF!),BDI!#REF!,IF(AND(#REF!="Diferenciado",$H$4=#REF!),BDI!$E$17,IF(AND(#REF!="Diferenciado",$H$4=#REF!),BDI!#REF!,IF(#REF!="ZERO",0))))),"")</f>
        <v>#REF!</v>
      </c>
      <c r="H316" s="138" t="e">
        <f t="shared" ca="1" si="13"/>
        <v>#REF!</v>
      </c>
      <c r="I316" s="136" t="e">
        <f t="shared" ca="1" si="14"/>
        <v>#REF!</v>
      </c>
    </row>
    <row r="317" spans="1:9" hidden="1" x14ac:dyDescent="0.25">
      <c r="A317" s="114" t="s">
        <v>642</v>
      </c>
      <c r="B317" s="115" t="s">
        <v>1837</v>
      </c>
      <c r="C317" s="116" t="s">
        <v>20</v>
      </c>
      <c r="D317" s="116">
        <v>0</v>
      </c>
      <c r="E317" s="135">
        <f ca="1">OFFSET(INDEX(Composições!A:J,MATCH(Orçamentária!A317,Composições!A:A,0),8),2,0)</f>
        <v>31.392749999999999</v>
      </c>
      <c r="F317" s="136">
        <f t="shared" ca="1" si="12"/>
        <v>0</v>
      </c>
      <c r="G317" s="137" t="e">
        <f>IF(A317&lt;&gt;"",IF(AND(#REF!="Padrão",$H$4=#REF!),BDI!$B$17,IF(AND(#REF!="Padrão",$H$4=#REF!),BDI!#REF!,IF(AND(#REF!="Diferenciado",$H$4=#REF!),BDI!$E$17,IF(AND(#REF!="Diferenciado",$H$4=#REF!),BDI!#REF!,IF(#REF!="ZERO",0))))),"")</f>
        <v>#REF!</v>
      </c>
      <c r="H317" s="138" t="e">
        <f t="shared" ca="1" si="13"/>
        <v>#REF!</v>
      </c>
      <c r="I317" s="136" t="e">
        <f t="shared" ca="1" si="14"/>
        <v>#REF!</v>
      </c>
    </row>
    <row r="318" spans="1:9" hidden="1" x14ac:dyDescent="0.25">
      <c r="A318" s="114" t="s">
        <v>644</v>
      </c>
      <c r="B318" s="115" t="s">
        <v>1838</v>
      </c>
      <c r="C318" s="116" t="s">
        <v>20</v>
      </c>
      <c r="D318" s="116">
        <v>0</v>
      </c>
      <c r="E318" s="135">
        <f ca="1">OFFSET(INDEX(Composições!A:J,MATCH(Orçamentária!A318,Composições!A:A,0),8),2,0)</f>
        <v>40.697999999999993</v>
      </c>
      <c r="F318" s="136">
        <f t="shared" ca="1" si="12"/>
        <v>0</v>
      </c>
      <c r="G318" s="137" t="e">
        <f>IF(A318&lt;&gt;"",IF(AND(#REF!="Padrão",$H$4=#REF!),BDI!$B$17,IF(AND(#REF!="Padrão",$H$4=#REF!),BDI!#REF!,IF(AND(#REF!="Diferenciado",$H$4=#REF!),BDI!$E$17,IF(AND(#REF!="Diferenciado",$H$4=#REF!),BDI!#REF!,IF(#REF!="ZERO",0))))),"")</f>
        <v>#REF!</v>
      </c>
      <c r="H318" s="138" t="e">
        <f t="shared" ca="1" si="13"/>
        <v>#REF!</v>
      </c>
      <c r="I318" s="136" t="e">
        <f t="shared" ca="1" si="14"/>
        <v>#REF!</v>
      </c>
    </row>
    <row r="319" spans="1:9" hidden="1" x14ac:dyDescent="0.25">
      <c r="A319" s="114" t="s">
        <v>646</v>
      </c>
      <c r="B319" s="115" t="s">
        <v>1839</v>
      </c>
      <c r="C319" s="116" t="s">
        <v>93</v>
      </c>
      <c r="D319" s="116">
        <v>0</v>
      </c>
      <c r="E319" s="135">
        <f ca="1">OFFSET(INDEX(Composições!A:J,MATCH(Orçamentária!A319,Composições!A:A,0),8),2,0)</f>
        <v>0.89490000000000003</v>
      </c>
      <c r="F319" s="136">
        <f t="shared" ca="1" si="12"/>
        <v>0</v>
      </c>
      <c r="G319" s="137" t="e">
        <f>IF(A319&lt;&gt;"",IF(AND(#REF!="Padrão",$H$4=#REF!),BDI!$B$17,IF(AND(#REF!="Padrão",$H$4=#REF!),BDI!#REF!,IF(AND(#REF!="Diferenciado",$H$4=#REF!),BDI!$E$17,IF(AND(#REF!="Diferenciado",$H$4=#REF!),BDI!#REF!,IF(#REF!="ZERO",0))))),"")</f>
        <v>#REF!</v>
      </c>
      <c r="H319" s="138" t="e">
        <f t="shared" ca="1" si="13"/>
        <v>#REF!</v>
      </c>
      <c r="I319" s="136" t="e">
        <f t="shared" ca="1" si="14"/>
        <v>#REF!</v>
      </c>
    </row>
    <row r="320" spans="1:9" hidden="1" x14ac:dyDescent="0.25">
      <c r="A320" s="114" t="s">
        <v>648</v>
      </c>
      <c r="B320" s="115" t="s">
        <v>1840</v>
      </c>
      <c r="C320" s="116" t="s">
        <v>93</v>
      </c>
      <c r="D320" s="116">
        <v>0</v>
      </c>
      <c r="E320" s="135">
        <f ca="1">OFFSET(INDEX(Composições!A:J,MATCH(Orçamentária!A320,Composições!A:A,0),8),2,0)</f>
        <v>0.89490000000000003</v>
      </c>
      <c r="F320" s="136">
        <f t="shared" ca="1" si="12"/>
        <v>0</v>
      </c>
      <c r="G320" s="137" t="e">
        <f>IF(A320&lt;&gt;"",IF(AND(#REF!="Padrão",$H$4=#REF!),BDI!$B$17,IF(AND(#REF!="Padrão",$H$4=#REF!),BDI!#REF!,IF(AND(#REF!="Diferenciado",$H$4=#REF!),BDI!$E$17,IF(AND(#REF!="Diferenciado",$H$4=#REF!),BDI!#REF!,IF(#REF!="ZERO",0))))),"")</f>
        <v>#REF!</v>
      </c>
      <c r="H320" s="138" t="e">
        <f t="shared" ca="1" si="13"/>
        <v>#REF!</v>
      </c>
      <c r="I320" s="136" t="e">
        <f t="shared" ca="1" si="14"/>
        <v>#REF!</v>
      </c>
    </row>
    <row r="321" spans="1:9" hidden="1" x14ac:dyDescent="0.25">
      <c r="A321" s="114" t="s">
        <v>650</v>
      </c>
      <c r="B321" s="115" t="s">
        <v>1841</v>
      </c>
      <c r="C321" s="116" t="s">
        <v>93</v>
      </c>
      <c r="D321" s="116">
        <v>0</v>
      </c>
      <c r="E321" s="135">
        <f ca="1">OFFSET(INDEX(Composições!A:J,MATCH(Orçamentária!A321,Composições!A:A,0),8),2,0)</f>
        <v>0.89490000000000003</v>
      </c>
      <c r="F321" s="136">
        <f t="shared" ca="1" si="12"/>
        <v>0</v>
      </c>
      <c r="G321" s="137" t="e">
        <f>IF(A321&lt;&gt;"",IF(AND(#REF!="Padrão",$H$4=#REF!),BDI!$B$17,IF(AND(#REF!="Padrão",$H$4=#REF!),BDI!#REF!,IF(AND(#REF!="Diferenciado",$H$4=#REF!),BDI!$E$17,IF(AND(#REF!="Diferenciado",$H$4=#REF!),BDI!#REF!,IF(#REF!="ZERO",0))))),"")</f>
        <v>#REF!</v>
      </c>
      <c r="H321" s="138" t="e">
        <f t="shared" ca="1" si="13"/>
        <v>#REF!</v>
      </c>
      <c r="I321" s="136" t="e">
        <f t="shared" ca="1" si="14"/>
        <v>#REF!</v>
      </c>
    </row>
    <row r="322" spans="1:9" hidden="1" x14ac:dyDescent="0.25">
      <c r="A322" s="114" t="s">
        <v>652</v>
      </c>
      <c r="B322" s="115" t="s">
        <v>1842</v>
      </c>
      <c r="C322" s="116" t="s">
        <v>20</v>
      </c>
      <c r="D322" s="116">
        <v>0</v>
      </c>
      <c r="E322" s="135">
        <f ca="1">OFFSET(INDEX(Composições!A:J,MATCH(Orçamentária!A322,Composições!A:A,0),8),2,0)</f>
        <v>34.836110499999997</v>
      </c>
      <c r="F322" s="136">
        <f t="shared" ca="1" si="12"/>
        <v>0</v>
      </c>
      <c r="G322" s="137" t="e">
        <f>IF(A322&lt;&gt;"",IF(AND(#REF!="Padrão",$H$4=#REF!),BDI!$B$17,IF(AND(#REF!="Padrão",$H$4=#REF!),BDI!#REF!,IF(AND(#REF!="Diferenciado",$H$4=#REF!),BDI!$E$17,IF(AND(#REF!="Diferenciado",$H$4=#REF!),BDI!#REF!,IF(#REF!="ZERO",0))))),"")</f>
        <v>#REF!</v>
      </c>
      <c r="H322" s="138" t="e">
        <f t="shared" ca="1" si="13"/>
        <v>#REF!</v>
      </c>
      <c r="I322" s="136" t="e">
        <f t="shared" ca="1" si="14"/>
        <v>#REF!</v>
      </c>
    </row>
    <row r="323" spans="1:9" hidden="1" x14ac:dyDescent="0.25">
      <c r="A323" s="114" t="s">
        <v>656</v>
      </c>
      <c r="B323" s="115" t="s">
        <v>657</v>
      </c>
      <c r="C323" s="116" t="s">
        <v>20</v>
      </c>
      <c r="D323" s="116">
        <v>0</v>
      </c>
      <c r="E323" s="135">
        <f ca="1">OFFSET(INDEX(Composições!A:J,MATCH(Orçamentária!A323,Composições!A:A,0),8),2,0)</f>
        <v>34.836110499999997</v>
      </c>
      <c r="F323" s="136">
        <f t="shared" ca="1" si="12"/>
        <v>0</v>
      </c>
      <c r="G323" s="137" t="e">
        <f>IF(A323&lt;&gt;"",IF(AND(#REF!="Padrão",$H$4=#REF!),BDI!$B$17,IF(AND(#REF!="Padrão",$H$4=#REF!),BDI!#REF!,IF(AND(#REF!="Diferenciado",$H$4=#REF!),BDI!$E$17,IF(AND(#REF!="Diferenciado",$H$4=#REF!),BDI!#REF!,IF(#REF!="ZERO",0))))),"")</f>
        <v>#REF!</v>
      </c>
      <c r="H323" s="138" t="e">
        <f t="shared" ca="1" si="13"/>
        <v>#REF!</v>
      </c>
      <c r="I323" s="136" t="e">
        <f t="shared" ca="1" si="14"/>
        <v>#REF!</v>
      </c>
    </row>
    <row r="324" spans="1:9" hidden="1" x14ac:dyDescent="0.25">
      <c r="A324" s="114" t="s">
        <v>658</v>
      </c>
      <c r="B324" s="115" t="s">
        <v>1843</v>
      </c>
      <c r="C324" s="116" t="s">
        <v>20</v>
      </c>
      <c r="D324" s="116">
        <v>0</v>
      </c>
      <c r="E324" s="135">
        <f ca="1">OFFSET(INDEX(Composições!A:J,MATCH(Orçamentária!A324,Composições!A:A,0),8),2,0)</f>
        <v>30.759418249999996</v>
      </c>
      <c r="F324" s="136">
        <f t="shared" ca="1" si="12"/>
        <v>0</v>
      </c>
      <c r="G324" s="137" t="e">
        <f>IF(A324&lt;&gt;"",IF(AND(#REF!="Padrão",$H$4=#REF!),BDI!$B$17,IF(AND(#REF!="Padrão",$H$4=#REF!),BDI!#REF!,IF(AND(#REF!="Diferenciado",$H$4=#REF!),BDI!$E$17,IF(AND(#REF!="Diferenciado",$H$4=#REF!),BDI!#REF!,IF(#REF!="ZERO",0))))),"")</f>
        <v>#REF!</v>
      </c>
      <c r="H324" s="138" t="e">
        <f t="shared" ca="1" si="13"/>
        <v>#REF!</v>
      </c>
      <c r="I324" s="136" t="e">
        <f t="shared" ca="1" si="14"/>
        <v>#REF!</v>
      </c>
    </row>
    <row r="325" spans="1:9" hidden="1" x14ac:dyDescent="0.25">
      <c r="A325" s="114" t="s">
        <v>660</v>
      </c>
      <c r="B325" s="115" t="s">
        <v>1844</v>
      </c>
      <c r="C325" s="116" t="s">
        <v>20</v>
      </c>
      <c r="D325" s="116">
        <v>0</v>
      </c>
      <c r="E325" s="135">
        <f ca="1">OFFSET(INDEX(Composições!A:J,MATCH(Orçamentária!A325,Composições!A:A,0),8),2,0)</f>
        <v>30.759418249999996</v>
      </c>
      <c r="F325" s="136">
        <f t="shared" ca="1" si="12"/>
        <v>0</v>
      </c>
      <c r="G325" s="137" t="e">
        <f>IF(A325&lt;&gt;"",IF(AND(#REF!="Padrão",$H$4=#REF!),BDI!$B$17,IF(AND(#REF!="Padrão",$H$4=#REF!),BDI!#REF!,IF(AND(#REF!="Diferenciado",$H$4=#REF!),BDI!$E$17,IF(AND(#REF!="Diferenciado",$H$4=#REF!),BDI!#REF!,IF(#REF!="ZERO",0))))),"")</f>
        <v>#REF!</v>
      </c>
      <c r="H325" s="138" t="e">
        <f t="shared" ca="1" si="13"/>
        <v>#REF!</v>
      </c>
      <c r="I325" s="136" t="e">
        <f t="shared" ca="1" si="14"/>
        <v>#REF!</v>
      </c>
    </row>
    <row r="326" spans="1:9" hidden="1" x14ac:dyDescent="0.25">
      <c r="A326" s="114" t="s">
        <v>662</v>
      </c>
      <c r="B326" s="115" t="s">
        <v>1845</v>
      </c>
      <c r="C326" s="116" t="s">
        <v>20</v>
      </c>
      <c r="D326" s="116">
        <v>0</v>
      </c>
      <c r="E326" s="135">
        <f ca="1">OFFSET(INDEX(Composições!A:J,MATCH(Orçamentária!A326,Composições!A:A,0),8),2,0)</f>
        <v>30.759418249999996</v>
      </c>
      <c r="F326" s="136">
        <f t="shared" ca="1" si="12"/>
        <v>0</v>
      </c>
      <c r="G326" s="137" t="e">
        <f>IF(A326&lt;&gt;"",IF(AND(#REF!="Padrão",$H$4=#REF!),BDI!$B$17,IF(AND(#REF!="Padrão",$H$4=#REF!),BDI!#REF!,IF(AND(#REF!="Diferenciado",$H$4=#REF!),BDI!$E$17,IF(AND(#REF!="Diferenciado",$H$4=#REF!),BDI!#REF!,IF(#REF!="ZERO",0))))),"")</f>
        <v>#REF!</v>
      </c>
      <c r="H326" s="138" t="e">
        <f t="shared" ca="1" si="13"/>
        <v>#REF!</v>
      </c>
      <c r="I326" s="136" t="e">
        <f t="shared" ca="1" si="14"/>
        <v>#REF!</v>
      </c>
    </row>
    <row r="327" spans="1:9" hidden="1" x14ac:dyDescent="0.25">
      <c r="A327" s="114" t="s">
        <v>665</v>
      </c>
      <c r="B327" s="115" t="s">
        <v>1846</v>
      </c>
      <c r="C327" s="116" t="s">
        <v>20</v>
      </c>
      <c r="D327" s="116">
        <v>0</v>
      </c>
      <c r="E327" s="135">
        <f ca="1">OFFSET(INDEX(Composições!A:J,MATCH(Orçamentária!A327,Composições!A:A,0),8),2,0)</f>
        <v>30.759418249999996</v>
      </c>
      <c r="F327" s="136">
        <f t="shared" ref="F327:F390" ca="1" si="15">IF(ISNUMBER(E327),D327*E327,"")</f>
        <v>0</v>
      </c>
      <c r="G327" s="137" t="e">
        <f>IF(A327&lt;&gt;"",IF(AND(#REF!="Padrão",$H$4=#REF!),BDI!$B$17,IF(AND(#REF!="Padrão",$H$4=#REF!),BDI!#REF!,IF(AND(#REF!="Diferenciado",$H$4=#REF!),BDI!$E$17,IF(AND(#REF!="Diferenciado",$H$4=#REF!),BDI!#REF!,IF(#REF!="ZERO",0))))),"")</f>
        <v>#REF!</v>
      </c>
      <c r="H327" s="138" t="e">
        <f t="shared" ref="H327:H390" ca="1" si="16">IF(ISNUMBER(E327),ROUND(E327*(1+G327),2),"")</f>
        <v>#REF!</v>
      </c>
      <c r="I327" s="136" t="e">
        <f t="shared" ref="I327:I390" ca="1" si="17">IF(ISNUMBER(E327),ROUND(H327*D327,2),"")</f>
        <v>#REF!</v>
      </c>
    </row>
    <row r="328" spans="1:9" hidden="1" x14ac:dyDescent="0.25">
      <c r="A328" s="114" t="s">
        <v>667</v>
      </c>
      <c r="B328" s="115" t="s">
        <v>1847</v>
      </c>
      <c r="C328" s="116" t="s">
        <v>20</v>
      </c>
      <c r="D328" s="116">
        <v>0</v>
      </c>
      <c r="E328" s="135">
        <f ca="1">OFFSET(INDEX(Composições!A:J,MATCH(Orçamentária!A328,Composições!A:A,0),8),2,0)</f>
        <v>155.21125649999999</v>
      </c>
      <c r="F328" s="136">
        <f t="shared" ca="1" si="15"/>
        <v>0</v>
      </c>
      <c r="G328" s="137" t="e">
        <f>IF(A328&lt;&gt;"",IF(AND(#REF!="Padrão",$H$4=#REF!),BDI!$B$17,IF(AND(#REF!="Padrão",$H$4=#REF!),BDI!#REF!,IF(AND(#REF!="Diferenciado",$H$4=#REF!),BDI!$E$17,IF(AND(#REF!="Diferenciado",$H$4=#REF!),BDI!#REF!,IF(#REF!="ZERO",0))))),"")</f>
        <v>#REF!</v>
      </c>
      <c r="H328" s="138" t="e">
        <f t="shared" ca="1" si="16"/>
        <v>#REF!</v>
      </c>
      <c r="I328" s="136" t="e">
        <f t="shared" ca="1" si="17"/>
        <v>#REF!</v>
      </c>
    </row>
    <row r="329" spans="1:9" hidden="1" x14ac:dyDescent="0.25">
      <c r="A329" s="114" t="s">
        <v>669</v>
      </c>
      <c r="B329" s="115" t="s">
        <v>1848</v>
      </c>
      <c r="C329" s="116" t="s">
        <v>20</v>
      </c>
      <c r="D329" s="116">
        <v>0</v>
      </c>
      <c r="E329" s="135">
        <f ca="1">OFFSET(INDEX(Composições!A:J,MATCH(Orçamentária!A329,Composições!A:A,0),8),2,0)</f>
        <v>134.1497565</v>
      </c>
      <c r="F329" s="136">
        <f t="shared" ca="1" si="15"/>
        <v>0</v>
      </c>
      <c r="G329" s="137" t="e">
        <f>IF(A329&lt;&gt;"",IF(AND(#REF!="Padrão",$H$4=#REF!),BDI!$B$17,IF(AND(#REF!="Padrão",$H$4=#REF!),BDI!#REF!,IF(AND(#REF!="Diferenciado",$H$4=#REF!),BDI!$E$17,IF(AND(#REF!="Diferenciado",$H$4=#REF!),BDI!#REF!,IF(#REF!="ZERO",0))))),"")</f>
        <v>#REF!</v>
      </c>
      <c r="H329" s="138" t="e">
        <f t="shared" ca="1" si="16"/>
        <v>#REF!</v>
      </c>
      <c r="I329" s="136" t="e">
        <f t="shared" ca="1" si="17"/>
        <v>#REF!</v>
      </c>
    </row>
    <row r="330" spans="1:9" hidden="1" x14ac:dyDescent="0.25">
      <c r="A330" s="114" t="s">
        <v>671</v>
      </c>
      <c r="B330" s="115" t="s">
        <v>1849</v>
      </c>
      <c r="C330" s="116" t="s">
        <v>20</v>
      </c>
      <c r="D330" s="116">
        <v>0</v>
      </c>
      <c r="E330" s="135">
        <f ca="1">OFFSET(INDEX(Composições!A:J,MATCH(Orçamentária!A330,Composições!A:A,0),8),2,0)</f>
        <v>99.66291824999999</v>
      </c>
      <c r="F330" s="136">
        <f t="shared" ca="1" si="15"/>
        <v>0</v>
      </c>
      <c r="G330" s="137" t="e">
        <f>IF(A330&lt;&gt;"",IF(AND(#REF!="Padrão",$H$4=#REF!),BDI!$B$17,IF(AND(#REF!="Padrão",$H$4=#REF!),BDI!#REF!,IF(AND(#REF!="Diferenciado",$H$4=#REF!),BDI!$E$17,IF(AND(#REF!="Diferenciado",$H$4=#REF!),BDI!#REF!,IF(#REF!="ZERO",0))))),"")</f>
        <v>#REF!</v>
      </c>
      <c r="H330" s="138" t="e">
        <f t="shared" ca="1" si="16"/>
        <v>#REF!</v>
      </c>
      <c r="I330" s="136" t="e">
        <f t="shared" ca="1" si="17"/>
        <v>#REF!</v>
      </c>
    </row>
    <row r="331" spans="1:9" hidden="1" x14ac:dyDescent="0.25">
      <c r="A331" s="114" t="s">
        <v>673</v>
      </c>
      <c r="B331" s="115" t="s">
        <v>1850</v>
      </c>
      <c r="C331" s="116" t="s">
        <v>20</v>
      </c>
      <c r="D331" s="116">
        <v>0</v>
      </c>
      <c r="E331" s="135">
        <f ca="1">OFFSET(INDEX(Composições!A:J,MATCH(Orçamentária!A331,Composições!A:A,0),8),2,0)</f>
        <v>81.793418249999988</v>
      </c>
      <c r="F331" s="136">
        <f t="shared" ca="1" si="15"/>
        <v>0</v>
      </c>
      <c r="G331" s="137" t="e">
        <f>IF(A331&lt;&gt;"",IF(AND(#REF!="Padrão",$H$4=#REF!),BDI!$B$17,IF(AND(#REF!="Padrão",$H$4=#REF!),BDI!#REF!,IF(AND(#REF!="Diferenciado",$H$4=#REF!),BDI!$E$17,IF(AND(#REF!="Diferenciado",$H$4=#REF!),BDI!#REF!,IF(#REF!="ZERO",0))))),"")</f>
        <v>#REF!</v>
      </c>
      <c r="H331" s="138" t="e">
        <f t="shared" ca="1" si="16"/>
        <v>#REF!</v>
      </c>
      <c r="I331" s="136" t="e">
        <f t="shared" ca="1" si="17"/>
        <v>#REF!</v>
      </c>
    </row>
    <row r="332" spans="1:9" hidden="1" x14ac:dyDescent="0.25">
      <c r="A332" s="114" t="s">
        <v>675</v>
      </c>
      <c r="B332" s="115" t="s">
        <v>1851</v>
      </c>
      <c r="C332" s="116" t="s">
        <v>95</v>
      </c>
      <c r="D332" s="116">
        <v>0</v>
      </c>
      <c r="E332" s="135">
        <f ca="1">OFFSET(INDEX(Composições!A:J,MATCH(Orçamentária!A332,Composições!A:A,0),8),2,0)</f>
        <v>3.9558</v>
      </c>
      <c r="F332" s="136">
        <f t="shared" ca="1" si="15"/>
        <v>0</v>
      </c>
      <c r="G332" s="137" t="e">
        <f>IF(A332&lt;&gt;"",IF(AND(#REF!="Padrão",$H$4=#REF!),BDI!$B$17,IF(AND(#REF!="Padrão",$H$4=#REF!),BDI!#REF!,IF(AND(#REF!="Diferenciado",$H$4=#REF!),BDI!$E$17,IF(AND(#REF!="Diferenciado",$H$4=#REF!),BDI!#REF!,IF(#REF!="ZERO",0))))),"")</f>
        <v>#REF!</v>
      </c>
      <c r="H332" s="138" t="e">
        <f t="shared" ca="1" si="16"/>
        <v>#REF!</v>
      </c>
      <c r="I332" s="136" t="e">
        <f t="shared" ca="1" si="17"/>
        <v>#REF!</v>
      </c>
    </row>
    <row r="333" spans="1:9" hidden="1" x14ac:dyDescent="0.25">
      <c r="A333" s="114" t="s">
        <v>677</v>
      </c>
      <c r="B333" s="115" t="s">
        <v>1852</v>
      </c>
      <c r="C333" s="116" t="s">
        <v>93</v>
      </c>
      <c r="D333" s="116">
        <v>0</v>
      </c>
      <c r="E333" s="135">
        <f ca="1">OFFSET(INDEX(Composições!A:J,MATCH(Orçamentária!A333,Composições!A:A,0),8),2,0)</f>
        <v>0.7595135999999999</v>
      </c>
      <c r="F333" s="136">
        <f t="shared" ca="1" si="15"/>
        <v>0</v>
      </c>
      <c r="G333" s="137" t="e">
        <f>IF(A333&lt;&gt;"",IF(AND(#REF!="Padrão",$H$4=#REF!),BDI!$B$17,IF(AND(#REF!="Padrão",$H$4=#REF!),BDI!#REF!,IF(AND(#REF!="Diferenciado",$H$4=#REF!),BDI!$E$17,IF(AND(#REF!="Diferenciado",$H$4=#REF!),BDI!#REF!,IF(#REF!="ZERO",0))))),"")</f>
        <v>#REF!</v>
      </c>
      <c r="H333" s="138" t="e">
        <f t="shared" ca="1" si="16"/>
        <v>#REF!</v>
      </c>
      <c r="I333" s="136" t="e">
        <f t="shared" ca="1" si="17"/>
        <v>#REF!</v>
      </c>
    </row>
    <row r="334" spans="1:9" hidden="1" x14ac:dyDescent="0.25">
      <c r="A334" s="114" t="s">
        <v>680</v>
      </c>
      <c r="B334" s="115" t="s">
        <v>1853</v>
      </c>
      <c r="C334" s="116" t="s">
        <v>93</v>
      </c>
      <c r="D334" s="116">
        <v>0</v>
      </c>
      <c r="E334" s="135">
        <f ca="1">OFFSET(INDEX(Composições!A:J,MATCH(Orçamentária!A334,Composições!A:A,0),8),2,0)</f>
        <v>0.72391139999999998</v>
      </c>
      <c r="F334" s="136">
        <f t="shared" ca="1" si="15"/>
        <v>0</v>
      </c>
      <c r="G334" s="137" t="e">
        <f>IF(A334&lt;&gt;"",IF(AND(#REF!="Padrão",$H$4=#REF!),BDI!$B$17,IF(AND(#REF!="Padrão",$H$4=#REF!),BDI!#REF!,IF(AND(#REF!="Diferenciado",$H$4=#REF!),BDI!$E$17,IF(AND(#REF!="Diferenciado",$H$4=#REF!),BDI!#REF!,IF(#REF!="ZERO",0))))),"")</f>
        <v>#REF!</v>
      </c>
      <c r="H334" s="138" t="e">
        <f t="shared" ca="1" si="16"/>
        <v>#REF!</v>
      </c>
      <c r="I334" s="136" t="e">
        <f t="shared" ca="1" si="17"/>
        <v>#REF!</v>
      </c>
    </row>
    <row r="335" spans="1:9" hidden="1" x14ac:dyDescent="0.25">
      <c r="A335" s="114" t="s">
        <v>682</v>
      </c>
      <c r="B335" s="115" t="s">
        <v>1854</v>
      </c>
      <c r="C335" s="116" t="s">
        <v>93</v>
      </c>
      <c r="D335" s="116">
        <v>0</v>
      </c>
      <c r="E335" s="135">
        <f ca="1">OFFSET(INDEX(Composições!A:J,MATCH(Orçamentária!A335,Composições!A:A,0),8),2,0)</f>
        <v>0.6171047999999999</v>
      </c>
      <c r="F335" s="136">
        <f t="shared" ca="1" si="15"/>
        <v>0</v>
      </c>
      <c r="G335" s="137" t="e">
        <f>IF(A335&lt;&gt;"",IF(AND(#REF!="Padrão",$H$4=#REF!),BDI!$B$17,IF(AND(#REF!="Padrão",$H$4=#REF!),BDI!#REF!,IF(AND(#REF!="Diferenciado",$H$4=#REF!),BDI!$E$17,IF(AND(#REF!="Diferenciado",$H$4=#REF!),BDI!#REF!,IF(#REF!="ZERO",0))))),"")</f>
        <v>#REF!</v>
      </c>
      <c r="H335" s="138" t="e">
        <f t="shared" ca="1" si="16"/>
        <v>#REF!</v>
      </c>
      <c r="I335" s="136" t="e">
        <f t="shared" ca="1" si="17"/>
        <v>#REF!</v>
      </c>
    </row>
    <row r="336" spans="1:9" hidden="1" x14ac:dyDescent="0.25">
      <c r="A336" s="114" t="s">
        <v>684</v>
      </c>
      <c r="B336" s="115" t="s">
        <v>1855</v>
      </c>
      <c r="C336" s="116" t="s">
        <v>93</v>
      </c>
      <c r="D336" s="116">
        <v>0</v>
      </c>
      <c r="E336" s="135">
        <f ca="1">OFFSET(INDEX(Composições!A:J,MATCH(Orçamentária!A336,Composições!A:A,0),8),2,0)</f>
        <v>0.7595135999999999</v>
      </c>
      <c r="F336" s="136">
        <f t="shared" ca="1" si="15"/>
        <v>0</v>
      </c>
      <c r="G336" s="137" t="e">
        <f>IF(A336&lt;&gt;"",IF(AND(#REF!="Padrão",$H$4=#REF!),BDI!$B$17,IF(AND(#REF!="Padrão",$H$4=#REF!),BDI!#REF!,IF(AND(#REF!="Diferenciado",$H$4=#REF!),BDI!$E$17,IF(AND(#REF!="Diferenciado",$H$4=#REF!),BDI!#REF!,IF(#REF!="ZERO",0))))),"")</f>
        <v>#REF!</v>
      </c>
      <c r="H336" s="138" t="e">
        <f t="shared" ca="1" si="16"/>
        <v>#REF!</v>
      </c>
      <c r="I336" s="136" t="e">
        <f t="shared" ca="1" si="17"/>
        <v>#REF!</v>
      </c>
    </row>
    <row r="337" spans="1:9" hidden="1" x14ac:dyDescent="0.25">
      <c r="A337" s="114" t="s">
        <v>686</v>
      </c>
      <c r="B337" s="115" t="s">
        <v>1856</v>
      </c>
      <c r="C337" s="116" t="s">
        <v>93</v>
      </c>
      <c r="D337" s="116">
        <v>0</v>
      </c>
      <c r="E337" s="135">
        <f ca="1">OFFSET(INDEX(Composições!A:J,MATCH(Orçamentária!A337,Composições!A:A,0),8),2,0)</f>
        <v>0.67644179999999998</v>
      </c>
      <c r="F337" s="136">
        <f t="shared" ca="1" si="15"/>
        <v>0</v>
      </c>
      <c r="G337" s="137" t="e">
        <f>IF(A337&lt;&gt;"",IF(AND(#REF!="Padrão",$H$4=#REF!),BDI!$B$17,IF(AND(#REF!="Padrão",$H$4=#REF!),BDI!#REF!,IF(AND(#REF!="Diferenciado",$H$4=#REF!),BDI!$E$17,IF(AND(#REF!="Diferenciado",$H$4=#REF!),BDI!#REF!,IF(#REF!="ZERO",0))))),"")</f>
        <v>#REF!</v>
      </c>
      <c r="H337" s="138" t="e">
        <f t="shared" ca="1" si="16"/>
        <v>#REF!</v>
      </c>
      <c r="I337" s="136" t="e">
        <f t="shared" ca="1" si="17"/>
        <v>#REF!</v>
      </c>
    </row>
    <row r="338" spans="1:9" hidden="1" x14ac:dyDescent="0.25">
      <c r="A338" s="114" t="s">
        <v>688</v>
      </c>
      <c r="B338" s="115" t="s">
        <v>1857</v>
      </c>
      <c r="C338" s="116" t="s">
        <v>93</v>
      </c>
      <c r="D338" s="116">
        <v>0</v>
      </c>
      <c r="E338" s="135">
        <f ca="1">OFFSET(INDEX(Composições!A:J,MATCH(Orçamentária!A338,Composições!A:A,0),8),2,0)</f>
        <v>0.7595135999999999</v>
      </c>
      <c r="F338" s="136">
        <f t="shared" ca="1" si="15"/>
        <v>0</v>
      </c>
      <c r="G338" s="137" t="e">
        <f>IF(A338&lt;&gt;"",IF(AND(#REF!="Padrão",$H$4=#REF!),BDI!$B$17,IF(AND(#REF!="Padrão",$H$4=#REF!),BDI!#REF!,IF(AND(#REF!="Diferenciado",$H$4=#REF!),BDI!$E$17,IF(AND(#REF!="Diferenciado",$H$4=#REF!),BDI!#REF!,IF(#REF!="ZERO",0))))),"")</f>
        <v>#REF!</v>
      </c>
      <c r="H338" s="138" t="e">
        <f t="shared" ca="1" si="16"/>
        <v>#REF!</v>
      </c>
      <c r="I338" s="136" t="e">
        <f t="shared" ca="1" si="17"/>
        <v>#REF!</v>
      </c>
    </row>
    <row r="339" spans="1:9" hidden="1" x14ac:dyDescent="0.25">
      <c r="A339" s="114" t="s">
        <v>690</v>
      </c>
      <c r="B339" s="115" t="s">
        <v>1858</v>
      </c>
      <c r="C339" s="116" t="s">
        <v>93</v>
      </c>
      <c r="D339" s="116">
        <v>0</v>
      </c>
      <c r="E339" s="135">
        <f ca="1">OFFSET(INDEX(Composições!A:J,MATCH(Orçamentária!A339,Composições!A:A,0),8),2,0)</f>
        <v>0.7595135999999999</v>
      </c>
      <c r="F339" s="136">
        <f t="shared" ca="1" si="15"/>
        <v>0</v>
      </c>
      <c r="G339" s="137" t="e">
        <f>IF(A339&lt;&gt;"",IF(AND(#REF!="Padrão",$H$4=#REF!),BDI!$B$17,IF(AND(#REF!="Padrão",$H$4=#REF!),BDI!#REF!,IF(AND(#REF!="Diferenciado",$H$4=#REF!),BDI!$E$17,IF(AND(#REF!="Diferenciado",$H$4=#REF!),BDI!#REF!,IF(#REF!="ZERO",0))))),"")</f>
        <v>#REF!</v>
      </c>
      <c r="H339" s="138" t="e">
        <f t="shared" ca="1" si="16"/>
        <v>#REF!</v>
      </c>
      <c r="I339" s="136" t="e">
        <f t="shared" ca="1" si="17"/>
        <v>#REF!</v>
      </c>
    </row>
    <row r="340" spans="1:9" hidden="1" x14ac:dyDescent="0.25">
      <c r="A340" s="114" t="s">
        <v>692</v>
      </c>
      <c r="B340" s="115" t="s">
        <v>1859</v>
      </c>
      <c r="C340" s="116" t="s">
        <v>93</v>
      </c>
      <c r="D340" s="116">
        <v>0</v>
      </c>
      <c r="E340" s="135">
        <f ca="1">OFFSET(INDEX(Composições!A:J,MATCH(Orçamentária!A340,Composições!A:A,0),8),2,0)</f>
        <v>0.7595135999999999</v>
      </c>
      <c r="F340" s="136">
        <f t="shared" ca="1" si="15"/>
        <v>0</v>
      </c>
      <c r="G340" s="137" t="e">
        <f>IF(A340&lt;&gt;"",IF(AND(#REF!="Padrão",$H$4=#REF!),BDI!$B$17,IF(AND(#REF!="Padrão",$H$4=#REF!),BDI!#REF!,IF(AND(#REF!="Diferenciado",$H$4=#REF!),BDI!$E$17,IF(AND(#REF!="Diferenciado",$H$4=#REF!),BDI!#REF!,IF(#REF!="ZERO",0))))),"")</f>
        <v>#REF!</v>
      </c>
      <c r="H340" s="138" t="e">
        <f t="shared" ca="1" si="16"/>
        <v>#REF!</v>
      </c>
      <c r="I340" s="136" t="e">
        <f t="shared" ca="1" si="17"/>
        <v>#REF!</v>
      </c>
    </row>
    <row r="341" spans="1:9" hidden="1" x14ac:dyDescent="0.25">
      <c r="A341" s="114" t="s">
        <v>694</v>
      </c>
      <c r="B341" s="115" t="s">
        <v>1860</v>
      </c>
      <c r="C341" s="116" t="s">
        <v>93</v>
      </c>
      <c r="D341" s="116">
        <v>0</v>
      </c>
      <c r="E341" s="135">
        <f ca="1">OFFSET(INDEX(Composições!A:J,MATCH(Orçamentária!A341,Composições!A:A,0),8),2,0)</f>
        <v>0.7595135999999999</v>
      </c>
      <c r="F341" s="136">
        <f t="shared" ca="1" si="15"/>
        <v>0</v>
      </c>
      <c r="G341" s="137" t="e">
        <f>IF(A341&lt;&gt;"",IF(AND(#REF!="Padrão",$H$4=#REF!),BDI!$B$17,IF(AND(#REF!="Padrão",$H$4=#REF!),BDI!#REF!,IF(AND(#REF!="Diferenciado",$H$4=#REF!),BDI!$E$17,IF(AND(#REF!="Diferenciado",$H$4=#REF!),BDI!#REF!,IF(#REF!="ZERO",0))))),"")</f>
        <v>#REF!</v>
      </c>
      <c r="H341" s="138" t="e">
        <f t="shared" ca="1" si="16"/>
        <v>#REF!</v>
      </c>
      <c r="I341" s="136" t="e">
        <f t="shared" ca="1" si="17"/>
        <v>#REF!</v>
      </c>
    </row>
    <row r="342" spans="1:9" hidden="1" x14ac:dyDescent="0.25">
      <c r="A342" s="114" t="s">
        <v>696</v>
      </c>
      <c r="B342" s="115" t="s">
        <v>6446</v>
      </c>
      <c r="C342" s="116" t="s">
        <v>93</v>
      </c>
      <c r="D342" s="116">
        <v>0</v>
      </c>
      <c r="E342" s="135">
        <f ca="1">OFFSET(INDEX(Composições!A:J,MATCH(Orçamentária!A342,Composições!A:A,0),8),2,0)</f>
        <v>0.7595135999999999</v>
      </c>
      <c r="F342" s="136">
        <f t="shared" ca="1" si="15"/>
        <v>0</v>
      </c>
      <c r="G342" s="137" t="e">
        <f>IF(A342&lt;&gt;"",IF(AND(#REF!="Padrão",$H$4=#REF!),BDI!$B$17,IF(AND(#REF!="Padrão",$H$4=#REF!),BDI!#REF!,IF(AND(#REF!="Diferenciado",$H$4=#REF!),BDI!$E$17,IF(AND(#REF!="Diferenciado",$H$4=#REF!),BDI!#REF!,IF(#REF!="ZERO",0))))),"")</f>
        <v>#REF!</v>
      </c>
      <c r="H342" s="138" t="e">
        <f t="shared" ca="1" si="16"/>
        <v>#REF!</v>
      </c>
      <c r="I342" s="136" t="e">
        <f t="shared" ca="1" si="17"/>
        <v>#REF!</v>
      </c>
    </row>
    <row r="343" spans="1:9" hidden="1" x14ac:dyDescent="0.25">
      <c r="A343" s="114" t="s">
        <v>698</v>
      </c>
      <c r="B343" s="115" t="s">
        <v>6447</v>
      </c>
      <c r="C343" s="116" t="s">
        <v>93</v>
      </c>
      <c r="D343" s="116">
        <v>0</v>
      </c>
      <c r="E343" s="135">
        <f ca="1">OFFSET(INDEX(Composições!A:J,MATCH(Orçamentária!A343,Composições!A:A,0),8),2,0)</f>
        <v>0.7595135999999999</v>
      </c>
      <c r="F343" s="136">
        <f t="shared" ca="1" si="15"/>
        <v>0</v>
      </c>
      <c r="G343" s="137" t="e">
        <f>IF(A343&lt;&gt;"",IF(AND(#REF!="Padrão",$H$4=#REF!),BDI!$B$17,IF(AND(#REF!="Padrão",$H$4=#REF!),BDI!#REF!,IF(AND(#REF!="Diferenciado",$H$4=#REF!),BDI!$E$17,IF(AND(#REF!="Diferenciado",$H$4=#REF!),BDI!#REF!,IF(#REF!="ZERO",0))))),"")</f>
        <v>#REF!</v>
      </c>
      <c r="H343" s="138" t="e">
        <f t="shared" ca="1" si="16"/>
        <v>#REF!</v>
      </c>
      <c r="I343" s="136" t="e">
        <f t="shared" ca="1" si="17"/>
        <v>#REF!</v>
      </c>
    </row>
    <row r="344" spans="1:9" hidden="1" x14ac:dyDescent="0.25">
      <c r="A344" s="114" t="s">
        <v>700</v>
      </c>
      <c r="B344" s="115" t="s">
        <v>1861</v>
      </c>
      <c r="C344" s="116" t="s">
        <v>95</v>
      </c>
      <c r="D344" s="116">
        <v>0</v>
      </c>
      <c r="E344" s="135">
        <f ca="1">OFFSET(INDEX(Composições!A:J,MATCH(Orçamentária!A344,Composições!A:A,0),8),2,0)</f>
        <v>7.9116</v>
      </c>
      <c r="F344" s="136">
        <f t="shared" ca="1" si="15"/>
        <v>0</v>
      </c>
      <c r="G344" s="137" t="e">
        <f>IF(A344&lt;&gt;"",IF(AND(#REF!="Padrão",$H$4=#REF!),BDI!$B$17,IF(AND(#REF!="Padrão",$H$4=#REF!),BDI!#REF!,IF(AND(#REF!="Diferenciado",$H$4=#REF!),BDI!$E$17,IF(AND(#REF!="Diferenciado",$H$4=#REF!),BDI!#REF!,IF(#REF!="ZERO",0))))),"")</f>
        <v>#REF!</v>
      </c>
      <c r="H344" s="138" t="e">
        <f t="shared" ca="1" si="16"/>
        <v>#REF!</v>
      </c>
      <c r="I344" s="136" t="e">
        <f t="shared" ca="1" si="17"/>
        <v>#REF!</v>
      </c>
    </row>
    <row r="345" spans="1:9" hidden="1" x14ac:dyDescent="0.25">
      <c r="A345" s="114" t="s">
        <v>702</v>
      </c>
      <c r="B345" s="115" t="s">
        <v>1862</v>
      </c>
      <c r="C345" s="116" t="s">
        <v>93</v>
      </c>
      <c r="D345" s="116">
        <v>0</v>
      </c>
      <c r="E345" s="135">
        <f ca="1">OFFSET(INDEX(Composições!A:J,MATCH(Orçamentária!A345,Composições!A:A,0),8),2,0)</f>
        <v>94.798732999999999</v>
      </c>
      <c r="F345" s="136">
        <f t="shared" ca="1" si="15"/>
        <v>0</v>
      </c>
      <c r="G345" s="137" t="e">
        <f>IF(A345&lt;&gt;"",IF(AND(#REF!="Padrão",$H$4=#REF!),BDI!$B$17,IF(AND(#REF!="Padrão",$H$4=#REF!),BDI!#REF!,IF(AND(#REF!="Diferenciado",$H$4=#REF!),BDI!$E$17,IF(AND(#REF!="Diferenciado",$H$4=#REF!),BDI!#REF!,IF(#REF!="ZERO",0))))),"")</f>
        <v>#REF!</v>
      </c>
      <c r="H345" s="138" t="e">
        <f t="shared" ca="1" si="16"/>
        <v>#REF!</v>
      </c>
      <c r="I345" s="136" t="e">
        <f t="shared" ca="1" si="17"/>
        <v>#REF!</v>
      </c>
    </row>
    <row r="346" spans="1:9" hidden="1" x14ac:dyDescent="0.25">
      <c r="A346" s="114" t="s">
        <v>704</v>
      </c>
      <c r="B346" s="115" t="s">
        <v>1863</v>
      </c>
      <c r="C346" s="116" t="s">
        <v>93</v>
      </c>
      <c r="D346" s="116">
        <v>0</v>
      </c>
      <c r="E346" s="135">
        <f ca="1">OFFSET(INDEX(Composições!A:J,MATCH(Orçamentária!A346,Composições!A:A,0),8),2,0)</f>
        <v>87.276119999999992</v>
      </c>
      <c r="F346" s="136">
        <f t="shared" ca="1" si="15"/>
        <v>0</v>
      </c>
      <c r="G346" s="137" t="e">
        <f>IF(A346&lt;&gt;"",IF(AND(#REF!="Padrão",$H$4=#REF!),BDI!$B$17,IF(AND(#REF!="Padrão",$H$4=#REF!),BDI!#REF!,IF(AND(#REF!="Diferenciado",$H$4=#REF!),BDI!$E$17,IF(AND(#REF!="Diferenciado",$H$4=#REF!),BDI!#REF!,IF(#REF!="ZERO",0))))),"")</f>
        <v>#REF!</v>
      </c>
      <c r="H346" s="138" t="e">
        <f t="shared" ca="1" si="16"/>
        <v>#REF!</v>
      </c>
      <c r="I346" s="136" t="e">
        <f t="shared" ca="1" si="17"/>
        <v>#REF!</v>
      </c>
    </row>
    <row r="347" spans="1:9" hidden="1" x14ac:dyDescent="0.25">
      <c r="A347" s="114" t="s">
        <v>705</v>
      </c>
      <c r="B347" s="115" t="s">
        <v>1864</v>
      </c>
      <c r="C347" s="116" t="s">
        <v>93</v>
      </c>
      <c r="D347" s="116">
        <v>0</v>
      </c>
      <c r="E347" s="135">
        <f ca="1">OFFSET(INDEX(Composições!A:J,MATCH(Orçamentária!A347,Composições!A:A,0),8),2,0)</f>
        <v>68.760733999999985</v>
      </c>
      <c r="F347" s="136">
        <f t="shared" ca="1" si="15"/>
        <v>0</v>
      </c>
      <c r="G347" s="137" t="e">
        <f>IF(A347&lt;&gt;"",IF(AND(#REF!="Padrão",$H$4=#REF!),BDI!$B$17,IF(AND(#REF!="Padrão",$H$4=#REF!),BDI!#REF!,IF(AND(#REF!="Diferenciado",$H$4=#REF!),BDI!$E$17,IF(AND(#REF!="Diferenciado",$H$4=#REF!),BDI!#REF!,IF(#REF!="ZERO",0))))),"")</f>
        <v>#REF!</v>
      </c>
      <c r="H347" s="138" t="e">
        <f t="shared" ca="1" si="16"/>
        <v>#REF!</v>
      </c>
      <c r="I347" s="136" t="e">
        <f t="shared" ca="1" si="17"/>
        <v>#REF!</v>
      </c>
    </row>
    <row r="348" spans="1:9" hidden="1" x14ac:dyDescent="0.25">
      <c r="A348" s="114" t="s">
        <v>706</v>
      </c>
      <c r="B348" s="115" t="s">
        <v>1865</v>
      </c>
      <c r="C348" s="116" t="s">
        <v>93</v>
      </c>
      <c r="D348" s="116">
        <v>0</v>
      </c>
      <c r="E348" s="135">
        <f ca="1">OFFSET(INDEX(Composições!A:J,MATCH(Orçamentária!A348,Composições!A:A,0),8),2,0)</f>
        <v>62.40413199999999</v>
      </c>
      <c r="F348" s="136">
        <f t="shared" ca="1" si="15"/>
        <v>0</v>
      </c>
      <c r="G348" s="137" t="e">
        <f>IF(A348&lt;&gt;"",IF(AND(#REF!="Padrão",$H$4=#REF!),BDI!$B$17,IF(AND(#REF!="Padrão",$H$4=#REF!),BDI!#REF!,IF(AND(#REF!="Diferenciado",$H$4=#REF!),BDI!$E$17,IF(AND(#REF!="Diferenciado",$H$4=#REF!),BDI!#REF!,IF(#REF!="ZERO",0))))),"")</f>
        <v>#REF!</v>
      </c>
      <c r="H348" s="138" t="e">
        <f t="shared" ca="1" si="16"/>
        <v>#REF!</v>
      </c>
      <c r="I348" s="136" t="e">
        <f t="shared" ca="1" si="17"/>
        <v>#REF!</v>
      </c>
    </row>
    <row r="349" spans="1:9" hidden="1" x14ac:dyDescent="0.25">
      <c r="A349" s="114" t="s">
        <v>708</v>
      </c>
      <c r="B349" s="115" t="s">
        <v>1866</v>
      </c>
      <c r="C349" s="116" t="s">
        <v>93</v>
      </c>
      <c r="D349" s="116">
        <v>0</v>
      </c>
      <c r="E349" s="135">
        <f ca="1">OFFSET(INDEX(Composições!A:J,MATCH(Orçamentária!A349,Composições!A:A,0),8),2,0)</f>
        <v>42.537721550000001</v>
      </c>
      <c r="F349" s="136">
        <f t="shared" ca="1" si="15"/>
        <v>0</v>
      </c>
      <c r="G349" s="137" t="e">
        <f>IF(A349&lt;&gt;"",IF(AND(#REF!="Padrão",$H$4=#REF!),BDI!$B$17,IF(AND(#REF!="Padrão",$H$4=#REF!),BDI!#REF!,IF(AND(#REF!="Diferenciado",$H$4=#REF!),BDI!$E$17,IF(AND(#REF!="Diferenciado",$H$4=#REF!),BDI!#REF!,IF(#REF!="ZERO",0))))),"")</f>
        <v>#REF!</v>
      </c>
      <c r="H349" s="138" t="e">
        <f t="shared" ca="1" si="16"/>
        <v>#REF!</v>
      </c>
      <c r="I349" s="136" t="e">
        <f t="shared" ca="1" si="17"/>
        <v>#REF!</v>
      </c>
    </row>
    <row r="350" spans="1:9" hidden="1" x14ac:dyDescent="0.25">
      <c r="A350" s="114" t="s">
        <v>710</v>
      </c>
      <c r="B350" s="115" t="s">
        <v>1867</v>
      </c>
      <c r="C350" s="116" t="s">
        <v>93</v>
      </c>
      <c r="D350" s="116">
        <v>0</v>
      </c>
      <c r="E350" s="135">
        <f ca="1">OFFSET(INDEX(Composições!A:J,MATCH(Orçamentária!A350,Composições!A:A,0),8),2,0)</f>
        <v>21.015419299999994</v>
      </c>
      <c r="F350" s="136">
        <f t="shared" ca="1" si="15"/>
        <v>0</v>
      </c>
      <c r="G350" s="137" t="e">
        <f>IF(A350&lt;&gt;"",IF(AND(#REF!="Padrão",$H$4=#REF!),BDI!$B$17,IF(AND(#REF!="Padrão",$H$4=#REF!),BDI!#REF!,IF(AND(#REF!="Diferenciado",$H$4=#REF!),BDI!$E$17,IF(AND(#REF!="Diferenciado",$H$4=#REF!),BDI!#REF!,IF(#REF!="ZERO",0))))),"")</f>
        <v>#REF!</v>
      </c>
      <c r="H350" s="138" t="e">
        <f t="shared" ca="1" si="16"/>
        <v>#REF!</v>
      </c>
      <c r="I350" s="136" t="e">
        <f t="shared" ca="1" si="17"/>
        <v>#REF!</v>
      </c>
    </row>
    <row r="351" spans="1:9" hidden="1" x14ac:dyDescent="0.25">
      <c r="A351" s="114" t="s">
        <v>712</v>
      </c>
      <c r="B351" s="115" t="s">
        <v>1868</v>
      </c>
      <c r="C351" s="116" t="s">
        <v>93</v>
      </c>
      <c r="D351" s="116">
        <v>0</v>
      </c>
      <c r="E351" s="135">
        <f ca="1">OFFSET(INDEX(Composições!A:J,MATCH(Orçamentária!A351,Composições!A:A,0),8),2,0)</f>
        <v>63.214848699999997</v>
      </c>
      <c r="F351" s="136">
        <f t="shared" ca="1" si="15"/>
        <v>0</v>
      </c>
      <c r="G351" s="137" t="e">
        <f>IF(A351&lt;&gt;"",IF(AND(#REF!="Padrão",$H$4=#REF!),BDI!$B$17,IF(AND(#REF!="Padrão",$H$4=#REF!),BDI!#REF!,IF(AND(#REF!="Diferenciado",$H$4=#REF!),BDI!$E$17,IF(AND(#REF!="Diferenciado",$H$4=#REF!),BDI!#REF!,IF(#REF!="ZERO",0))))),"")</f>
        <v>#REF!</v>
      </c>
      <c r="H351" s="138" t="e">
        <f t="shared" ca="1" si="16"/>
        <v>#REF!</v>
      </c>
      <c r="I351" s="136" t="e">
        <f t="shared" ca="1" si="17"/>
        <v>#REF!</v>
      </c>
    </row>
    <row r="352" spans="1:9" hidden="1" x14ac:dyDescent="0.25">
      <c r="A352" s="114" t="s">
        <v>714</v>
      </c>
      <c r="B352" s="115" t="s">
        <v>1869</v>
      </c>
      <c r="C352" s="116" t="s">
        <v>93</v>
      </c>
      <c r="D352" s="116">
        <v>0</v>
      </c>
      <c r="E352" s="135">
        <f ca="1">OFFSET(INDEX(Composições!A:J,MATCH(Orçamentária!A352,Composições!A:A,0),8),2,0)</f>
        <v>31.688560999999996</v>
      </c>
      <c r="F352" s="136">
        <f t="shared" ca="1" si="15"/>
        <v>0</v>
      </c>
      <c r="G352" s="137" t="e">
        <f>IF(A352&lt;&gt;"",IF(AND(#REF!="Padrão",$H$4=#REF!),BDI!$B$17,IF(AND(#REF!="Padrão",$H$4=#REF!),BDI!#REF!,IF(AND(#REF!="Diferenciado",$H$4=#REF!),BDI!$E$17,IF(AND(#REF!="Diferenciado",$H$4=#REF!),BDI!#REF!,IF(#REF!="ZERO",0))))),"")</f>
        <v>#REF!</v>
      </c>
      <c r="H352" s="138" t="e">
        <f t="shared" ca="1" si="16"/>
        <v>#REF!</v>
      </c>
      <c r="I352" s="136" t="e">
        <f t="shared" ca="1" si="17"/>
        <v>#REF!</v>
      </c>
    </row>
    <row r="353" spans="1:9" hidden="1" x14ac:dyDescent="0.25">
      <c r="A353" s="114" t="s">
        <v>716</v>
      </c>
      <c r="B353" s="115" t="s">
        <v>1870</v>
      </c>
      <c r="C353" s="116" t="s">
        <v>93</v>
      </c>
      <c r="D353" s="116">
        <v>0</v>
      </c>
      <c r="E353" s="135">
        <f ca="1">OFFSET(INDEX(Composições!A:J,MATCH(Orçamentária!A353,Composições!A:A,0),8),2,0)</f>
        <v>52.573455049999986</v>
      </c>
      <c r="F353" s="136">
        <f t="shared" ca="1" si="15"/>
        <v>0</v>
      </c>
      <c r="G353" s="137" t="e">
        <f>IF(A353&lt;&gt;"",IF(AND(#REF!="Padrão",$H$4=#REF!),BDI!$B$17,IF(AND(#REF!="Padrão",$H$4=#REF!),BDI!#REF!,IF(AND(#REF!="Diferenciado",$H$4=#REF!),BDI!$E$17,IF(AND(#REF!="Diferenciado",$H$4=#REF!),BDI!#REF!,IF(#REF!="ZERO",0))))),"")</f>
        <v>#REF!</v>
      </c>
      <c r="H353" s="138" t="e">
        <f t="shared" ca="1" si="16"/>
        <v>#REF!</v>
      </c>
      <c r="I353" s="136" t="e">
        <f t="shared" ca="1" si="17"/>
        <v>#REF!</v>
      </c>
    </row>
    <row r="354" spans="1:9" hidden="1" x14ac:dyDescent="0.25">
      <c r="A354" s="114" t="s">
        <v>718</v>
      </c>
      <c r="B354" s="115" t="s">
        <v>1871</v>
      </c>
      <c r="C354" s="116" t="s">
        <v>93</v>
      </c>
      <c r="D354" s="116">
        <v>0</v>
      </c>
      <c r="E354" s="135">
        <f ca="1">OFFSET(INDEX(Composições!A:J,MATCH(Orçamentária!A354,Composições!A:A,0),8),2,0)</f>
        <v>1.7721984</v>
      </c>
      <c r="F354" s="136">
        <f t="shared" ca="1" si="15"/>
        <v>0</v>
      </c>
      <c r="G354" s="137" t="e">
        <f>IF(A354&lt;&gt;"",IF(AND(#REF!="Padrão",$H$4=#REF!),BDI!$B$17,IF(AND(#REF!="Padrão",$H$4=#REF!),BDI!#REF!,IF(AND(#REF!="Diferenciado",$H$4=#REF!),BDI!$E$17,IF(AND(#REF!="Diferenciado",$H$4=#REF!),BDI!#REF!,IF(#REF!="ZERO",0))))),"")</f>
        <v>#REF!</v>
      </c>
      <c r="H354" s="138" t="e">
        <f t="shared" ca="1" si="16"/>
        <v>#REF!</v>
      </c>
      <c r="I354" s="136" t="e">
        <f t="shared" ca="1" si="17"/>
        <v>#REF!</v>
      </c>
    </row>
    <row r="355" spans="1:9" hidden="1" x14ac:dyDescent="0.25">
      <c r="A355" s="114" t="s">
        <v>720</v>
      </c>
      <c r="B355" s="115" t="s">
        <v>1872</v>
      </c>
      <c r="C355" s="116" t="s">
        <v>93</v>
      </c>
      <c r="D355" s="116">
        <v>0</v>
      </c>
      <c r="E355" s="135">
        <f ca="1">OFFSET(INDEX(Composições!A:J,MATCH(Orçamentária!A355,Composições!A:A,0),8),2,0)</f>
        <v>1.7721984</v>
      </c>
      <c r="F355" s="136">
        <f t="shared" ca="1" si="15"/>
        <v>0</v>
      </c>
      <c r="G355" s="137" t="e">
        <f>IF(A355&lt;&gt;"",IF(AND(#REF!="Padrão",$H$4=#REF!),BDI!$B$17,IF(AND(#REF!="Padrão",$H$4=#REF!),BDI!#REF!,IF(AND(#REF!="Diferenciado",$H$4=#REF!),BDI!$E$17,IF(AND(#REF!="Diferenciado",$H$4=#REF!),BDI!#REF!,IF(#REF!="ZERO",0))))),"")</f>
        <v>#REF!</v>
      </c>
      <c r="H355" s="138" t="e">
        <f t="shared" ca="1" si="16"/>
        <v>#REF!</v>
      </c>
      <c r="I355" s="136" t="e">
        <f t="shared" ca="1" si="17"/>
        <v>#REF!</v>
      </c>
    </row>
    <row r="356" spans="1:9" hidden="1" x14ac:dyDescent="0.25">
      <c r="A356" s="114" t="s">
        <v>722</v>
      </c>
      <c r="B356" s="115" t="s">
        <v>1873</v>
      </c>
      <c r="C356" s="116" t="s">
        <v>93</v>
      </c>
      <c r="D356" s="116">
        <v>0</v>
      </c>
      <c r="E356" s="135">
        <f ca="1">OFFSET(INDEX(Composições!A:J,MATCH(Orçamentária!A356,Composições!A:A,0),8),2,0)</f>
        <v>1.7721984</v>
      </c>
      <c r="F356" s="136">
        <f t="shared" ca="1" si="15"/>
        <v>0</v>
      </c>
      <c r="G356" s="137" t="e">
        <f>IF(A356&lt;&gt;"",IF(AND(#REF!="Padrão",$H$4=#REF!),BDI!$B$17,IF(AND(#REF!="Padrão",$H$4=#REF!),BDI!#REF!,IF(AND(#REF!="Diferenciado",$H$4=#REF!),BDI!$E$17,IF(AND(#REF!="Diferenciado",$H$4=#REF!),BDI!#REF!,IF(#REF!="ZERO",0))))),"")</f>
        <v>#REF!</v>
      </c>
      <c r="H356" s="138" t="e">
        <f t="shared" ca="1" si="16"/>
        <v>#REF!</v>
      </c>
      <c r="I356" s="136" t="e">
        <f t="shared" ca="1" si="17"/>
        <v>#REF!</v>
      </c>
    </row>
    <row r="357" spans="1:9" hidden="1" x14ac:dyDescent="0.25">
      <c r="A357" s="114" t="s">
        <v>1874</v>
      </c>
      <c r="B357" s="115" t="s">
        <v>1875</v>
      </c>
      <c r="C357" s="116" t="s">
        <v>95</v>
      </c>
      <c r="D357" s="116">
        <v>0</v>
      </c>
      <c r="E357" s="135" t="s">
        <v>558</v>
      </c>
      <c r="F357" s="136" t="str">
        <f t="shared" si="15"/>
        <v/>
      </c>
      <c r="G357" s="137" t="e">
        <f>IF(A357&lt;&gt;"",IF(AND(#REF!="Padrão",$H$4=#REF!),BDI!$B$17,IF(AND(#REF!="Padrão",$H$4=#REF!),BDI!#REF!,IF(AND(#REF!="Diferenciado",$H$4=#REF!),BDI!$E$17,IF(AND(#REF!="Diferenciado",$H$4=#REF!),BDI!#REF!,IF(#REF!="ZERO",0))))),"")</f>
        <v>#REF!</v>
      </c>
      <c r="H357" s="138" t="str">
        <f t="shared" si="16"/>
        <v/>
      </c>
      <c r="I357" s="136" t="str">
        <f t="shared" si="17"/>
        <v/>
      </c>
    </row>
    <row r="358" spans="1:9" hidden="1" x14ac:dyDescent="0.25">
      <c r="A358" s="114" t="s">
        <v>1876</v>
      </c>
      <c r="B358" s="115" t="s">
        <v>6380</v>
      </c>
      <c r="C358" s="116" t="s">
        <v>95</v>
      </c>
      <c r="D358" s="116">
        <v>0</v>
      </c>
      <c r="E358" s="135" t="s">
        <v>558</v>
      </c>
      <c r="F358" s="136" t="str">
        <f t="shared" si="15"/>
        <v/>
      </c>
      <c r="G358" s="137" t="e">
        <f>IF(A358&lt;&gt;"",IF(AND(#REF!="Padrão",$H$4=#REF!),BDI!$B$17,IF(AND(#REF!="Padrão",$H$4=#REF!),BDI!#REF!,IF(AND(#REF!="Diferenciado",$H$4=#REF!),BDI!$E$17,IF(AND(#REF!="Diferenciado",$H$4=#REF!),BDI!#REF!,IF(#REF!="ZERO",0))))),"")</f>
        <v>#REF!</v>
      </c>
      <c r="H358" s="138" t="str">
        <f t="shared" si="16"/>
        <v/>
      </c>
      <c r="I358" s="136" t="str">
        <f t="shared" si="17"/>
        <v/>
      </c>
    </row>
    <row r="359" spans="1:9" hidden="1" x14ac:dyDescent="0.25">
      <c r="A359" s="114" t="s">
        <v>724</v>
      </c>
      <c r="B359" s="115" t="s">
        <v>1877</v>
      </c>
      <c r="C359" s="116" t="s">
        <v>95</v>
      </c>
      <c r="D359" s="116">
        <v>0</v>
      </c>
      <c r="E359" s="135">
        <f ca="1">OFFSET(INDEX(Composições!A:J,MATCH(Orçamentária!A359,Composições!A:A,0),8),2,0)</f>
        <v>100.9413</v>
      </c>
      <c r="F359" s="136">
        <f t="shared" ca="1" si="15"/>
        <v>0</v>
      </c>
      <c r="G359" s="137" t="e">
        <f>IF(A359&lt;&gt;"",IF(AND(#REF!="Padrão",$H$4=#REF!),BDI!$B$17,IF(AND(#REF!="Padrão",$H$4=#REF!),BDI!#REF!,IF(AND(#REF!="Diferenciado",$H$4=#REF!),BDI!$E$17,IF(AND(#REF!="Diferenciado",$H$4=#REF!),BDI!#REF!,IF(#REF!="ZERO",0))))),"")</f>
        <v>#REF!</v>
      </c>
      <c r="H359" s="138" t="e">
        <f t="shared" ca="1" si="16"/>
        <v>#REF!</v>
      </c>
      <c r="I359" s="136" t="e">
        <f t="shared" ca="1" si="17"/>
        <v>#REF!</v>
      </c>
    </row>
    <row r="360" spans="1:9" hidden="1" x14ac:dyDescent="0.25">
      <c r="A360" s="114" t="s">
        <v>725</v>
      </c>
      <c r="B360" s="115" t="s">
        <v>1878</v>
      </c>
      <c r="C360" s="116" t="s">
        <v>95</v>
      </c>
      <c r="D360" s="116">
        <v>0</v>
      </c>
      <c r="E360" s="135">
        <f ca="1">OFFSET(INDEX(Composições!A:J,MATCH(Orçamentária!A360,Composições!A:A,0),8),2,0)</f>
        <v>196.96064999999999</v>
      </c>
      <c r="F360" s="136">
        <f t="shared" ca="1" si="15"/>
        <v>0</v>
      </c>
      <c r="G360" s="137" t="e">
        <f>IF(A360&lt;&gt;"",IF(AND(#REF!="Padrão",$H$4=#REF!),BDI!$B$17,IF(AND(#REF!="Padrão",$H$4=#REF!),BDI!#REF!,IF(AND(#REF!="Diferenciado",$H$4=#REF!),BDI!$E$17,IF(AND(#REF!="Diferenciado",$H$4=#REF!),BDI!#REF!,IF(#REF!="ZERO",0))))),"")</f>
        <v>#REF!</v>
      </c>
      <c r="H360" s="138" t="e">
        <f t="shared" ca="1" si="16"/>
        <v>#REF!</v>
      </c>
      <c r="I360" s="136" t="e">
        <f t="shared" ca="1" si="17"/>
        <v>#REF!</v>
      </c>
    </row>
    <row r="361" spans="1:9" hidden="1" x14ac:dyDescent="0.25">
      <c r="A361" s="114" t="s">
        <v>728</v>
      </c>
      <c r="B361" s="115" t="s">
        <v>6347</v>
      </c>
      <c r="C361" s="116" t="s">
        <v>95</v>
      </c>
      <c r="D361" s="116">
        <v>0</v>
      </c>
      <c r="E361" s="135">
        <f ca="1">OFFSET(INDEX(Composições!A:J,MATCH(Orçamentária!A361,Composições!A:A,0),8),2,0)</f>
        <v>41.856999999999999</v>
      </c>
      <c r="F361" s="136">
        <f t="shared" ca="1" si="15"/>
        <v>0</v>
      </c>
      <c r="G361" s="137" t="e">
        <f>IF(A361&lt;&gt;"",IF(AND(#REF!="Padrão",$H$4=#REF!),BDI!$B$17,IF(AND(#REF!="Padrão",$H$4=#REF!),BDI!#REF!,IF(AND(#REF!="Diferenciado",$H$4=#REF!),BDI!$E$17,IF(AND(#REF!="Diferenciado",$H$4=#REF!),BDI!#REF!,IF(#REF!="ZERO",0))))),"")</f>
        <v>#REF!</v>
      </c>
      <c r="H361" s="138" t="e">
        <f t="shared" ca="1" si="16"/>
        <v>#REF!</v>
      </c>
      <c r="I361" s="136" t="e">
        <f t="shared" ca="1" si="17"/>
        <v>#REF!</v>
      </c>
    </row>
    <row r="362" spans="1:9" hidden="1" x14ac:dyDescent="0.25">
      <c r="A362" s="114" t="s">
        <v>730</v>
      </c>
      <c r="B362" s="115" t="s">
        <v>6348</v>
      </c>
      <c r="C362" s="116" t="s">
        <v>95</v>
      </c>
      <c r="D362" s="116">
        <v>0</v>
      </c>
      <c r="E362" s="135">
        <f ca="1">OFFSET(INDEX(Composições!A:J,MATCH(Orçamentária!A362,Composições!A:A,0),8),2,0)</f>
        <v>41.856999999999999</v>
      </c>
      <c r="F362" s="136">
        <f t="shared" ca="1" si="15"/>
        <v>0</v>
      </c>
      <c r="G362" s="137" t="e">
        <f>IF(A362&lt;&gt;"",IF(AND(#REF!="Padrão",$H$4=#REF!),BDI!$B$17,IF(AND(#REF!="Padrão",$H$4=#REF!),BDI!#REF!,IF(AND(#REF!="Diferenciado",$H$4=#REF!),BDI!$E$17,IF(AND(#REF!="Diferenciado",$H$4=#REF!),BDI!#REF!,IF(#REF!="ZERO",0))))),"")</f>
        <v>#REF!</v>
      </c>
      <c r="H362" s="138" t="e">
        <f t="shared" ca="1" si="16"/>
        <v>#REF!</v>
      </c>
      <c r="I362" s="136" t="e">
        <f t="shared" ca="1" si="17"/>
        <v>#REF!</v>
      </c>
    </row>
    <row r="363" spans="1:9" hidden="1" x14ac:dyDescent="0.25">
      <c r="A363" s="114" t="s">
        <v>732</v>
      </c>
      <c r="B363" s="115" t="s">
        <v>1879</v>
      </c>
      <c r="C363" s="116" t="s">
        <v>20</v>
      </c>
      <c r="D363" s="116">
        <v>0</v>
      </c>
      <c r="E363" s="135">
        <f ca="1">OFFSET(INDEX(Composições!A:J,MATCH(Orçamentária!A363,Composições!A:A,0),8),2,0)</f>
        <v>41.856999999999999</v>
      </c>
      <c r="F363" s="136">
        <f t="shared" ca="1" si="15"/>
        <v>0</v>
      </c>
      <c r="G363" s="137" t="e">
        <f>IF(A363&lt;&gt;"",IF(AND(#REF!="Padrão",$H$4=#REF!),BDI!$B$17,IF(AND(#REF!="Padrão",$H$4=#REF!),BDI!#REF!,IF(AND(#REF!="Diferenciado",$H$4=#REF!),BDI!$E$17,IF(AND(#REF!="Diferenciado",$H$4=#REF!),BDI!#REF!,IF(#REF!="ZERO",0))))),"")</f>
        <v>#REF!</v>
      </c>
      <c r="H363" s="138" t="e">
        <f t="shared" ca="1" si="16"/>
        <v>#REF!</v>
      </c>
      <c r="I363" s="136" t="e">
        <f t="shared" ca="1" si="17"/>
        <v>#REF!</v>
      </c>
    </row>
    <row r="364" spans="1:9" hidden="1" x14ac:dyDescent="0.25">
      <c r="A364" s="114" t="s">
        <v>734</v>
      </c>
      <c r="B364" s="115" t="s">
        <v>3640</v>
      </c>
      <c r="C364" s="116" t="s">
        <v>20</v>
      </c>
      <c r="D364" s="116">
        <v>0</v>
      </c>
      <c r="E364" s="135">
        <f ca="1">OFFSET(INDEX(Composições!A:J,MATCH(Orçamentária!A364,Composições!A:A,0),8),2,0)</f>
        <v>281.79867385</v>
      </c>
      <c r="F364" s="136">
        <f t="shared" ca="1" si="15"/>
        <v>0</v>
      </c>
      <c r="G364" s="137" t="e">
        <f>IF(A364&lt;&gt;"",IF(AND(#REF!="Padrão",$H$4=#REF!),BDI!$B$17,IF(AND(#REF!="Padrão",$H$4=#REF!),BDI!#REF!,IF(AND(#REF!="Diferenciado",$H$4=#REF!),BDI!$E$17,IF(AND(#REF!="Diferenciado",$H$4=#REF!),BDI!#REF!,IF(#REF!="ZERO",0))))),"")</f>
        <v>#REF!</v>
      </c>
      <c r="H364" s="138" t="e">
        <f t="shared" ca="1" si="16"/>
        <v>#REF!</v>
      </c>
      <c r="I364" s="136" t="e">
        <f t="shared" ca="1" si="17"/>
        <v>#REF!</v>
      </c>
    </row>
    <row r="365" spans="1:9" hidden="1" x14ac:dyDescent="0.25">
      <c r="A365" s="114" t="s">
        <v>736</v>
      </c>
      <c r="B365" s="115" t="s">
        <v>1880</v>
      </c>
      <c r="C365" s="116" t="s">
        <v>95</v>
      </c>
      <c r="D365" s="116">
        <v>0</v>
      </c>
      <c r="E365" s="135">
        <f ca="1">OFFSET(INDEX(Composições!A:J,MATCH(Orçamentária!A365,Composições!A:A,0),8),2,0)</f>
        <v>11.88735</v>
      </c>
      <c r="F365" s="136">
        <f t="shared" ca="1" si="15"/>
        <v>0</v>
      </c>
      <c r="G365" s="137" t="e">
        <f>IF(A365&lt;&gt;"",IF(AND(#REF!="Padrão",$H$4=#REF!),BDI!$B$17,IF(AND(#REF!="Padrão",$H$4=#REF!),BDI!#REF!,IF(AND(#REF!="Diferenciado",$H$4=#REF!),BDI!$E$17,IF(AND(#REF!="Diferenciado",$H$4=#REF!),BDI!#REF!,IF(#REF!="ZERO",0))))),"")</f>
        <v>#REF!</v>
      </c>
      <c r="H365" s="138" t="e">
        <f t="shared" ca="1" si="16"/>
        <v>#REF!</v>
      </c>
      <c r="I365" s="136" t="e">
        <f t="shared" ca="1" si="17"/>
        <v>#REF!</v>
      </c>
    </row>
    <row r="366" spans="1:9" hidden="1" x14ac:dyDescent="0.25">
      <c r="A366" s="114" t="s">
        <v>738</v>
      </c>
      <c r="B366" s="115" t="s">
        <v>3631</v>
      </c>
      <c r="C366" s="116" t="s">
        <v>20</v>
      </c>
      <c r="D366" s="116">
        <v>0</v>
      </c>
      <c r="E366" s="135">
        <f ca="1">OFFSET(INDEX(Composições!A:J,MATCH(Orçamentária!A366,Composições!A:A,0),8),2,0)</f>
        <v>261.81191359999997</v>
      </c>
      <c r="F366" s="136">
        <f t="shared" ca="1" si="15"/>
        <v>0</v>
      </c>
      <c r="G366" s="137" t="e">
        <f>IF(A366&lt;&gt;"",IF(AND(#REF!="Padrão",$H$4=#REF!),BDI!$B$17,IF(AND(#REF!="Padrão",$H$4=#REF!),BDI!#REF!,IF(AND(#REF!="Diferenciado",$H$4=#REF!),BDI!$E$17,IF(AND(#REF!="Diferenciado",$H$4=#REF!),BDI!#REF!,IF(#REF!="ZERO",0))))),"")</f>
        <v>#REF!</v>
      </c>
      <c r="H366" s="138" t="e">
        <f t="shared" ca="1" si="16"/>
        <v>#REF!</v>
      </c>
      <c r="I366" s="136" t="e">
        <f t="shared" ca="1" si="17"/>
        <v>#REF!</v>
      </c>
    </row>
    <row r="367" spans="1:9" hidden="1" x14ac:dyDescent="0.25">
      <c r="A367" s="114" t="s">
        <v>744</v>
      </c>
      <c r="B367" s="115" t="s">
        <v>3632</v>
      </c>
      <c r="C367" s="116" t="s">
        <v>20</v>
      </c>
      <c r="D367" s="116">
        <v>0</v>
      </c>
      <c r="E367" s="135">
        <f ca="1">OFFSET(INDEX(Composições!A:J,MATCH(Orçamentária!A367,Composições!A:A,0),8),2,0)</f>
        <v>274.14239965000002</v>
      </c>
      <c r="F367" s="136">
        <f t="shared" ca="1" si="15"/>
        <v>0</v>
      </c>
      <c r="G367" s="137" t="e">
        <f>IF(A367&lt;&gt;"",IF(AND(#REF!="Padrão",$H$4=#REF!),BDI!$B$17,IF(AND(#REF!="Padrão",$H$4=#REF!),BDI!#REF!,IF(AND(#REF!="Diferenciado",$H$4=#REF!),BDI!$E$17,IF(AND(#REF!="Diferenciado",$H$4=#REF!),BDI!#REF!,IF(#REF!="ZERO",0))))),"")</f>
        <v>#REF!</v>
      </c>
      <c r="H367" s="138" t="e">
        <f t="shared" ca="1" si="16"/>
        <v>#REF!</v>
      </c>
      <c r="I367" s="136" t="e">
        <f t="shared" ca="1" si="17"/>
        <v>#REF!</v>
      </c>
    </row>
    <row r="368" spans="1:9" hidden="1" x14ac:dyDescent="0.25">
      <c r="A368" s="114" t="s">
        <v>745</v>
      </c>
      <c r="B368" s="115" t="s">
        <v>3633</v>
      </c>
      <c r="C368" s="116" t="s">
        <v>20</v>
      </c>
      <c r="D368" s="116">
        <v>0</v>
      </c>
      <c r="E368" s="135">
        <f ca="1">OFFSET(INDEX(Composições!A:J,MATCH(Orçamentária!A368,Composições!A:A,0),8),2,0)</f>
        <v>329.88075024999989</v>
      </c>
      <c r="F368" s="136">
        <f t="shared" ca="1" si="15"/>
        <v>0</v>
      </c>
      <c r="G368" s="137" t="e">
        <f>IF(A368&lt;&gt;"",IF(AND(#REF!="Padrão",$H$4=#REF!),BDI!$B$17,IF(AND(#REF!="Padrão",$H$4=#REF!),BDI!#REF!,IF(AND(#REF!="Diferenciado",$H$4=#REF!),BDI!$E$17,IF(AND(#REF!="Diferenciado",$H$4=#REF!),BDI!#REF!,IF(#REF!="ZERO",0))))),"")</f>
        <v>#REF!</v>
      </c>
      <c r="H368" s="138" t="e">
        <f t="shared" ca="1" si="16"/>
        <v>#REF!</v>
      </c>
      <c r="I368" s="136" t="e">
        <f t="shared" ca="1" si="17"/>
        <v>#REF!</v>
      </c>
    </row>
    <row r="369" spans="1:9" hidden="1" x14ac:dyDescent="0.25">
      <c r="A369" s="114" t="s">
        <v>746</v>
      </c>
      <c r="B369" s="115" t="s">
        <v>3634</v>
      </c>
      <c r="C369" s="116" t="s">
        <v>20</v>
      </c>
      <c r="D369" s="116">
        <v>0</v>
      </c>
      <c r="E369" s="135">
        <f ca="1">OFFSET(INDEX(Composições!A:J,MATCH(Orçamentária!A369,Composições!A:A,0),8),2,0)</f>
        <v>374.09560085000004</v>
      </c>
      <c r="F369" s="136">
        <f t="shared" ca="1" si="15"/>
        <v>0</v>
      </c>
      <c r="G369" s="137" t="e">
        <f>IF(A369&lt;&gt;"",IF(AND(#REF!="Padrão",$H$4=#REF!),BDI!$B$17,IF(AND(#REF!="Padrão",$H$4=#REF!),BDI!#REF!,IF(AND(#REF!="Diferenciado",$H$4=#REF!),BDI!$E$17,IF(AND(#REF!="Diferenciado",$H$4=#REF!),BDI!#REF!,IF(#REF!="ZERO",0))))),"")</f>
        <v>#REF!</v>
      </c>
      <c r="H369" s="138" t="e">
        <f t="shared" ca="1" si="16"/>
        <v>#REF!</v>
      </c>
      <c r="I369" s="136" t="e">
        <f t="shared" ca="1" si="17"/>
        <v>#REF!</v>
      </c>
    </row>
    <row r="370" spans="1:9" hidden="1" x14ac:dyDescent="0.25">
      <c r="A370" s="114" t="s">
        <v>747</v>
      </c>
      <c r="B370" s="115" t="s">
        <v>3635</v>
      </c>
      <c r="C370" s="116" t="s">
        <v>20</v>
      </c>
      <c r="D370" s="116">
        <v>0</v>
      </c>
      <c r="E370" s="135">
        <f ca="1">OFFSET(INDEX(Composições!A:J,MATCH(Orçamentária!A370,Composições!A:A,0),8),2,0)</f>
        <v>400.27504345</v>
      </c>
      <c r="F370" s="136">
        <f t="shared" ca="1" si="15"/>
        <v>0</v>
      </c>
      <c r="G370" s="137" t="e">
        <f>IF(A370&lt;&gt;"",IF(AND(#REF!="Padrão",$H$4=#REF!),BDI!$B$17,IF(AND(#REF!="Padrão",$H$4=#REF!),BDI!#REF!,IF(AND(#REF!="Diferenciado",$H$4=#REF!),BDI!$E$17,IF(AND(#REF!="Diferenciado",$H$4=#REF!),BDI!#REF!,IF(#REF!="ZERO",0))))),"")</f>
        <v>#REF!</v>
      </c>
      <c r="H370" s="138" t="e">
        <f t="shared" ca="1" si="16"/>
        <v>#REF!</v>
      </c>
      <c r="I370" s="136" t="e">
        <f t="shared" ca="1" si="17"/>
        <v>#REF!</v>
      </c>
    </row>
    <row r="371" spans="1:9" hidden="1" x14ac:dyDescent="0.25">
      <c r="A371" s="114" t="s">
        <v>748</v>
      </c>
      <c r="B371" s="115" t="s">
        <v>1881</v>
      </c>
      <c r="C371" s="116" t="s">
        <v>20</v>
      </c>
      <c r="D371" s="116">
        <v>0</v>
      </c>
      <c r="E371" s="135">
        <f ca="1">OFFSET(INDEX(Composições!A:J,MATCH(Orçamentária!A371,Composições!A:A,0),8),2,0)</f>
        <v>85.207798999999994</v>
      </c>
      <c r="F371" s="136">
        <f t="shared" ca="1" si="15"/>
        <v>0</v>
      </c>
      <c r="G371" s="137" t="e">
        <f>IF(A371&lt;&gt;"",IF(AND(#REF!="Padrão",$H$4=#REF!),BDI!$B$17,IF(AND(#REF!="Padrão",$H$4=#REF!),BDI!#REF!,IF(AND(#REF!="Diferenciado",$H$4=#REF!),BDI!$E$17,IF(AND(#REF!="Diferenciado",$H$4=#REF!),BDI!#REF!,IF(#REF!="ZERO",0))))),"")</f>
        <v>#REF!</v>
      </c>
      <c r="H371" s="138" t="e">
        <f t="shared" ca="1" si="16"/>
        <v>#REF!</v>
      </c>
      <c r="I371" s="136" t="e">
        <f t="shared" ca="1" si="17"/>
        <v>#REF!</v>
      </c>
    </row>
    <row r="372" spans="1:9" hidden="1" x14ac:dyDescent="0.25">
      <c r="A372" s="114" t="s">
        <v>749</v>
      </c>
      <c r="B372" s="115" t="s">
        <v>1882</v>
      </c>
      <c r="C372" s="116" t="s">
        <v>20</v>
      </c>
      <c r="D372" s="116">
        <v>0</v>
      </c>
      <c r="E372" s="135">
        <f ca="1">OFFSET(INDEX(Composições!A:J,MATCH(Orçamentária!A372,Composições!A:A,0),8),2,0)</f>
        <v>61.552675500000007</v>
      </c>
      <c r="F372" s="136">
        <f t="shared" ca="1" si="15"/>
        <v>0</v>
      </c>
      <c r="G372" s="137" t="e">
        <f>IF(A372&lt;&gt;"",IF(AND(#REF!="Padrão",$H$4=#REF!),BDI!$B$17,IF(AND(#REF!="Padrão",$H$4=#REF!),BDI!#REF!,IF(AND(#REF!="Diferenciado",$H$4=#REF!),BDI!$E$17,IF(AND(#REF!="Diferenciado",$H$4=#REF!),BDI!#REF!,IF(#REF!="ZERO",0))))),"")</f>
        <v>#REF!</v>
      </c>
      <c r="H372" s="138" t="e">
        <f t="shared" ca="1" si="16"/>
        <v>#REF!</v>
      </c>
      <c r="I372" s="136" t="e">
        <f t="shared" ca="1" si="17"/>
        <v>#REF!</v>
      </c>
    </row>
    <row r="373" spans="1:9" hidden="1" x14ac:dyDescent="0.25">
      <c r="A373" s="114" t="s">
        <v>751</v>
      </c>
      <c r="B373" s="115" t="s">
        <v>1883</v>
      </c>
      <c r="C373" s="116" t="s">
        <v>20</v>
      </c>
      <c r="D373" s="116">
        <v>0</v>
      </c>
      <c r="E373" s="135">
        <f ca="1">OFFSET(INDEX(Composições!A:J,MATCH(Orçamentária!A373,Composições!A:A,0),8),2,0)</f>
        <v>44.738254999999995</v>
      </c>
      <c r="F373" s="136">
        <f t="shared" ca="1" si="15"/>
        <v>0</v>
      </c>
      <c r="G373" s="137" t="e">
        <f>IF(A373&lt;&gt;"",IF(AND(#REF!="Padrão",$H$4=#REF!),BDI!$B$17,IF(AND(#REF!="Padrão",$H$4=#REF!),BDI!#REF!,IF(AND(#REF!="Diferenciado",$H$4=#REF!),BDI!$E$17,IF(AND(#REF!="Diferenciado",$H$4=#REF!),BDI!#REF!,IF(#REF!="ZERO",0))))),"")</f>
        <v>#REF!</v>
      </c>
      <c r="H373" s="138" t="e">
        <f t="shared" ca="1" si="16"/>
        <v>#REF!</v>
      </c>
      <c r="I373" s="136" t="e">
        <f t="shared" ca="1" si="17"/>
        <v>#REF!</v>
      </c>
    </row>
    <row r="374" spans="1:9" hidden="1" x14ac:dyDescent="0.25">
      <c r="A374" s="114" t="s">
        <v>752</v>
      </c>
      <c r="B374" s="115" t="s">
        <v>1884</v>
      </c>
      <c r="C374" s="116" t="s">
        <v>20</v>
      </c>
      <c r="D374" s="116">
        <v>0</v>
      </c>
      <c r="E374" s="135">
        <f ca="1">OFFSET(INDEX(Composições!A:J,MATCH(Orçamentária!A374,Composições!A:A,0),8),2,0)</f>
        <v>23.707705999999998</v>
      </c>
      <c r="F374" s="136">
        <f t="shared" ca="1" si="15"/>
        <v>0</v>
      </c>
      <c r="G374" s="137" t="e">
        <f>IF(A374&lt;&gt;"",IF(AND(#REF!="Padrão",$H$4=#REF!),BDI!$B$17,IF(AND(#REF!="Padrão",$H$4=#REF!),BDI!#REF!,IF(AND(#REF!="Diferenciado",$H$4=#REF!),BDI!$E$17,IF(AND(#REF!="Diferenciado",$H$4=#REF!),BDI!#REF!,IF(#REF!="ZERO",0))))),"")</f>
        <v>#REF!</v>
      </c>
      <c r="H374" s="138" t="e">
        <f t="shared" ca="1" si="16"/>
        <v>#REF!</v>
      </c>
      <c r="I374" s="136" t="e">
        <f t="shared" ca="1" si="17"/>
        <v>#REF!</v>
      </c>
    </row>
    <row r="375" spans="1:9" hidden="1" x14ac:dyDescent="0.25">
      <c r="A375" s="114" t="s">
        <v>754</v>
      </c>
      <c r="B375" s="115" t="s">
        <v>1885</v>
      </c>
      <c r="C375" s="116" t="s">
        <v>20</v>
      </c>
      <c r="D375" s="116">
        <v>0</v>
      </c>
      <c r="E375" s="135">
        <f ca="1">OFFSET(INDEX(Composições!A:J,MATCH(Orçamentária!A375,Composições!A:A,0),8),2,0)</f>
        <v>30.960547499999997</v>
      </c>
      <c r="F375" s="136">
        <f t="shared" ca="1" si="15"/>
        <v>0</v>
      </c>
      <c r="G375" s="137" t="e">
        <f>IF(A375&lt;&gt;"",IF(AND(#REF!="Padrão",$H$4=#REF!),BDI!$B$17,IF(AND(#REF!="Padrão",$H$4=#REF!),BDI!#REF!,IF(AND(#REF!="Diferenciado",$H$4=#REF!),BDI!$E$17,IF(AND(#REF!="Diferenciado",$H$4=#REF!),BDI!#REF!,IF(#REF!="ZERO",0))))),"")</f>
        <v>#REF!</v>
      </c>
      <c r="H375" s="138" t="e">
        <f t="shared" ca="1" si="16"/>
        <v>#REF!</v>
      </c>
      <c r="I375" s="136" t="e">
        <f t="shared" ca="1" si="17"/>
        <v>#REF!</v>
      </c>
    </row>
    <row r="376" spans="1:9" hidden="1" x14ac:dyDescent="0.25">
      <c r="A376" s="114" t="s">
        <v>756</v>
      </c>
      <c r="B376" s="115" t="s">
        <v>1886</v>
      </c>
      <c r="C376" s="116" t="s">
        <v>20</v>
      </c>
      <c r="D376" s="116">
        <v>0</v>
      </c>
      <c r="E376" s="135">
        <f ca="1">OFFSET(INDEX(Composições!A:J,MATCH(Orçamentária!A376,Composições!A:A,0),8),2,0)</f>
        <v>30.960547499999997</v>
      </c>
      <c r="F376" s="136">
        <f t="shared" ca="1" si="15"/>
        <v>0</v>
      </c>
      <c r="G376" s="137" t="e">
        <f>IF(A376&lt;&gt;"",IF(AND(#REF!="Padrão",$H$4=#REF!),BDI!$B$17,IF(AND(#REF!="Padrão",$H$4=#REF!),BDI!#REF!,IF(AND(#REF!="Diferenciado",$H$4=#REF!),BDI!$E$17,IF(AND(#REF!="Diferenciado",$H$4=#REF!),BDI!#REF!,IF(#REF!="ZERO",0))))),"")</f>
        <v>#REF!</v>
      </c>
      <c r="H376" s="138" t="e">
        <f t="shared" ca="1" si="16"/>
        <v>#REF!</v>
      </c>
      <c r="I376" s="136" t="e">
        <f t="shared" ca="1" si="17"/>
        <v>#REF!</v>
      </c>
    </row>
    <row r="377" spans="1:9" hidden="1" x14ac:dyDescent="0.25">
      <c r="A377" s="114" t="s">
        <v>758</v>
      </c>
      <c r="B377" s="115" t="s">
        <v>1887</v>
      </c>
      <c r="C377" s="116" t="s">
        <v>20</v>
      </c>
      <c r="D377" s="116">
        <v>0</v>
      </c>
      <c r="E377" s="135">
        <f ca="1">OFFSET(INDEX(Composições!A:J,MATCH(Orçamentária!A377,Composições!A:A,0),8),2,0)</f>
        <v>30.960547499999997</v>
      </c>
      <c r="F377" s="136">
        <f t="shared" ca="1" si="15"/>
        <v>0</v>
      </c>
      <c r="G377" s="137" t="e">
        <f>IF(A377&lt;&gt;"",IF(AND(#REF!="Padrão",$H$4=#REF!),BDI!$B$17,IF(AND(#REF!="Padrão",$H$4=#REF!),BDI!#REF!,IF(AND(#REF!="Diferenciado",$H$4=#REF!),BDI!$E$17,IF(AND(#REF!="Diferenciado",$H$4=#REF!),BDI!#REF!,IF(#REF!="ZERO",0))))),"")</f>
        <v>#REF!</v>
      </c>
      <c r="H377" s="138" t="e">
        <f t="shared" ca="1" si="16"/>
        <v>#REF!</v>
      </c>
      <c r="I377" s="136" t="e">
        <f t="shared" ca="1" si="17"/>
        <v>#REF!</v>
      </c>
    </row>
    <row r="378" spans="1:9" hidden="1" x14ac:dyDescent="0.25">
      <c r="A378" s="114" t="s">
        <v>759</v>
      </c>
      <c r="B378" s="115" t="s">
        <v>1888</v>
      </c>
      <c r="C378" s="116" t="s">
        <v>20</v>
      </c>
      <c r="D378" s="116">
        <v>0</v>
      </c>
      <c r="E378" s="135">
        <f ca="1">OFFSET(INDEX(Composições!A:J,MATCH(Orçamentária!A378,Composições!A:A,0),8),2,0)</f>
        <v>22.895</v>
      </c>
      <c r="F378" s="136">
        <f t="shared" ca="1" si="15"/>
        <v>0</v>
      </c>
      <c r="G378" s="137" t="e">
        <f>IF(A378&lt;&gt;"",IF(AND(#REF!="Padrão",$H$4=#REF!),BDI!$B$17,IF(AND(#REF!="Padrão",$H$4=#REF!),BDI!#REF!,IF(AND(#REF!="Diferenciado",$H$4=#REF!),BDI!$E$17,IF(AND(#REF!="Diferenciado",$H$4=#REF!),BDI!#REF!,IF(#REF!="ZERO",0))))),"")</f>
        <v>#REF!</v>
      </c>
      <c r="H378" s="138" t="e">
        <f t="shared" ca="1" si="16"/>
        <v>#REF!</v>
      </c>
      <c r="I378" s="136" t="e">
        <f t="shared" ca="1" si="17"/>
        <v>#REF!</v>
      </c>
    </row>
    <row r="379" spans="1:9" hidden="1" x14ac:dyDescent="0.25">
      <c r="A379" s="114" t="s">
        <v>761</v>
      </c>
      <c r="B379" s="115" t="s">
        <v>1889</v>
      </c>
      <c r="C379" s="116" t="s">
        <v>20</v>
      </c>
      <c r="D379" s="116">
        <v>0</v>
      </c>
      <c r="E379" s="135">
        <f ca="1">OFFSET(INDEX(Composições!A:J,MATCH(Orçamentária!A379,Composições!A:A,0),8),2,0)</f>
        <v>11.4475</v>
      </c>
      <c r="F379" s="136">
        <f t="shared" ca="1" si="15"/>
        <v>0</v>
      </c>
      <c r="G379" s="137" t="e">
        <f>IF(A379&lt;&gt;"",IF(AND(#REF!="Padrão",$H$4=#REF!),BDI!$B$17,IF(AND(#REF!="Padrão",$H$4=#REF!),BDI!#REF!,IF(AND(#REF!="Diferenciado",$H$4=#REF!),BDI!$E$17,IF(AND(#REF!="Diferenciado",$H$4=#REF!),BDI!#REF!,IF(#REF!="ZERO",0))))),"")</f>
        <v>#REF!</v>
      </c>
      <c r="H379" s="138" t="e">
        <f t="shared" ca="1" si="16"/>
        <v>#REF!</v>
      </c>
      <c r="I379" s="136" t="e">
        <f t="shared" ca="1" si="17"/>
        <v>#REF!</v>
      </c>
    </row>
    <row r="380" spans="1:9" hidden="1" x14ac:dyDescent="0.25">
      <c r="A380" s="114" t="s">
        <v>763</v>
      </c>
      <c r="B380" s="115" t="s">
        <v>1890</v>
      </c>
      <c r="C380" s="116" t="s">
        <v>93</v>
      </c>
      <c r="D380" s="116">
        <v>0</v>
      </c>
      <c r="E380" s="135">
        <f ca="1">OFFSET(INDEX(Composições!A:J,MATCH(Orçamentária!A380,Composições!A:A,0),8),2,0)</f>
        <v>0.11395439999999998</v>
      </c>
      <c r="F380" s="136">
        <f t="shared" ca="1" si="15"/>
        <v>0</v>
      </c>
      <c r="G380" s="137" t="e">
        <f>IF(A380&lt;&gt;"",IF(AND(#REF!="Padrão",$H$4=#REF!),BDI!$B$17,IF(AND(#REF!="Padrão",$H$4=#REF!),BDI!#REF!,IF(AND(#REF!="Diferenciado",$H$4=#REF!),BDI!$E$17,IF(AND(#REF!="Diferenciado",$H$4=#REF!),BDI!#REF!,IF(#REF!="ZERO",0))))),"")</f>
        <v>#REF!</v>
      </c>
      <c r="H380" s="138" t="e">
        <f t="shared" ca="1" si="16"/>
        <v>#REF!</v>
      </c>
      <c r="I380" s="136" t="e">
        <f t="shared" ca="1" si="17"/>
        <v>#REF!</v>
      </c>
    </row>
    <row r="381" spans="1:9" hidden="1" x14ac:dyDescent="0.25">
      <c r="A381" s="114" t="s">
        <v>765</v>
      </c>
      <c r="B381" s="115" t="s">
        <v>1891</v>
      </c>
      <c r="C381" s="116" t="s">
        <v>20</v>
      </c>
      <c r="D381" s="116">
        <v>0</v>
      </c>
      <c r="E381" s="135">
        <f ca="1">OFFSET(INDEX(Composições!A:J,MATCH(Orçamentária!A381,Composições!A:A,0),8),2,0)</f>
        <v>16.783855199999998</v>
      </c>
      <c r="F381" s="136">
        <f t="shared" ca="1" si="15"/>
        <v>0</v>
      </c>
      <c r="G381" s="137" t="e">
        <f>IF(A381&lt;&gt;"",IF(AND(#REF!="Padrão",$H$4=#REF!),BDI!$B$17,IF(AND(#REF!="Padrão",$H$4=#REF!),BDI!#REF!,IF(AND(#REF!="Diferenciado",$H$4=#REF!),BDI!$E$17,IF(AND(#REF!="Diferenciado",$H$4=#REF!),BDI!#REF!,IF(#REF!="ZERO",0))))),"")</f>
        <v>#REF!</v>
      </c>
      <c r="H381" s="138" t="e">
        <f t="shared" ca="1" si="16"/>
        <v>#REF!</v>
      </c>
      <c r="I381" s="136" t="e">
        <f t="shared" ca="1" si="17"/>
        <v>#REF!</v>
      </c>
    </row>
    <row r="382" spans="1:9" hidden="1" x14ac:dyDescent="0.25">
      <c r="A382" s="114" t="s">
        <v>769</v>
      </c>
      <c r="B382" s="115" t="s">
        <v>1892</v>
      </c>
      <c r="C382" s="116" t="s">
        <v>20</v>
      </c>
      <c r="D382" s="116">
        <v>0</v>
      </c>
      <c r="E382" s="135">
        <f ca="1">OFFSET(INDEX(Composições!A:J,MATCH(Orçamentária!A382,Composições!A:A,0),8),2,0)</f>
        <v>252.35608859999996</v>
      </c>
      <c r="F382" s="136">
        <f t="shared" ca="1" si="15"/>
        <v>0</v>
      </c>
      <c r="G382" s="137" t="e">
        <f>IF(A382&lt;&gt;"",IF(AND(#REF!="Padrão",$H$4=#REF!),BDI!$B$17,IF(AND(#REF!="Padrão",$H$4=#REF!),BDI!#REF!,IF(AND(#REF!="Diferenciado",$H$4=#REF!),BDI!$E$17,IF(AND(#REF!="Diferenciado",$H$4=#REF!),BDI!#REF!,IF(#REF!="ZERO",0))))),"")</f>
        <v>#REF!</v>
      </c>
      <c r="H382" s="138" t="e">
        <f t="shared" ca="1" si="16"/>
        <v>#REF!</v>
      </c>
      <c r="I382" s="136" t="e">
        <f t="shared" ca="1" si="17"/>
        <v>#REF!</v>
      </c>
    </row>
    <row r="383" spans="1:9" hidden="1" x14ac:dyDescent="0.25">
      <c r="A383" s="114" t="s">
        <v>771</v>
      </c>
      <c r="B383" s="115" t="s">
        <v>1893</v>
      </c>
      <c r="C383" s="116" t="s">
        <v>93</v>
      </c>
      <c r="D383" s="116">
        <v>0</v>
      </c>
      <c r="E383" s="135">
        <f ca="1">OFFSET(INDEX(Composições!A:J,MATCH(Orçamentária!A383,Composições!A:A,0),8),2,0)</f>
        <v>3.8256917999999995</v>
      </c>
      <c r="F383" s="136">
        <f t="shared" ca="1" si="15"/>
        <v>0</v>
      </c>
      <c r="G383" s="137" t="e">
        <f>IF(A383&lt;&gt;"",IF(AND(#REF!="Padrão",$H$4=#REF!),BDI!$B$17,IF(AND(#REF!="Padrão",$H$4=#REF!),BDI!#REF!,IF(AND(#REF!="Diferenciado",$H$4=#REF!),BDI!$E$17,IF(AND(#REF!="Diferenciado",$H$4=#REF!),BDI!#REF!,IF(#REF!="ZERO",0))))),"")</f>
        <v>#REF!</v>
      </c>
      <c r="H383" s="138" t="e">
        <f t="shared" ca="1" si="16"/>
        <v>#REF!</v>
      </c>
      <c r="I383" s="136" t="e">
        <f t="shared" ca="1" si="17"/>
        <v>#REF!</v>
      </c>
    </row>
    <row r="384" spans="1:9" hidden="1" x14ac:dyDescent="0.25">
      <c r="A384" s="114" t="s">
        <v>773</v>
      </c>
      <c r="B384" s="115" t="s">
        <v>1894</v>
      </c>
      <c r="C384" s="116" t="s">
        <v>20</v>
      </c>
      <c r="D384" s="116">
        <v>0</v>
      </c>
      <c r="E384" s="135">
        <f ca="1">OFFSET(INDEX(Composições!A:J,MATCH(Orçamentária!A384,Composições!A:A,0),8),2,0)</f>
        <v>35.514427599999998</v>
      </c>
      <c r="F384" s="136">
        <f t="shared" ca="1" si="15"/>
        <v>0</v>
      </c>
      <c r="G384" s="137" t="e">
        <f>IF(A384&lt;&gt;"",IF(AND(#REF!="Padrão",$H$4=#REF!),BDI!$B$17,IF(AND(#REF!="Padrão",$H$4=#REF!),BDI!#REF!,IF(AND(#REF!="Diferenciado",$H$4=#REF!),BDI!$E$17,IF(AND(#REF!="Diferenciado",$H$4=#REF!),BDI!#REF!,IF(#REF!="ZERO",0))))),"")</f>
        <v>#REF!</v>
      </c>
      <c r="H384" s="138" t="e">
        <f t="shared" ca="1" si="16"/>
        <v>#REF!</v>
      </c>
      <c r="I384" s="136" t="e">
        <f t="shared" ca="1" si="17"/>
        <v>#REF!</v>
      </c>
    </row>
    <row r="385" spans="1:9" hidden="1" x14ac:dyDescent="0.25">
      <c r="A385" s="114" t="s">
        <v>776</v>
      </c>
      <c r="B385" s="115" t="s">
        <v>1895</v>
      </c>
      <c r="C385" s="116" t="s">
        <v>20</v>
      </c>
      <c r="D385" s="116">
        <v>0</v>
      </c>
      <c r="E385" s="135">
        <f ca="1">OFFSET(INDEX(Composições!A:J,MATCH(Orçamentária!A385,Composições!A:A,0),8),2,0)</f>
        <v>145.70150000000001</v>
      </c>
      <c r="F385" s="136">
        <f t="shared" ca="1" si="15"/>
        <v>0</v>
      </c>
      <c r="G385" s="137" t="e">
        <f>IF(A385&lt;&gt;"",IF(AND(#REF!="Padrão",$H$4=#REF!),BDI!$B$17,IF(AND(#REF!="Padrão",$H$4=#REF!),BDI!#REF!,IF(AND(#REF!="Diferenciado",$H$4=#REF!),BDI!$E$17,IF(AND(#REF!="Diferenciado",$H$4=#REF!),BDI!#REF!,IF(#REF!="ZERO",0))))),"")</f>
        <v>#REF!</v>
      </c>
      <c r="H385" s="138" t="e">
        <f t="shared" ca="1" si="16"/>
        <v>#REF!</v>
      </c>
      <c r="I385" s="136" t="e">
        <f t="shared" ca="1" si="17"/>
        <v>#REF!</v>
      </c>
    </row>
    <row r="386" spans="1:9" hidden="1" x14ac:dyDescent="0.25">
      <c r="A386" s="114" t="s">
        <v>1896</v>
      </c>
      <c r="B386" s="115" t="s">
        <v>1897</v>
      </c>
      <c r="C386" s="116" t="s">
        <v>6350</v>
      </c>
      <c r="D386" s="116">
        <v>0</v>
      </c>
      <c r="E386" s="135" t="s">
        <v>558</v>
      </c>
      <c r="F386" s="136" t="str">
        <f t="shared" si="15"/>
        <v/>
      </c>
      <c r="G386" s="137" t="e">
        <f>IF(A386&lt;&gt;"",IF(AND(#REF!="Padrão",$H$4=#REF!),BDI!$B$17,IF(AND(#REF!="Padrão",$H$4=#REF!),BDI!#REF!,IF(AND(#REF!="Diferenciado",$H$4=#REF!),BDI!$E$17,IF(AND(#REF!="Diferenciado",$H$4=#REF!),BDI!#REF!,IF(#REF!="ZERO",0))))),"")</f>
        <v>#REF!</v>
      </c>
      <c r="H386" s="138" t="str">
        <f t="shared" si="16"/>
        <v/>
      </c>
      <c r="I386" s="136" t="str">
        <f t="shared" si="17"/>
        <v/>
      </c>
    </row>
    <row r="387" spans="1:9" hidden="1" x14ac:dyDescent="0.25">
      <c r="A387" s="114" t="s">
        <v>1898</v>
      </c>
      <c r="B387" s="115" t="s">
        <v>1899</v>
      </c>
      <c r="C387" s="116" t="s">
        <v>103</v>
      </c>
      <c r="D387" s="116">
        <v>0</v>
      </c>
      <c r="E387" s="135" t="s">
        <v>558</v>
      </c>
      <c r="F387" s="136" t="str">
        <f t="shared" si="15"/>
        <v/>
      </c>
      <c r="G387" s="137" t="e">
        <f>IF(A387&lt;&gt;"",IF(AND(#REF!="Padrão",$H$4=#REF!),BDI!$B$17,IF(AND(#REF!="Padrão",$H$4=#REF!),BDI!#REF!,IF(AND(#REF!="Diferenciado",$H$4=#REF!),BDI!$E$17,IF(AND(#REF!="Diferenciado",$H$4=#REF!),BDI!#REF!,IF(#REF!="ZERO",0))))),"")</f>
        <v>#REF!</v>
      </c>
      <c r="H387" s="138" t="str">
        <f t="shared" si="16"/>
        <v/>
      </c>
      <c r="I387" s="136" t="str">
        <f t="shared" si="17"/>
        <v/>
      </c>
    </row>
    <row r="388" spans="1:9" hidden="1" x14ac:dyDescent="0.25">
      <c r="A388" s="114" t="s">
        <v>1900</v>
      </c>
      <c r="B388" s="115" t="s">
        <v>1901</v>
      </c>
      <c r="C388" s="116" t="s">
        <v>6349</v>
      </c>
      <c r="D388" s="116">
        <v>0</v>
      </c>
      <c r="E388" s="135" t="s">
        <v>558</v>
      </c>
      <c r="F388" s="136" t="str">
        <f t="shared" si="15"/>
        <v/>
      </c>
      <c r="G388" s="137" t="e">
        <f>IF(A388&lt;&gt;"",IF(AND(#REF!="Padrão",$H$4=#REF!),BDI!$B$17,IF(AND(#REF!="Padrão",$H$4=#REF!),BDI!#REF!,IF(AND(#REF!="Diferenciado",$H$4=#REF!),BDI!$E$17,IF(AND(#REF!="Diferenciado",$H$4=#REF!),BDI!#REF!,IF(#REF!="ZERO",0))))),"")</f>
        <v>#REF!</v>
      </c>
      <c r="H388" s="138" t="str">
        <f t="shared" si="16"/>
        <v/>
      </c>
      <c r="I388" s="136" t="str">
        <f t="shared" si="17"/>
        <v/>
      </c>
    </row>
    <row r="389" spans="1:9" hidden="1" x14ac:dyDescent="0.25">
      <c r="A389" s="114" t="s">
        <v>1902</v>
      </c>
      <c r="B389" s="115" t="s">
        <v>1903</v>
      </c>
      <c r="C389" s="116" t="s">
        <v>42</v>
      </c>
      <c r="D389" s="116">
        <v>0</v>
      </c>
      <c r="E389" s="135" t="s">
        <v>558</v>
      </c>
      <c r="F389" s="136" t="str">
        <f t="shared" si="15"/>
        <v/>
      </c>
      <c r="G389" s="137" t="e">
        <f>IF(A389&lt;&gt;"",IF(AND(#REF!="Padrão",$H$4=#REF!),BDI!$B$17,IF(AND(#REF!="Padrão",$H$4=#REF!),BDI!#REF!,IF(AND(#REF!="Diferenciado",$H$4=#REF!),BDI!$E$17,IF(AND(#REF!="Diferenciado",$H$4=#REF!),BDI!#REF!,IF(#REF!="ZERO",0))))),"")</f>
        <v>#REF!</v>
      </c>
      <c r="H389" s="138" t="str">
        <f t="shared" si="16"/>
        <v/>
      </c>
      <c r="I389" s="136" t="str">
        <f t="shared" si="17"/>
        <v/>
      </c>
    </row>
    <row r="390" spans="1:9" hidden="1" x14ac:dyDescent="0.25">
      <c r="A390" s="114" t="s">
        <v>1904</v>
      </c>
      <c r="B390" s="115" t="s">
        <v>1905</v>
      </c>
      <c r="C390" s="116" t="s">
        <v>42</v>
      </c>
      <c r="D390" s="116">
        <v>0</v>
      </c>
      <c r="E390" s="135" t="s">
        <v>558</v>
      </c>
      <c r="F390" s="136" t="str">
        <f t="shared" si="15"/>
        <v/>
      </c>
      <c r="G390" s="137" t="e">
        <f>IF(A390&lt;&gt;"",IF(AND(#REF!="Padrão",$H$4=#REF!),BDI!$B$17,IF(AND(#REF!="Padrão",$H$4=#REF!),BDI!#REF!,IF(AND(#REF!="Diferenciado",$H$4=#REF!),BDI!$E$17,IF(AND(#REF!="Diferenciado",$H$4=#REF!),BDI!#REF!,IF(#REF!="ZERO",0))))),"")</f>
        <v>#REF!</v>
      </c>
      <c r="H390" s="138" t="str">
        <f t="shared" si="16"/>
        <v/>
      </c>
      <c r="I390" s="136" t="str">
        <f t="shared" si="17"/>
        <v/>
      </c>
    </row>
    <row r="391" spans="1:9" hidden="1" x14ac:dyDescent="0.25">
      <c r="A391" s="114" t="s">
        <v>1906</v>
      </c>
      <c r="B391" s="115" t="s">
        <v>1907</v>
      </c>
      <c r="C391" s="116" t="s">
        <v>1908</v>
      </c>
      <c r="D391" s="116">
        <v>0</v>
      </c>
      <c r="E391" s="135" t="s">
        <v>558</v>
      </c>
      <c r="F391" s="136" t="str">
        <f t="shared" ref="F391:F454" si="18">IF(ISNUMBER(E391),D391*E391,"")</f>
        <v/>
      </c>
      <c r="G391" s="137" t="e">
        <f>IF(A391&lt;&gt;"",IF(AND(#REF!="Padrão",$H$4=#REF!),BDI!$B$17,IF(AND(#REF!="Padrão",$H$4=#REF!),BDI!#REF!,IF(AND(#REF!="Diferenciado",$H$4=#REF!),BDI!$E$17,IF(AND(#REF!="Diferenciado",$H$4=#REF!),BDI!#REF!,IF(#REF!="ZERO",0))))),"")</f>
        <v>#REF!</v>
      </c>
      <c r="H391" s="138" t="str">
        <f t="shared" ref="H391:H454" si="19">IF(ISNUMBER(E391),ROUND(E391*(1+G391),2),"")</f>
        <v/>
      </c>
      <c r="I391" s="136" t="str">
        <f t="shared" ref="I391:I454" si="20">IF(ISNUMBER(E391),ROUND(H391*D391,2),"")</f>
        <v/>
      </c>
    </row>
    <row r="392" spans="1:9" hidden="1" x14ac:dyDescent="0.25">
      <c r="A392" s="114" t="s">
        <v>1909</v>
      </c>
      <c r="B392" s="115" t="s">
        <v>1910</v>
      </c>
      <c r="C392" s="116" t="s">
        <v>103</v>
      </c>
      <c r="D392" s="116">
        <v>0</v>
      </c>
      <c r="E392" s="135" t="s">
        <v>558</v>
      </c>
      <c r="F392" s="136" t="str">
        <f t="shared" si="18"/>
        <v/>
      </c>
      <c r="G392" s="137" t="e">
        <f>IF(A392&lt;&gt;"",IF(AND(#REF!="Padrão",$H$4=#REF!),BDI!$B$17,IF(AND(#REF!="Padrão",$H$4=#REF!),BDI!#REF!,IF(AND(#REF!="Diferenciado",$H$4=#REF!),BDI!$E$17,IF(AND(#REF!="Diferenciado",$H$4=#REF!),BDI!#REF!,IF(#REF!="ZERO",0))))),"")</f>
        <v>#REF!</v>
      </c>
      <c r="H392" s="138" t="str">
        <f t="shared" si="19"/>
        <v/>
      </c>
      <c r="I392" s="136" t="str">
        <f t="shared" si="20"/>
        <v/>
      </c>
    </row>
    <row r="393" spans="1:9" hidden="1" x14ac:dyDescent="0.25">
      <c r="A393" s="114" t="s">
        <v>1911</v>
      </c>
      <c r="B393" s="115" t="s">
        <v>1912</v>
      </c>
      <c r="C393" s="116" t="s">
        <v>834</v>
      </c>
      <c r="D393" s="116">
        <v>0</v>
      </c>
      <c r="E393" s="135" t="s">
        <v>558</v>
      </c>
      <c r="F393" s="136" t="str">
        <f t="shared" si="18"/>
        <v/>
      </c>
      <c r="G393" s="137" t="e">
        <f>IF(A393&lt;&gt;"",IF(AND(#REF!="Padrão",$H$4=#REF!),BDI!$B$17,IF(AND(#REF!="Padrão",$H$4=#REF!),BDI!#REF!,IF(AND(#REF!="Diferenciado",$H$4=#REF!),BDI!$E$17,IF(AND(#REF!="Diferenciado",$H$4=#REF!),BDI!#REF!,IF(#REF!="ZERO",0))))),"")</f>
        <v>#REF!</v>
      </c>
      <c r="H393" s="138" t="str">
        <f t="shared" si="19"/>
        <v/>
      </c>
      <c r="I393" s="136" t="str">
        <f t="shared" si="20"/>
        <v/>
      </c>
    </row>
    <row r="394" spans="1:9" hidden="1" x14ac:dyDescent="0.25">
      <c r="A394" s="114" t="s">
        <v>1913</v>
      </c>
      <c r="B394" s="115" t="s">
        <v>1914</v>
      </c>
      <c r="C394" s="116" t="s">
        <v>42</v>
      </c>
      <c r="D394" s="116">
        <v>0</v>
      </c>
      <c r="E394" s="135" t="s">
        <v>558</v>
      </c>
      <c r="F394" s="136" t="str">
        <f t="shared" si="18"/>
        <v/>
      </c>
      <c r="G394" s="137" t="e">
        <f>IF(A394&lt;&gt;"",IF(AND(#REF!="Padrão",$H$4=#REF!),BDI!$B$17,IF(AND(#REF!="Padrão",$H$4=#REF!),BDI!#REF!,IF(AND(#REF!="Diferenciado",$H$4=#REF!),BDI!$E$17,IF(AND(#REF!="Diferenciado",$H$4=#REF!),BDI!#REF!,IF(#REF!="ZERO",0))))),"")</f>
        <v>#REF!</v>
      </c>
      <c r="H394" s="138" t="str">
        <f t="shared" si="19"/>
        <v/>
      </c>
      <c r="I394" s="136" t="str">
        <f t="shared" si="20"/>
        <v/>
      </c>
    </row>
    <row r="395" spans="1:9" hidden="1" x14ac:dyDescent="0.25">
      <c r="A395" s="114" t="s">
        <v>1915</v>
      </c>
      <c r="B395" s="115" t="s">
        <v>1916</v>
      </c>
      <c r="C395" s="116" t="s">
        <v>93</v>
      </c>
      <c r="D395" s="116">
        <v>0</v>
      </c>
      <c r="E395" s="135" t="s">
        <v>558</v>
      </c>
      <c r="F395" s="136" t="str">
        <f t="shared" si="18"/>
        <v/>
      </c>
      <c r="G395" s="137" t="e">
        <f>IF(A395&lt;&gt;"",IF(AND(#REF!="Padrão",$H$4=#REF!),BDI!$B$17,IF(AND(#REF!="Padrão",$H$4=#REF!),BDI!#REF!,IF(AND(#REF!="Diferenciado",$H$4=#REF!),BDI!$E$17,IF(AND(#REF!="Diferenciado",$H$4=#REF!),BDI!#REF!,IF(#REF!="ZERO",0))))),"")</f>
        <v>#REF!</v>
      </c>
      <c r="H395" s="138" t="str">
        <f t="shared" si="19"/>
        <v/>
      </c>
      <c r="I395" s="136" t="str">
        <f t="shared" si="20"/>
        <v/>
      </c>
    </row>
    <row r="396" spans="1:9" hidden="1" x14ac:dyDescent="0.25">
      <c r="A396" s="114" t="s">
        <v>1917</v>
      </c>
      <c r="B396" s="115" t="s">
        <v>1918</v>
      </c>
      <c r="C396" s="116" t="s">
        <v>93</v>
      </c>
      <c r="D396" s="116">
        <v>0</v>
      </c>
      <c r="E396" s="135" t="s">
        <v>558</v>
      </c>
      <c r="F396" s="136" t="str">
        <f t="shared" si="18"/>
        <v/>
      </c>
      <c r="G396" s="137" t="e">
        <f>IF(A396&lt;&gt;"",IF(AND(#REF!="Padrão",$H$4=#REF!),BDI!$B$17,IF(AND(#REF!="Padrão",$H$4=#REF!),BDI!#REF!,IF(AND(#REF!="Diferenciado",$H$4=#REF!),BDI!$E$17,IF(AND(#REF!="Diferenciado",$H$4=#REF!),BDI!#REF!,IF(#REF!="ZERO",0))))),"")</f>
        <v>#REF!</v>
      </c>
      <c r="H396" s="138" t="str">
        <f t="shared" si="19"/>
        <v/>
      </c>
      <c r="I396" s="136" t="str">
        <f t="shared" si="20"/>
        <v/>
      </c>
    </row>
    <row r="397" spans="1:9" hidden="1" x14ac:dyDescent="0.25">
      <c r="A397" s="114" t="s">
        <v>1919</v>
      </c>
      <c r="B397" s="115" t="s">
        <v>1920</v>
      </c>
      <c r="C397" s="116" t="s">
        <v>93</v>
      </c>
      <c r="D397" s="116">
        <v>0</v>
      </c>
      <c r="E397" s="135" t="s">
        <v>558</v>
      </c>
      <c r="F397" s="136" t="str">
        <f t="shared" si="18"/>
        <v/>
      </c>
      <c r="G397" s="137" t="e">
        <f>IF(A397&lt;&gt;"",IF(AND(#REF!="Padrão",$H$4=#REF!),BDI!$B$17,IF(AND(#REF!="Padrão",$H$4=#REF!),BDI!#REF!,IF(AND(#REF!="Diferenciado",$H$4=#REF!),BDI!$E$17,IF(AND(#REF!="Diferenciado",$H$4=#REF!),BDI!#REF!,IF(#REF!="ZERO",0))))),"")</f>
        <v>#REF!</v>
      </c>
      <c r="H397" s="138" t="str">
        <f t="shared" si="19"/>
        <v/>
      </c>
      <c r="I397" s="136" t="str">
        <f t="shared" si="20"/>
        <v/>
      </c>
    </row>
    <row r="398" spans="1:9" hidden="1" x14ac:dyDescent="0.25">
      <c r="A398" s="114" t="s">
        <v>1921</v>
      </c>
      <c r="B398" s="115" t="s">
        <v>1922</v>
      </c>
      <c r="C398" s="116" t="s">
        <v>93</v>
      </c>
      <c r="D398" s="116">
        <v>0</v>
      </c>
      <c r="E398" s="135" t="s">
        <v>558</v>
      </c>
      <c r="F398" s="136" t="str">
        <f t="shared" si="18"/>
        <v/>
      </c>
      <c r="G398" s="137" t="e">
        <f>IF(A398&lt;&gt;"",IF(AND(#REF!="Padrão",$H$4=#REF!),BDI!$B$17,IF(AND(#REF!="Padrão",$H$4=#REF!),BDI!#REF!,IF(AND(#REF!="Diferenciado",$H$4=#REF!),BDI!$E$17,IF(AND(#REF!="Diferenciado",$H$4=#REF!),BDI!#REF!,IF(#REF!="ZERO",0))))),"")</f>
        <v>#REF!</v>
      </c>
      <c r="H398" s="138" t="str">
        <f t="shared" si="19"/>
        <v/>
      </c>
      <c r="I398" s="136" t="str">
        <f t="shared" si="20"/>
        <v/>
      </c>
    </row>
    <row r="399" spans="1:9" hidden="1" x14ac:dyDescent="0.25">
      <c r="A399" s="114" t="s">
        <v>1923</v>
      </c>
      <c r="B399" s="115" t="s">
        <v>1924</v>
      </c>
      <c r="C399" s="116" t="s">
        <v>20</v>
      </c>
      <c r="D399" s="116">
        <v>0</v>
      </c>
      <c r="E399" s="135" t="s">
        <v>558</v>
      </c>
      <c r="F399" s="136" t="str">
        <f t="shared" si="18"/>
        <v/>
      </c>
      <c r="G399" s="137" t="e">
        <f>IF(A399&lt;&gt;"",IF(AND(#REF!="Padrão",$H$4=#REF!),BDI!$B$17,IF(AND(#REF!="Padrão",$H$4=#REF!),BDI!#REF!,IF(AND(#REF!="Diferenciado",$H$4=#REF!),BDI!$E$17,IF(AND(#REF!="Diferenciado",$H$4=#REF!),BDI!#REF!,IF(#REF!="ZERO",0))))),"")</f>
        <v>#REF!</v>
      </c>
      <c r="H399" s="138" t="str">
        <f t="shared" si="19"/>
        <v/>
      </c>
      <c r="I399" s="136" t="str">
        <f t="shared" si="20"/>
        <v/>
      </c>
    </row>
    <row r="400" spans="1:9" hidden="1" x14ac:dyDescent="0.25">
      <c r="A400" s="114" t="s">
        <v>1925</v>
      </c>
      <c r="B400" s="115" t="s">
        <v>1926</v>
      </c>
      <c r="C400" s="116" t="s">
        <v>20</v>
      </c>
      <c r="D400" s="116">
        <v>0</v>
      </c>
      <c r="E400" s="135" t="s">
        <v>558</v>
      </c>
      <c r="F400" s="136" t="str">
        <f t="shared" si="18"/>
        <v/>
      </c>
      <c r="G400" s="137" t="e">
        <f>IF(A400&lt;&gt;"",IF(AND(#REF!="Padrão",$H$4=#REF!),BDI!$B$17,IF(AND(#REF!="Padrão",$H$4=#REF!),BDI!#REF!,IF(AND(#REF!="Diferenciado",$H$4=#REF!),BDI!$E$17,IF(AND(#REF!="Diferenciado",$H$4=#REF!),BDI!#REF!,IF(#REF!="ZERO",0))))),"")</f>
        <v>#REF!</v>
      </c>
      <c r="H400" s="138" t="str">
        <f t="shared" si="19"/>
        <v/>
      </c>
      <c r="I400" s="136" t="str">
        <f t="shared" si="20"/>
        <v/>
      </c>
    </row>
    <row r="401" spans="1:9" hidden="1" x14ac:dyDescent="0.25">
      <c r="A401" s="114" t="s">
        <v>1927</v>
      </c>
      <c r="B401" s="115" t="s">
        <v>1928</v>
      </c>
      <c r="C401" s="116" t="s">
        <v>20</v>
      </c>
      <c r="D401" s="116">
        <v>0</v>
      </c>
      <c r="E401" s="135" t="s">
        <v>558</v>
      </c>
      <c r="F401" s="136" t="str">
        <f t="shared" si="18"/>
        <v/>
      </c>
      <c r="G401" s="137" t="e">
        <f>IF(A401&lt;&gt;"",IF(AND(#REF!="Padrão",$H$4=#REF!),BDI!$B$17,IF(AND(#REF!="Padrão",$H$4=#REF!),BDI!#REF!,IF(AND(#REF!="Diferenciado",$H$4=#REF!),BDI!$E$17,IF(AND(#REF!="Diferenciado",$H$4=#REF!),BDI!#REF!,IF(#REF!="ZERO",0))))),"")</f>
        <v>#REF!</v>
      </c>
      <c r="H401" s="138" t="str">
        <f t="shared" si="19"/>
        <v/>
      </c>
      <c r="I401" s="136" t="str">
        <f t="shared" si="20"/>
        <v/>
      </c>
    </row>
    <row r="402" spans="1:9" hidden="1" x14ac:dyDescent="0.25">
      <c r="A402" s="114" t="s">
        <v>1929</v>
      </c>
      <c r="B402" s="115" t="s">
        <v>1930</v>
      </c>
      <c r="C402" s="116" t="s">
        <v>20</v>
      </c>
      <c r="D402" s="116">
        <v>0</v>
      </c>
      <c r="E402" s="135" t="s">
        <v>558</v>
      </c>
      <c r="F402" s="136" t="str">
        <f t="shared" si="18"/>
        <v/>
      </c>
      <c r="G402" s="137" t="e">
        <f>IF(A402&lt;&gt;"",IF(AND(#REF!="Padrão",$H$4=#REF!),BDI!$B$17,IF(AND(#REF!="Padrão",$H$4=#REF!),BDI!#REF!,IF(AND(#REF!="Diferenciado",$H$4=#REF!),BDI!$E$17,IF(AND(#REF!="Diferenciado",$H$4=#REF!),BDI!#REF!,IF(#REF!="ZERO",0))))),"")</f>
        <v>#REF!</v>
      </c>
      <c r="H402" s="138" t="str">
        <f t="shared" si="19"/>
        <v/>
      </c>
      <c r="I402" s="136" t="str">
        <f t="shared" si="20"/>
        <v/>
      </c>
    </row>
    <row r="403" spans="1:9" hidden="1" x14ac:dyDescent="0.25">
      <c r="A403" s="114" t="s">
        <v>1931</v>
      </c>
      <c r="B403" s="115" t="s">
        <v>1932</v>
      </c>
      <c r="C403" s="116" t="s">
        <v>93</v>
      </c>
      <c r="D403" s="116">
        <v>0</v>
      </c>
      <c r="E403" s="135" t="s">
        <v>558</v>
      </c>
      <c r="F403" s="136" t="str">
        <f t="shared" si="18"/>
        <v/>
      </c>
      <c r="G403" s="137" t="e">
        <f>IF(A403&lt;&gt;"",IF(AND(#REF!="Padrão",$H$4=#REF!),BDI!$B$17,IF(AND(#REF!="Padrão",$H$4=#REF!),BDI!#REF!,IF(AND(#REF!="Diferenciado",$H$4=#REF!),BDI!$E$17,IF(AND(#REF!="Diferenciado",$H$4=#REF!),BDI!#REF!,IF(#REF!="ZERO",0))))),"")</f>
        <v>#REF!</v>
      </c>
      <c r="H403" s="138" t="str">
        <f t="shared" si="19"/>
        <v/>
      </c>
      <c r="I403" s="136" t="str">
        <f t="shared" si="20"/>
        <v/>
      </c>
    </row>
    <row r="404" spans="1:9" hidden="1" x14ac:dyDescent="0.25">
      <c r="A404" s="114" t="s">
        <v>1933</v>
      </c>
      <c r="B404" s="115" t="s">
        <v>1934</v>
      </c>
      <c r="C404" s="116" t="s">
        <v>93</v>
      </c>
      <c r="D404" s="116">
        <v>0</v>
      </c>
      <c r="E404" s="135" t="s">
        <v>558</v>
      </c>
      <c r="F404" s="136" t="str">
        <f t="shared" si="18"/>
        <v/>
      </c>
      <c r="G404" s="137" t="e">
        <f>IF(A404&lt;&gt;"",IF(AND(#REF!="Padrão",$H$4=#REF!),BDI!$B$17,IF(AND(#REF!="Padrão",$H$4=#REF!),BDI!#REF!,IF(AND(#REF!="Diferenciado",$H$4=#REF!),BDI!$E$17,IF(AND(#REF!="Diferenciado",$H$4=#REF!),BDI!#REF!,IF(#REF!="ZERO",0))))),"")</f>
        <v>#REF!</v>
      </c>
      <c r="H404" s="138" t="str">
        <f t="shared" si="19"/>
        <v/>
      </c>
      <c r="I404" s="136" t="str">
        <f t="shared" si="20"/>
        <v/>
      </c>
    </row>
    <row r="405" spans="1:9" hidden="1" x14ac:dyDescent="0.25">
      <c r="A405" s="114" t="s">
        <v>1935</v>
      </c>
      <c r="B405" s="115" t="s">
        <v>1936</v>
      </c>
      <c r="C405" s="116" t="s">
        <v>20</v>
      </c>
      <c r="D405" s="116">
        <v>0</v>
      </c>
      <c r="E405" s="135" t="s">
        <v>558</v>
      </c>
      <c r="F405" s="136" t="str">
        <f t="shared" si="18"/>
        <v/>
      </c>
      <c r="G405" s="137" t="e">
        <f>IF(A405&lt;&gt;"",IF(AND(#REF!="Padrão",$H$4=#REF!),BDI!$B$17,IF(AND(#REF!="Padrão",$H$4=#REF!),BDI!#REF!,IF(AND(#REF!="Diferenciado",$H$4=#REF!),BDI!$E$17,IF(AND(#REF!="Diferenciado",$H$4=#REF!),BDI!#REF!,IF(#REF!="ZERO",0))))),"")</f>
        <v>#REF!</v>
      </c>
      <c r="H405" s="138" t="str">
        <f t="shared" si="19"/>
        <v/>
      </c>
      <c r="I405" s="136" t="str">
        <f t="shared" si="20"/>
        <v/>
      </c>
    </row>
    <row r="406" spans="1:9" hidden="1" x14ac:dyDescent="0.25">
      <c r="A406" s="114" t="s">
        <v>1937</v>
      </c>
      <c r="B406" s="115" t="s">
        <v>1938</v>
      </c>
      <c r="C406" s="116" t="s">
        <v>93</v>
      </c>
      <c r="D406" s="116">
        <v>0</v>
      </c>
      <c r="E406" s="135" t="s">
        <v>558</v>
      </c>
      <c r="F406" s="136" t="str">
        <f t="shared" si="18"/>
        <v/>
      </c>
      <c r="G406" s="137" t="e">
        <f>IF(A406&lt;&gt;"",IF(AND(#REF!="Padrão",$H$4=#REF!),BDI!$B$17,IF(AND(#REF!="Padrão",$H$4=#REF!),BDI!#REF!,IF(AND(#REF!="Diferenciado",$H$4=#REF!),BDI!$E$17,IF(AND(#REF!="Diferenciado",$H$4=#REF!),BDI!#REF!,IF(#REF!="ZERO",0))))),"")</f>
        <v>#REF!</v>
      </c>
      <c r="H406" s="138" t="str">
        <f t="shared" si="19"/>
        <v/>
      </c>
      <c r="I406" s="136" t="str">
        <f t="shared" si="20"/>
        <v/>
      </c>
    </row>
    <row r="407" spans="1:9" hidden="1" x14ac:dyDescent="0.25">
      <c r="A407" s="114" t="s">
        <v>1939</v>
      </c>
      <c r="B407" s="115" t="s">
        <v>1940</v>
      </c>
      <c r="C407" s="116" t="s">
        <v>20</v>
      </c>
      <c r="D407" s="116">
        <v>0</v>
      </c>
      <c r="E407" s="135" t="s">
        <v>558</v>
      </c>
      <c r="F407" s="136" t="str">
        <f t="shared" si="18"/>
        <v/>
      </c>
      <c r="G407" s="137" t="e">
        <f>IF(A407&lt;&gt;"",IF(AND(#REF!="Padrão",$H$4=#REF!),BDI!$B$17,IF(AND(#REF!="Padrão",$H$4=#REF!),BDI!#REF!,IF(AND(#REF!="Diferenciado",$H$4=#REF!),BDI!$E$17,IF(AND(#REF!="Diferenciado",$H$4=#REF!),BDI!#REF!,IF(#REF!="ZERO",0))))),"")</f>
        <v>#REF!</v>
      </c>
      <c r="H407" s="138" t="str">
        <f t="shared" si="19"/>
        <v/>
      </c>
      <c r="I407" s="136" t="str">
        <f t="shared" si="20"/>
        <v/>
      </c>
    </row>
    <row r="408" spans="1:9" hidden="1" x14ac:dyDescent="0.25">
      <c r="A408" s="114" t="s">
        <v>1941</v>
      </c>
      <c r="B408" s="115" t="s">
        <v>1942</v>
      </c>
      <c r="C408" s="116" t="s">
        <v>20</v>
      </c>
      <c r="D408" s="116">
        <v>0</v>
      </c>
      <c r="E408" s="135" t="s">
        <v>558</v>
      </c>
      <c r="F408" s="136" t="str">
        <f t="shared" si="18"/>
        <v/>
      </c>
      <c r="G408" s="137" t="e">
        <f>IF(A408&lt;&gt;"",IF(AND(#REF!="Padrão",$H$4=#REF!),BDI!$B$17,IF(AND(#REF!="Padrão",$H$4=#REF!),BDI!#REF!,IF(AND(#REF!="Diferenciado",$H$4=#REF!),BDI!$E$17,IF(AND(#REF!="Diferenciado",$H$4=#REF!),BDI!#REF!,IF(#REF!="ZERO",0))))),"")</f>
        <v>#REF!</v>
      </c>
      <c r="H408" s="138" t="str">
        <f t="shared" si="19"/>
        <v/>
      </c>
      <c r="I408" s="136" t="str">
        <f t="shared" si="20"/>
        <v/>
      </c>
    </row>
    <row r="409" spans="1:9" hidden="1" x14ac:dyDescent="0.25">
      <c r="A409" s="114" t="s">
        <v>1943</v>
      </c>
      <c r="B409" s="115" t="s">
        <v>1944</v>
      </c>
      <c r="C409" s="116" t="s">
        <v>20</v>
      </c>
      <c r="D409" s="116">
        <v>0</v>
      </c>
      <c r="E409" s="135" t="s">
        <v>558</v>
      </c>
      <c r="F409" s="136" t="str">
        <f t="shared" si="18"/>
        <v/>
      </c>
      <c r="G409" s="137" t="e">
        <f>IF(A409&lt;&gt;"",IF(AND(#REF!="Padrão",$H$4=#REF!),BDI!$B$17,IF(AND(#REF!="Padrão",$H$4=#REF!),BDI!#REF!,IF(AND(#REF!="Diferenciado",$H$4=#REF!),BDI!$E$17,IF(AND(#REF!="Diferenciado",$H$4=#REF!),BDI!#REF!,IF(#REF!="ZERO",0))))),"")</f>
        <v>#REF!</v>
      </c>
      <c r="H409" s="138" t="str">
        <f t="shared" si="19"/>
        <v/>
      </c>
      <c r="I409" s="136" t="str">
        <f t="shared" si="20"/>
        <v/>
      </c>
    </row>
    <row r="410" spans="1:9" hidden="1" x14ac:dyDescent="0.25">
      <c r="A410" s="114" t="s">
        <v>1945</v>
      </c>
      <c r="B410" s="115" t="s">
        <v>1946</v>
      </c>
      <c r="C410" s="116" t="s">
        <v>20</v>
      </c>
      <c r="D410" s="116">
        <v>0</v>
      </c>
      <c r="E410" s="135">
        <f ca="1">OFFSET(INDEX(Composições!A:J,MATCH(Orçamentária!A410,Composições!A:A,0),8),2,0)</f>
        <v>14.287999999999998</v>
      </c>
      <c r="F410" s="136">
        <f t="shared" ca="1" si="18"/>
        <v>0</v>
      </c>
      <c r="G410" s="137" t="e">
        <f>IF(A410&lt;&gt;"",IF(AND(#REF!="Padrão",$H$4=#REF!),BDI!$B$17,IF(AND(#REF!="Padrão",$H$4=#REF!),BDI!#REF!,IF(AND(#REF!="Diferenciado",$H$4=#REF!),BDI!$E$17,IF(AND(#REF!="Diferenciado",$H$4=#REF!),BDI!#REF!,IF(#REF!="ZERO",0))))),"")</f>
        <v>#REF!</v>
      </c>
      <c r="H410" s="138" t="e">
        <f t="shared" ca="1" si="19"/>
        <v>#REF!</v>
      </c>
      <c r="I410" s="136" t="e">
        <f t="shared" ca="1" si="20"/>
        <v>#REF!</v>
      </c>
    </row>
    <row r="411" spans="1:9" hidden="1" x14ac:dyDescent="0.25">
      <c r="A411" s="114" t="s">
        <v>1947</v>
      </c>
      <c r="B411" s="115" t="s">
        <v>1948</v>
      </c>
      <c r="C411" s="116" t="s">
        <v>20</v>
      </c>
      <c r="D411" s="116">
        <v>0</v>
      </c>
      <c r="E411" s="135" t="s">
        <v>558</v>
      </c>
      <c r="F411" s="136" t="str">
        <f t="shared" si="18"/>
        <v/>
      </c>
      <c r="G411" s="137" t="e">
        <f>IF(A411&lt;&gt;"",IF(AND(#REF!="Padrão",$H$4=#REF!),BDI!$B$17,IF(AND(#REF!="Padrão",$H$4=#REF!),BDI!#REF!,IF(AND(#REF!="Diferenciado",$H$4=#REF!),BDI!$E$17,IF(AND(#REF!="Diferenciado",$H$4=#REF!),BDI!#REF!,IF(#REF!="ZERO",0))))),"")</f>
        <v>#REF!</v>
      </c>
      <c r="H411" s="138" t="str">
        <f t="shared" si="19"/>
        <v/>
      </c>
      <c r="I411" s="136" t="str">
        <f t="shared" si="20"/>
        <v/>
      </c>
    </row>
    <row r="412" spans="1:9" hidden="1" x14ac:dyDescent="0.25">
      <c r="A412" s="114" t="s">
        <v>1949</v>
      </c>
      <c r="B412" s="115" t="s">
        <v>1950</v>
      </c>
      <c r="C412" s="116" t="s">
        <v>20</v>
      </c>
      <c r="D412" s="116">
        <v>0</v>
      </c>
      <c r="E412" s="135">
        <f ca="1">OFFSET(INDEX(Composições!A:J,MATCH(Orçamentária!A412,Composições!A:A,0),8),2,0)</f>
        <v>54.529999999999994</v>
      </c>
      <c r="F412" s="136">
        <f t="shared" ca="1" si="18"/>
        <v>0</v>
      </c>
      <c r="G412" s="137" t="e">
        <f>IF(A412&lt;&gt;"",IF(AND(#REF!="Padrão",$H$4=#REF!),BDI!$B$17,IF(AND(#REF!="Padrão",$H$4=#REF!),BDI!#REF!,IF(AND(#REF!="Diferenciado",$H$4=#REF!),BDI!$E$17,IF(AND(#REF!="Diferenciado",$H$4=#REF!),BDI!#REF!,IF(#REF!="ZERO",0))))),"")</f>
        <v>#REF!</v>
      </c>
      <c r="H412" s="138" t="e">
        <f t="shared" ca="1" si="19"/>
        <v>#REF!</v>
      </c>
      <c r="I412" s="136" t="e">
        <f t="shared" ca="1" si="20"/>
        <v>#REF!</v>
      </c>
    </row>
    <row r="413" spans="1:9" hidden="1" x14ac:dyDescent="0.25">
      <c r="A413" s="114" t="s">
        <v>778</v>
      </c>
      <c r="B413" s="115" t="s">
        <v>1951</v>
      </c>
      <c r="C413" s="116" t="s">
        <v>20</v>
      </c>
      <c r="D413" s="116">
        <v>0</v>
      </c>
      <c r="E413" s="135">
        <f ca="1">OFFSET(INDEX(Composições!A:J,MATCH(Orçamentária!A413,Composições!A:A,0),8),2,0)</f>
        <v>70.86999999999999</v>
      </c>
      <c r="F413" s="136">
        <f t="shared" ca="1" si="18"/>
        <v>0</v>
      </c>
      <c r="G413" s="137" t="e">
        <f>IF(A413&lt;&gt;"",IF(AND(#REF!="Padrão",$H$4=#REF!),BDI!$B$17,IF(AND(#REF!="Padrão",$H$4=#REF!),BDI!#REF!,IF(AND(#REF!="Diferenciado",$H$4=#REF!),BDI!$E$17,IF(AND(#REF!="Diferenciado",$H$4=#REF!),BDI!#REF!,IF(#REF!="ZERO",0))))),"")</f>
        <v>#REF!</v>
      </c>
      <c r="H413" s="138" t="e">
        <f t="shared" ca="1" si="19"/>
        <v>#REF!</v>
      </c>
      <c r="I413" s="136" t="e">
        <f t="shared" ca="1" si="20"/>
        <v>#REF!</v>
      </c>
    </row>
    <row r="414" spans="1:9" hidden="1" x14ac:dyDescent="0.25">
      <c r="A414" s="114" t="s">
        <v>1952</v>
      </c>
      <c r="B414" s="115" t="s">
        <v>1953</v>
      </c>
      <c r="C414" s="116" t="s">
        <v>20</v>
      </c>
      <c r="D414" s="116">
        <v>0</v>
      </c>
      <c r="E414" s="135">
        <f ca="1">OFFSET(INDEX(Composições!A:J,MATCH(Orçamentária!A414,Composições!A:A,0),8),2,0)</f>
        <v>42.8735</v>
      </c>
      <c r="F414" s="136">
        <f t="shared" ca="1" si="18"/>
        <v>0</v>
      </c>
      <c r="G414" s="137" t="e">
        <f>IF(A414&lt;&gt;"",IF(AND(#REF!="Padrão",$H$4=#REF!),BDI!$B$17,IF(AND(#REF!="Padrão",$H$4=#REF!),BDI!#REF!,IF(AND(#REF!="Diferenciado",$H$4=#REF!),BDI!$E$17,IF(AND(#REF!="Diferenciado",$H$4=#REF!),BDI!#REF!,IF(#REF!="ZERO",0))))),"")</f>
        <v>#REF!</v>
      </c>
      <c r="H414" s="138" t="e">
        <f t="shared" ca="1" si="19"/>
        <v>#REF!</v>
      </c>
      <c r="I414" s="136" t="e">
        <f t="shared" ca="1" si="20"/>
        <v>#REF!</v>
      </c>
    </row>
    <row r="415" spans="1:9" hidden="1" x14ac:dyDescent="0.25">
      <c r="A415" s="114" t="s">
        <v>1954</v>
      </c>
      <c r="B415" s="115" t="s">
        <v>1955</v>
      </c>
      <c r="C415" s="116" t="s">
        <v>20</v>
      </c>
      <c r="D415" s="116">
        <v>0</v>
      </c>
      <c r="E415" s="135" t="s">
        <v>558</v>
      </c>
      <c r="F415" s="136" t="str">
        <f t="shared" si="18"/>
        <v/>
      </c>
      <c r="G415" s="137" t="e">
        <f>IF(A415&lt;&gt;"",IF(AND(#REF!="Padrão",$H$4=#REF!),BDI!$B$17,IF(AND(#REF!="Padrão",$H$4=#REF!),BDI!#REF!,IF(AND(#REF!="Diferenciado",$H$4=#REF!),BDI!$E$17,IF(AND(#REF!="Diferenciado",$H$4=#REF!),BDI!#REF!,IF(#REF!="ZERO",0))))),"")</f>
        <v>#REF!</v>
      </c>
      <c r="H415" s="138" t="str">
        <f t="shared" si="19"/>
        <v/>
      </c>
      <c r="I415" s="136" t="str">
        <f t="shared" si="20"/>
        <v/>
      </c>
    </row>
    <row r="416" spans="1:9" hidden="1" x14ac:dyDescent="0.25">
      <c r="A416" s="114" t="s">
        <v>1956</v>
      </c>
      <c r="B416" s="115" t="s">
        <v>1957</v>
      </c>
      <c r="C416" s="116" t="s">
        <v>20</v>
      </c>
      <c r="D416" s="116">
        <v>0</v>
      </c>
      <c r="E416" s="135">
        <f ca="1">OFFSET(INDEX(Composições!A:J,MATCH(Orçamentária!A416,Composições!A:A,0),8),2,0)</f>
        <v>38.930999999999997</v>
      </c>
      <c r="F416" s="136">
        <f t="shared" ca="1" si="18"/>
        <v>0</v>
      </c>
      <c r="G416" s="137" t="e">
        <f>IF(A416&lt;&gt;"",IF(AND(#REF!="Padrão",$H$4=#REF!),BDI!$B$17,IF(AND(#REF!="Padrão",$H$4=#REF!),BDI!#REF!,IF(AND(#REF!="Diferenciado",$H$4=#REF!),BDI!$E$17,IF(AND(#REF!="Diferenciado",$H$4=#REF!),BDI!#REF!,IF(#REF!="ZERO",0))))),"")</f>
        <v>#REF!</v>
      </c>
      <c r="H416" s="138" t="e">
        <f t="shared" ca="1" si="19"/>
        <v>#REF!</v>
      </c>
      <c r="I416" s="136" t="e">
        <f t="shared" ca="1" si="20"/>
        <v>#REF!</v>
      </c>
    </row>
    <row r="417" spans="1:9" hidden="1" x14ac:dyDescent="0.25">
      <c r="A417" s="114" t="s">
        <v>1958</v>
      </c>
      <c r="B417" s="115" t="s">
        <v>1959</v>
      </c>
      <c r="C417" s="116" t="s">
        <v>20</v>
      </c>
      <c r="D417" s="116">
        <v>0</v>
      </c>
      <c r="E417" s="135" t="s">
        <v>558</v>
      </c>
      <c r="F417" s="136" t="str">
        <f t="shared" si="18"/>
        <v/>
      </c>
      <c r="G417" s="137" t="e">
        <f>IF(A417&lt;&gt;"",IF(AND(#REF!="Padrão",$H$4=#REF!),BDI!$B$17,IF(AND(#REF!="Padrão",$H$4=#REF!),BDI!#REF!,IF(AND(#REF!="Diferenciado",$H$4=#REF!),BDI!$E$17,IF(AND(#REF!="Diferenciado",$H$4=#REF!),BDI!#REF!,IF(#REF!="ZERO",0))))),"")</f>
        <v>#REF!</v>
      </c>
      <c r="H417" s="138" t="str">
        <f t="shared" si="19"/>
        <v/>
      </c>
      <c r="I417" s="136" t="str">
        <f t="shared" si="20"/>
        <v/>
      </c>
    </row>
    <row r="418" spans="1:9" hidden="1" x14ac:dyDescent="0.25">
      <c r="A418" s="114" t="s">
        <v>1960</v>
      </c>
      <c r="B418" s="115" t="s">
        <v>1961</v>
      </c>
      <c r="C418" s="116" t="s">
        <v>20</v>
      </c>
      <c r="D418" s="116">
        <v>0</v>
      </c>
      <c r="E418" s="135" t="s">
        <v>558</v>
      </c>
      <c r="F418" s="136" t="str">
        <f t="shared" si="18"/>
        <v/>
      </c>
      <c r="G418" s="137" t="e">
        <f>IF(A418&lt;&gt;"",IF(AND(#REF!="Padrão",$H$4=#REF!),BDI!$B$17,IF(AND(#REF!="Padrão",$H$4=#REF!),BDI!#REF!,IF(AND(#REF!="Diferenciado",$H$4=#REF!),BDI!$E$17,IF(AND(#REF!="Diferenciado",$H$4=#REF!),BDI!#REF!,IF(#REF!="ZERO",0))))),"")</f>
        <v>#REF!</v>
      </c>
      <c r="H418" s="138" t="str">
        <f t="shared" si="19"/>
        <v/>
      </c>
      <c r="I418" s="136" t="str">
        <f t="shared" si="20"/>
        <v/>
      </c>
    </row>
    <row r="419" spans="1:9" hidden="1" x14ac:dyDescent="0.25">
      <c r="A419" s="114" t="s">
        <v>1962</v>
      </c>
      <c r="B419" s="115" t="s">
        <v>1963</v>
      </c>
      <c r="C419" s="116" t="s">
        <v>20</v>
      </c>
      <c r="D419" s="116">
        <v>0</v>
      </c>
      <c r="E419" s="135">
        <f ca="1">OFFSET(INDEX(Composições!A:J,MATCH(Orçamentária!A419,Composições!A:A,0),8),2,0)</f>
        <v>10.773</v>
      </c>
      <c r="F419" s="136">
        <f t="shared" ca="1" si="18"/>
        <v>0</v>
      </c>
      <c r="G419" s="137" t="e">
        <f>IF(A419&lt;&gt;"",IF(AND(#REF!="Padrão",$H$4=#REF!),BDI!$B$17,IF(AND(#REF!="Padrão",$H$4=#REF!),BDI!#REF!,IF(AND(#REF!="Diferenciado",$H$4=#REF!),BDI!$E$17,IF(AND(#REF!="Diferenciado",$H$4=#REF!),BDI!#REF!,IF(#REF!="ZERO",0))))),"")</f>
        <v>#REF!</v>
      </c>
      <c r="H419" s="138" t="e">
        <f t="shared" ca="1" si="19"/>
        <v>#REF!</v>
      </c>
      <c r="I419" s="136" t="e">
        <f t="shared" ca="1" si="20"/>
        <v>#REF!</v>
      </c>
    </row>
    <row r="420" spans="1:9" hidden="1" x14ac:dyDescent="0.25">
      <c r="A420" s="114" t="s">
        <v>1964</v>
      </c>
      <c r="B420" s="115" t="s">
        <v>1965</v>
      </c>
      <c r="C420" s="116" t="s">
        <v>20</v>
      </c>
      <c r="D420" s="116">
        <v>0</v>
      </c>
      <c r="E420" s="135">
        <f ca="1">OFFSET(INDEX(Composições!A:J,MATCH(Orçamentária!A420,Composições!A:A,0),8),2,0)</f>
        <v>10.763499999999999</v>
      </c>
      <c r="F420" s="136">
        <f t="shared" ca="1" si="18"/>
        <v>0</v>
      </c>
      <c r="G420" s="137" t="e">
        <f>IF(A420&lt;&gt;"",IF(AND(#REF!="Padrão",$H$4=#REF!),BDI!$B$17,IF(AND(#REF!="Padrão",$H$4=#REF!),BDI!#REF!,IF(AND(#REF!="Diferenciado",$H$4=#REF!),BDI!$E$17,IF(AND(#REF!="Diferenciado",$H$4=#REF!),BDI!#REF!,IF(#REF!="ZERO",0))))),"")</f>
        <v>#REF!</v>
      </c>
      <c r="H420" s="138" t="e">
        <f t="shared" ca="1" si="19"/>
        <v>#REF!</v>
      </c>
      <c r="I420" s="136" t="e">
        <f t="shared" ca="1" si="20"/>
        <v>#REF!</v>
      </c>
    </row>
    <row r="421" spans="1:9" hidden="1" x14ac:dyDescent="0.25">
      <c r="A421" s="114" t="s">
        <v>1966</v>
      </c>
      <c r="B421" s="115" t="s">
        <v>1967</v>
      </c>
      <c r="C421" s="116" t="s">
        <v>20</v>
      </c>
      <c r="D421" s="116">
        <v>0</v>
      </c>
      <c r="E421" s="135">
        <f ca="1">OFFSET(INDEX(Composições!A:J,MATCH(Orçamentária!A421,Composições!A:A,0),8),2,0)</f>
        <v>10.763499999999999</v>
      </c>
      <c r="F421" s="136">
        <f t="shared" ca="1" si="18"/>
        <v>0</v>
      </c>
      <c r="G421" s="137" t="e">
        <f>IF(A421&lt;&gt;"",IF(AND(#REF!="Padrão",$H$4=#REF!),BDI!$B$17,IF(AND(#REF!="Padrão",$H$4=#REF!),BDI!#REF!,IF(AND(#REF!="Diferenciado",$H$4=#REF!),BDI!$E$17,IF(AND(#REF!="Diferenciado",$H$4=#REF!),BDI!#REF!,IF(#REF!="ZERO",0))))),"")</f>
        <v>#REF!</v>
      </c>
      <c r="H421" s="138" t="e">
        <f t="shared" ca="1" si="19"/>
        <v>#REF!</v>
      </c>
      <c r="I421" s="136" t="e">
        <f t="shared" ca="1" si="20"/>
        <v>#REF!</v>
      </c>
    </row>
    <row r="422" spans="1:9" hidden="1" x14ac:dyDescent="0.25">
      <c r="A422" s="114" t="s">
        <v>1968</v>
      </c>
      <c r="B422" s="115" t="s">
        <v>1969</v>
      </c>
      <c r="C422" s="116" t="s">
        <v>20</v>
      </c>
      <c r="D422" s="116">
        <v>0</v>
      </c>
      <c r="E422" s="135" t="s">
        <v>558</v>
      </c>
      <c r="F422" s="136" t="str">
        <f t="shared" si="18"/>
        <v/>
      </c>
      <c r="G422" s="137" t="e">
        <f>IF(A422&lt;&gt;"",IF(AND(#REF!="Padrão",$H$4=#REF!),BDI!$B$17,IF(AND(#REF!="Padrão",$H$4=#REF!),BDI!#REF!,IF(AND(#REF!="Diferenciado",$H$4=#REF!),BDI!$E$17,IF(AND(#REF!="Diferenciado",$H$4=#REF!),BDI!#REF!,IF(#REF!="ZERO",0))))),"")</f>
        <v>#REF!</v>
      </c>
      <c r="H422" s="138" t="str">
        <f t="shared" si="19"/>
        <v/>
      </c>
      <c r="I422" s="136" t="str">
        <f t="shared" si="20"/>
        <v/>
      </c>
    </row>
    <row r="423" spans="1:9" hidden="1" x14ac:dyDescent="0.25">
      <c r="A423" s="114" t="s">
        <v>1970</v>
      </c>
      <c r="B423" s="115" t="s">
        <v>1971</v>
      </c>
      <c r="C423" s="116" t="s">
        <v>20</v>
      </c>
      <c r="D423" s="116">
        <v>0</v>
      </c>
      <c r="E423" s="135" t="s">
        <v>558</v>
      </c>
      <c r="F423" s="136" t="str">
        <f t="shared" si="18"/>
        <v/>
      </c>
      <c r="G423" s="137" t="e">
        <f>IF(A423&lt;&gt;"",IF(AND(#REF!="Padrão",$H$4=#REF!),BDI!$B$17,IF(AND(#REF!="Padrão",$H$4=#REF!),BDI!#REF!,IF(AND(#REF!="Diferenciado",$H$4=#REF!),BDI!$E$17,IF(AND(#REF!="Diferenciado",$H$4=#REF!),BDI!#REF!,IF(#REF!="ZERO",0))))),"")</f>
        <v>#REF!</v>
      </c>
      <c r="H423" s="138" t="str">
        <f t="shared" si="19"/>
        <v/>
      </c>
      <c r="I423" s="136" t="str">
        <f t="shared" si="20"/>
        <v/>
      </c>
    </row>
    <row r="424" spans="1:9" hidden="1" x14ac:dyDescent="0.25">
      <c r="A424" s="114" t="s">
        <v>1972</v>
      </c>
      <c r="B424" s="115" t="s">
        <v>1973</v>
      </c>
      <c r="C424" s="116" t="s">
        <v>20</v>
      </c>
      <c r="D424" s="116">
        <v>0</v>
      </c>
      <c r="E424" s="135" t="s">
        <v>558</v>
      </c>
      <c r="F424" s="136" t="str">
        <f t="shared" si="18"/>
        <v/>
      </c>
      <c r="G424" s="137" t="e">
        <f>IF(A424&lt;&gt;"",IF(AND(#REF!="Padrão",$H$4=#REF!),BDI!$B$17,IF(AND(#REF!="Padrão",$H$4=#REF!),BDI!#REF!,IF(AND(#REF!="Diferenciado",$H$4=#REF!),BDI!$E$17,IF(AND(#REF!="Diferenciado",$H$4=#REF!),BDI!#REF!,IF(#REF!="ZERO",0))))),"")</f>
        <v>#REF!</v>
      </c>
      <c r="H424" s="138" t="str">
        <f t="shared" si="19"/>
        <v/>
      </c>
      <c r="I424" s="136" t="str">
        <f t="shared" si="20"/>
        <v/>
      </c>
    </row>
    <row r="425" spans="1:9" hidden="1" x14ac:dyDescent="0.25">
      <c r="A425" s="114" t="s">
        <v>1974</v>
      </c>
      <c r="B425" s="115" t="s">
        <v>1975</v>
      </c>
      <c r="C425" s="116" t="s">
        <v>20</v>
      </c>
      <c r="D425" s="116">
        <v>0</v>
      </c>
      <c r="E425" s="135" t="s">
        <v>558</v>
      </c>
      <c r="F425" s="136" t="str">
        <f t="shared" si="18"/>
        <v/>
      </c>
      <c r="G425" s="137" t="e">
        <f>IF(A425&lt;&gt;"",IF(AND(#REF!="Padrão",$H$4=#REF!),BDI!$B$17,IF(AND(#REF!="Padrão",$H$4=#REF!),BDI!#REF!,IF(AND(#REF!="Diferenciado",$H$4=#REF!),BDI!$E$17,IF(AND(#REF!="Diferenciado",$H$4=#REF!),BDI!#REF!,IF(#REF!="ZERO",0))))),"")</f>
        <v>#REF!</v>
      </c>
      <c r="H425" s="138" t="str">
        <f t="shared" si="19"/>
        <v/>
      </c>
      <c r="I425" s="136" t="str">
        <f t="shared" si="20"/>
        <v/>
      </c>
    </row>
    <row r="426" spans="1:9" hidden="1" x14ac:dyDescent="0.25">
      <c r="A426" s="114" t="s">
        <v>1976</v>
      </c>
      <c r="B426" s="115" t="s">
        <v>1977</v>
      </c>
      <c r="C426" s="116" t="s">
        <v>20</v>
      </c>
      <c r="D426" s="116">
        <v>0</v>
      </c>
      <c r="E426" s="135" t="s">
        <v>558</v>
      </c>
      <c r="F426" s="136" t="str">
        <f t="shared" si="18"/>
        <v/>
      </c>
      <c r="G426" s="137" t="e">
        <f>IF(A426&lt;&gt;"",IF(AND(#REF!="Padrão",$H$4=#REF!),BDI!$B$17,IF(AND(#REF!="Padrão",$H$4=#REF!),BDI!#REF!,IF(AND(#REF!="Diferenciado",$H$4=#REF!),BDI!$E$17,IF(AND(#REF!="Diferenciado",$H$4=#REF!),BDI!#REF!,IF(#REF!="ZERO",0))))),"")</f>
        <v>#REF!</v>
      </c>
      <c r="H426" s="138" t="str">
        <f t="shared" si="19"/>
        <v/>
      </c>
      <c r="I426" s="136" t="str">
        <f t="shared" si="20"/>
        <v/>
      </c>
    </row>
    <row r="427" spans="1:9" hidden="1" x14ac:dyDescent="0.25">
      <c r="A427" s="114" t="s">
        <v>1978</v>
      </c>
      <c r="B427" s="115" t="s">
        <v>1979</v>
      </c>
      <c r="C427" s="116" t="s">
        <v>20</v>
      </c>
      <c r="D427" s="116">
        <v>0</v>
      </c>
      <c r="E427" s="135" t="s">
        <v>558</v>
      </c>
      <c r="F427" s="136" t="str">
        <f t="shared" si="18"/>
        <v/>
      </c>
      <c r="G427" s="137" t="e">
        <f>IF(A427&lt;&gt;"",IF(AND(#REF!="Padrão",$H$4=#REF!),BDI!$B$17,IF(AND(#REF!="Padrão",$H$4=#REF!),BDI!#REF!,IF(AND(#REF!="Diferenciado",$H$4=#REF!),BDI!$E$17,IF(AND(#REF!="Diferenciado",$H$4=#REF!),BDI!#REF!,IF(#REF!="ZERO",0))))),"")</f>
        <v>#REF!</v>
      </c>
      <c r="H427" s="138" t="str">
        <f t="shared" si="19"/>
        <v/>
      </c>
      <c r="I427" s="136" t="str">
        <f t="shared" si="20"/>
        <v/>
      </c>
    </row>
    <row r="428" spans="1:9" hidden="1" x14ac:dyDescent="0.25">
      <c r="A428" s="114" t="s">
        <v>1980</v>
      </c>
      <c r="B428" s="115" t="s">
        <v>1981</v>
      </c>
      <c r="C428" s="116" t="s">
        <v>20</v>
      </c>
      <c r="D428" s="116">
        <v>0</v>
      </c>
      <c r="E428" s="135" t="s">
        <v>558</v>
      </c>
      <c r="F428" s="136" t="str">
        <f t="shared" si="18"/>
        <v/>
      </c>
      <c r="G428" s="137" t="e">
        <f>IF(A428&lt;&gt;"",IF(AND(#REF!="Padrão",$H$4=#REF!),BDI!$B$17,IF(AND(#REF!="Padrão",$H$4=#REF!),BDI!#REF!,IF(AND(#REF!="Diferenciado",$H$4=#REF!),BDI!$E$17,IF(AND(#REF!="Diferenciado",$H$4=#REF!),BDI!#REF!,IF(#REF!="ZERO",0))))),"")</f>
        <v>#REF!</v>
      </c>
      <c r="H428" s="138" t="str">
        <f t="shared" si="19"/>
        <v/>
      </c>
      <c r="I428" s="136" t="str">
        <f t="shared" si="20"/>
        <v/>
      </c>
    </row>
    <row r="429" spans="1:9" hidden="1" x14ac:dyDescent="0.25">
      <c r="A429" s="114" t="s">
        <v>1982</v>
      </c>
      <c r="B429" s="115" t="s">
        <v>1983</v>
      </c>
      <c r="C429" s="116" t="s">
        <v>20</v>
      </c>
      <c r="D429" s="116">
        <v>0</v>
      </c>
      <c r="E429" s="135" t="s">
        <v>558</v>
      </c>
      <c r="F429" s="136" t="str">
        <f t="shared" si="18"/>
        <v/>
      </c>
      <c r="G429" s="137" t="e">
        <f>IF(A429&lt;&gt;"",IF(AND(#REF!="Padrão",$H$4=#REF!),BDI!$B$17,IF(AND(#REF!="Padrão",$H$4=#REF!),BDI!#REF!,IF(AND(#REF!="Diferenciado",$H$4=#REF!),BDI!$E$17,IF(AND(#REF!="Diferenciado",$H$4=#REF!),BDI!#REF!,IF(#REF!="ZERO",0))))),"")</f>
        <v>#REF!</v>
      </c>
      <c r="H429" s="138" t="str">
        <f t="shared" si="19"/>
        <v/>
      </c>
      <c r="I429" s="136" t="str">
        <f t="shared" si="20"/>
        <v/>
      </c>
    </row>
    <row r="430" spans="1:9" hidden="1" x14ac:dyDescent="0.25">
      <c r="A430" s="114" t="s">
        <v>1984</v>
      </c>
      <c r="B430" s="115" t="s">
        <v>1985</v>
      </c>
      <c r="C430" s="116" t="s">
        <v>20</v>
      </c>
      <c r="D430" s="116">
        <v>0</v>
      </c>
      <c r="E430" s="135" t="s">
        <v>558</v>
      </c>
      <c r="F430" s="136" t="str">
        <f t="shared" si="18"/>
        <v/>
      </c>
      <c r="G430" s="137" t="e">
        <f>IF(A430&lt;&gt;"",IF(AND(#REF!="Padrão",$H$4=#REF!),BDI!$B$17,IF(AND(#REF!="Padrão",$H$4=#REF!),BDI!#REF!,IF(AND(#REF!="Diferenciado",$H$4=#REF!),BDI!$E$17,IF(AND(#REF!="Diferenciado",$H$4=#REF!),BDI!#REF!,IF(#REF!="ZERO",0))))),"")</f>
        <v>#REF!</v>
      </c>
      <c r="H430" s="138" t="str">
        <f t="shared" si="19"/>
        <v/>
      </c>
      <c r="I430" s="136" t="str">
        <f t="shared" si="20"/>
        <v/>
      </c>
    </row>
    <row r="431" spans="1:9" hidden="1" x14ac:dyDescent="0.25">
      <c r="A431" s="114" t="s">
        <v>1986</v>
      </c>
      <c r="B431" s="115" t="s">
        <v>1987</v>
      </c>
      <c r="C431" s="116" t="s">
        <v>20</v>
      </c>
      <c r="D431" s="116">
        <v>0</v>
      </c>
      <c r="E431" s="135" t="s">
        <v>558</v>
      </c>
      <c r="F431" s="136" t="str">
        <f t="shared" si="18"/>
        <v/>
      </c>
      <c r="G431" s="137" t="e">
        <f>IF(A431&lt;&gt;"",IF(AND(#REF!="Padrão",$H$4=#REF!),BDI!$B$17,IF(AND(#REF!="Padrão",$H$4=#REF!),BDI!#REF!,IF(AND(#REF!="Diferenciado",$H$4=#REF!),BDI!$E$17,IF(AND(#REF!="Diferenciado",$H$4=#REF!),BDI!#REF!,IF(#REF!="ZERO",0))))),"")</f>
        <v>#REF!</v>
      </c>
      <c r="H431" s="138" t="str">
        <f t="shared" si="19"/>
        <v/>
      </c>
      <c r="I431" s="136" t="str">
        <f t="shared" si="20"/>
        <v/>
      </c>
    </row>
    <row r="432" spans="1:9" hidden="1" x14ac:dyDescent="0.25">
      <c r="A432" s="114" t="s">
        <v>1988</v>
      </c>
      <c r="B432" s="115" t="s">
        <v>1989</v>
      </c>
      <c r="C432" s="116" t="s">
        <v>20</v>
      </c>
      <c r="D432" s="116">
        <v>0</v>
      </c>
      <c r="E432" s="135" t="s">
        <v>558</v>
      </c>
      <c r="F432" s="136" t="str">
        <f t="shared" si="18"/>
        <v/>
      </c>
      <c r="G432" s="137" t="e">
        <f>IF(A432&lt;&gt;"",IF(AND(#REF!="Padrão",$H$4=#REF!),BDI!$B$17,IF(AND(#REF!="Padrão",$H$4=#REF!),BDI!#REF!,IF(AND(#REF!="Diferenciado",$H$4=#REF!),BDI!$E$17,IF(AND(#REF!="Diferenciado",$H$4=#REF!),BDI!#REF!,IF(#REF!="ZERO",0))))),"")</f>
        <v>#REF!</v>
      </c>
      <c r="H432" s="138" t="str">
        <f t="shared" si="19"/>
        <v/>
      </c>
      <c r="I432" s="136" t="str">
        <f t="shared" si="20"/>
        <v/>
      </c>
    </row>
    <row r="433" spans="1:9" hidden="1" x14ac:dyDescent="0.25">
      <c r="A433" s="114" t="s">
        <v>1990</v>
      </c>
      <c r="B433" s="115" t="s">
        <v>1991</v>
      </c>
      <c r="C433" s="116" t="s">
        <v>20</v>
      </c>
      <c r="D433" s="116">
        <v>0</v>
      </c>
      <c r="E433" s="135" t="s">
        <v>558</v>
      </c>
      <c r="F433" s="136" t="str">
        <f t="shared" si="18"/>
        <v/>
      </c>
      <c r="G433" s="137" t="e">
        <f>IF(A433&lt;&gt;"",IF(AND(#REF!="Padrão",$H$4=#REF!),BDI!$B$17,IF(AND(#REF!="Padrão",$H$4=#REF!),BDI!#REF!,IF(AND(#REF!="Diferenciado",$H$4=#REF!),BDI!$E$17,IF(AND(#REF!="Diferenciado",$H$4=#REF!),BDI!#REF!,IF(#REF!="ZERO",0))))),"")</f>
        <v>#REF!</v>
      </c>
      <c r="H433" s="138" t="str">
        <f t="shared" si="19"/>
        <v/>
      </c>
      <c r="I433" s="136" t="str">
        <f t="shared" si="20"/>
        <v/>
      </c>
    </row>
    <row r="434" spans="1:9" hidden="1" x14ac:dyDescent="0.25">
      <c r="A434" s="114" t="s">
        <v>1992</v>
      </c>
      <c r="B434" s="115" t="s">
        <v>1993</v>
      </c>
      <c r="C434" s="116" t="s">
        <v>1994</v>
      </c>
      <c r="D434" s="116">
        <v>0</v>
      </c>
      <c r="E434" s="135" t="s">
        <v>558</v>
      </c>
      <c r="F434" s="136" t="str">
        <f t="shared" si="18"/>
        <v/>
      </c>
      <c r="G434" s="137" t="e">
        <f>IF(A434&lt;&gt;"",IF(AND(#REF!="Padrão",$H$4=#REF!),BDI!$B$17,IF(AND(#REF!="Padrão",$H$4=#REF!),BDI!#REF!,IF(AND(#REF!="Diferenciado",$H$4=#REF!),BDI!$E$17,IF(AND(#REF!="Diferenciado",$H$4=#REF!),BDI!#REF!,IF(#REF!="ZERO",0))))),"")</f>
        <v>#REF!</v>
      </c>
      <c r="H434" s="138" t="str">
        <f t="shared" si="19"/>
        <v/>
      </c>
      <c r="I434" s="136" t="str">
        <f t="shared" si="20"/>
        <v/>
      </c>
    </row>
    <row r="435" spans="1:9" hidden="1" x14ac:dyDescent="0.25">
      <c r="A435" s="114" t="s">
        <v>1995</v>
      </c>
      <c r="B435" s="115" t="s">
        <v>1996</v>
      </c>
      <c r="C435" s="116" t="s">
        <v>1994</v>
      </c>
      <c r="D435" s="116">
        <v>0</v>
      </c>
      <c r="E435" s="135" t="s">
        <v>558</v>
      </c>
      <c r="F435" s="136" t="str">
        <f t="shared" si="18"/>
        <v/>
      </c>
      <c r="G435" s="137" t="e">
        <f>IF(A435&lt;&gt;"",IF(AND(#REF!="Padrão",$H$4=#REF!),BDI!$B$17,IF(AND(#REF!="Padrão",$H$4=#REF!),BDI!#REF!,IF(AND(#REF!="Diferenciado",$H$4=#REF!),BDI!$E$17,IF(AND(#REF!="Diferenciado",$H$4=#REF!),BDI!#REF!,IF(#REF!="ZERO",0))))),"")</f>
        <v>#REF!</v>
      </c>
      <c r="H435" s="138" t="str">
        <f t="shared" si="19"/>
        <v/>
      </c>
      <c r="I435" s="136" t="str">
        <f t="shared" si="20"/>
        <v/>
      </c>
    </row>
    <row r="436" spans="1:9" hidden="1" x14ac:dyDescent="0.25">
      <c r="A436" s="114" t="s">
        <v>1997</v>
      </c>
      <c r="B436" s="115" t="s">
        <v>1998</v>
      </c>
      <c r="C436" s="116" t="s">
        <v>1994</v>
      </c>
      <c r="D436" s="116">
        <v>0</v>
      </c>
      <c r="E436" s="135" t="s">
        <v>558</v>
      </c>
      <c r="F436" s="136" t="str">
        <f t="shared" si="18"/>
        <v/>
      </c>
      <c r="G436" s="137" t="e">
        <f>IF(A436&lt;&gt;"",IF(AND(#REF!="Padrão",$H$4=#REF!),BDI!$B$17,IF(AND(#REF!="Padrão",$H$4=#REF!),BDI!#REF!,IF(AND(#REF!="Diferenciado",$H$4=#REF!),BDI!$E$17,IF(AND(#REF!="Diferenciado",$H$4=#REF!),BDI!#REF!,IF(#REF!="ZERO",0))))),"")</f>
        <v>#REF!</v>
      </c>
      <c r="H436" s="138" t="str">
        <f t="shared" si="19"/>
        <v/>
      </c>
      <c r="I436" s="136" t="str">
        <f t="shared" si="20"/>
        <v/>
      </c>
    </row>
    <row r="437" spans="1:9" hidden="1" x14ac:dyDescent="0.25">
      <c r="A437" s="114" t="s">
        <v>1999</v>
      </c>
      <c r="B437" s="115" t="s">
        <v>2000</v>
      </c>
      <c r="C437" s="116" t="s">
        <v>1994</v>
      </c>
      <c r="D437" s="116">
        <v>0</v>
      </c>
      <c r="E437" s="135" t="s">
        <v>558</v>
      </c>
      <c r="F437" s="136" t="str">
        <f t="shared" si="18"/>
        <v/>
      </c>
      <c r="G437" s="137" t="e">
        <f>IF(A437&lt;&gt;"",IF(AND(#REF!="Padrão",$H$4=#REF!),BDI!$B$17,IF(AND(#REF!="Padrão",$H$4=#REF!),BDI!#REF!,IF(AND(#REF!="Diferenciado",$H$4=#REF!),BDI!$E$17,IF(AND(#REF!="Diferenciado",$H$4=#REF!),BDI!#REF!,IF(#REF!="ZERO",0))))),"")</f>
        <v>#REF!</v>
      </c>
      <c r="H437" s="138" t="str">
        <f t="shared" si="19"/>
        <v/>
      </c>
      <c r="I437" s="136" t="str">
        <f t="shared" si="20"/>
        <v/>
      </c>
    </row>
    <row r="438" spans="1:9" hidden="1" x14ac:dyDescent="0.25">
      <c r="A438" s="114" t="s">
        <v>2001</v>
      </c>
      <c r="B438" s="115" t="s">
        <v>2002</v>
      </c>
      <c r="C438" s="116" t="s">
        <v>1994</v>
      </c>
      <c r="D438" s="116">
        <v>0</v>
      </c>
      <c r="E438" s="135" t="s">
        <v>558</v>
      </c>
      <c r="F438" s="136" t="str">
        <f t="shared" si="18"/>
        <v/>
      </c>
      <c r="G438" s="137" t="e">
        <f>IF(A438&lt;&gt;"",IF(AND(#REF!="Padrão",$H$4=#REF!),BDI!$B$17,IF(AND(#REF!="Padrão",$H$4=#REF!),BDI!#REF!,IF(AND(#REF!="Diferenciado",$H$4=#REF!),BDI!$E$17,IF(AND(#REF!="Diferenciado",$H$4=#REF!),BDI!#REF!,IF(#REF!="ZERO",0))))),"")</f>
        <v>#REF!</v>
      </c>
      <c r="H438" s="138" t="str">
        <f t="shared" si="19"/>
        <v/>
      </c>
      <c r="I438" s="136" t="str">
        <f t="shared" si="20"/>
        <v/>
      </c>
    </row>
    <row r="439" spans="1:9" hidden="1" x14ac:dyDescent="0.25">
      <c r="A439" s="114" t="s">
        <v>2003</v>
      </c>
      <c r="B439" s="115" t="s">
        <v>2004</v>
      </c>
      <c r="C439" s="116" t="s">
        <v>1994</v>
      </c>
      <c r="D439" s="116">
        <v>0</v>
      </c>
      <c r="E439" s="135" t="s">
        <v>558</v>
      </c>
      <c r="F439" s="136" t="str">
        <f t="shared" si="18"/>
        <v/>
      </c>
      <c r="G439" s="137" t="e">
        <f>IF(A439&lt;&gt;"",IF(AND(#REF!="Padrão",$H$4=#REF!),BDI!$B$17,IF(AND(#REF!="Padrão",$H$4=#REF!),BDI!#REF!,IF(AND(#REF!="Diferenciado",$H$4=#REF!),BDI!$E$17,IF(AND(#REF!="Diferenciado",$H$4=#REF!),BDI!#REF!,IF(#REF!="ZERO",0))))),"")</f>
        <v>#REF!</v>
      </c>
      <c r="H439" s="138" t="str">
        <f t="shared" si="19"/>
        <v/>
      </c>
      <c r="I439" s="136" t="str">
        <f t="shared" si="20"/>
        <v/>
      </c>
    </row>
    <row r="440" spans="1:9" hidden="1" x14ac:dyDescent="0.25">
      <c r="A440" s="114" t="s">
        <v>2005</v>
      </c>
      <c r="B440" s="115" t="s">
        <v>2006</v>
      </c>
      <c r="C440" s="116" t="s">
        <v>20</v>
      </c>
      <c r="D440" s="116">
        <v>0</v>
      </c>
      <c r="E440" s="135" t="s">
        <v>558</v>
      </c>
      <c r="F440" s="136" t="str">
        <f t="shared" si="18"/>
        <v/>
      </c>
      <c r="G440" s="137" t="e">
        <f>IF(A440&lt;&gt;"",IF(AND(#REF!="Padrão",$H$4=#REF!),BDI!$B$17,IF(AND(#REF!="Padrão",$H$4=#REF!),BDI!#REF!,IF(AND(#REF!="Diferenciado",$H$4=#REF!),BDI!$E$17,IF(AND(#REF!="Diferenciado",$H$4=#REF!),BDI!#REF!,IF(#REF!="ZERO",0))))),"")</f>
        <v>#REF!</v>
      </c>
      <c r="H440" s="138" t="str">
        <f t="shared" si="19"/>
        <v/>
      </c>
      <c r="I440" s="136" t="str">
        <f t="shared" si="20"/>
        <v/>
      </c>
    </row>
    <row r="441" spans="1:9" hidden="1" x14ac:dyDescent="0.25">
      <c r="A441" s="114" t="s">
        <v>2007</v>
      </c>
      <c r="B441" s="115" t="s">
        <v>2008</v>
      </c>
      <c r="C441" s="116" t="s">
        <v>20</v>
      </c>
      <c r="D441" s="116">
        <v>0</v>
      </c>
      <c r="E441" s="135" t="s">
        <v>558</v>
      </c>
      <c r="F441" s="136" t="str">
        <f t="shared" si="18"/>
        <v/>
      </c>
      <c r="G441" s="137" t="e">
        <f>IF(A441&lt;&gt;"",IF(AND(#REF!="Padrão",$H$4=#REF!),BDI!$B$17,IF(AND(#REF!="Padrão",$H$4=#REF!),BDI!#REF!,IF(AND(#REF!="Diferenciado",$H$4=#REF!),BDI!$E$17,IF(AND(#REF!="Diferenciado",$H$4=#REF!),BDI!#REF!,IF(#REF!="ZERO",0))))),"")</f>
        <v>#REF!</v>
      </c>
      <c r="H441" s="138" t="str">
        <f t="shared" si="19"/>
        <v/>
      </c>
      <c r="I441" s="136" t="str">
        <f t="shared" si="20"/>
        <v/>
      </c>
    </row>
    <row r="442" spans="1:9" hidden="1" x14ac:dyDescent="0.25">
      <c r="A442" s="114" t="s">
        <v>2009</v>
      </c>
      <c r="B442" s="115" t="s">
        <v>2010</v>
      </c>
      <c r="C442" s="116" t="s">
        <v>20</v>
      </c>
      <c r="D442" s="116">
        <v>0</v>
      </c>
      <c r="E442" s="135" t="s">
        <v>558</v>
      </c>
      <c r="F442" s="136" t="str">
        <f t="shared" si="18"/>
        <v/>
      </c>
      <c r="G442" s="137" t="e">
        <f>IF(A442&lt;&gt;"",IF(AND(#REF!="Padrão",$H$4=#REF!),BDI!$B$17,IF(AND(#REF!="Padrão",$H$4=#REF!),BDI!#REF!,IF(AND(#REF!="Diferenciado",$H$4=#REF!),BDI!$E$17,IF(AND(#REF!="Diferenciado",$H$4=#REF!),BDI!#REF!,IF(#REF!="ZERO",0))))),"")</f>
        <v>#REF!</v>
      </c>
      <c r="H442" s="138" t="str">
        <f t="shared" si="19"/>
        <v/>
      </c>
      <c r="I442" s="136" t="str">
        <f t="shared" si="20"/>
        <v/>
      </c>
    </row>
    <row r="443" spans="1:9" hidden="1" x14ac:dyDescent="0.25">
      <c r="A443" s="114" t="s">
        <v>2011</v>
      </c>
      <c r="B443" s="115" t="s">
        <v>2012</v>
      </c>
      <c r="C443" s="116" t="s">
        <v>20</v>
      </c>
      <c r="D443" s="116">
        <v>0</v>
      </c>
      <c r="E443" s="135" t="s">
        <v>558</v>
      </c>
      <c r="F443" s="136" t="str">
        <f t="shared" si="18"/>
        <v/>
      </c>
      <c r="G443" s="137" t="e">
        <f>IF(A443&lt;&gt;"",IF(AND(#REF!="Padrão",$H$4=#REF!),BDI!$B$17,IF(AND(#REF!="Padrão",$H$4=#REF!),BDI!#REF!,IF(AND(#REF!="Diferenciado",$H$4=#REF!),BDI!$E$17,IF(AND(#REF!="Diferenciado",$H$4=#REF!),BDI!#REF!,IF(#REF!="ZERO",0))))),"")</f>
        <v>#REF!</v>
      </c>
      <c r="H443" s="138" t="str">
        <f t="shared" si="19"/>
        <v/>
      </c>
      <c r="I443" s="136" t="str">
        <f t="shared" si="20"/>
        <v/>
      </c>
    </row>
    <row r="444" spans="1:9" hidden="1" x14ac:dyDescent="0.25">
      <c r="A444" s="114" t="s">
        <v>2013</v>
      </c>
      <c r="B444" s="115" t="s">
        <v>2014</v>
      </c>
      <c r="C444" s="116" t="s">
        <v>20</v>
      </c>
      <c r="D444" s="116">
        <v>0</v>
      </c>
      <c r="E444" s="135" t="s">
        <v>558</v>
      </c>
      <c r="F444" s="136" t="str">
        <f t="shared" si="18"/>
        <v/>
      </c>
      <c r="G444" s="137" t="e">
        <f>IF(A444&lt;&gt;"",IF(AND(#REF!="Padrão",$H$4=#REF!),BDI!$B$17,IF(AND(#REF!="Padrão",$H$4=#REF!),BDI!#REF!,IF(AND(#REF!="Diferenciado",$H$4=#REF!),BDI!$E$17,IF(AND(#REF!="Diferenciado",$H$4=#REF!),BDI!#REF!,IF(#REF!="ZERO",0))))),"")</f>
        <v>#REF!</v>
      </c>
      <c r="H444" s="138" t="str">
        <f t="shared" si="19"/>
        <v/>
      </c>
      <c r="I444" s="136" t="str">
        <f t="shared" si="20"/>
        <v/>
      </c>
    </row>
    <row r="445" spans="1:9" hidden="1" x14ac:dyDescent="0.25">
      <c r="A445" s="114" t="s">
        <v>2015</v>
      </c>
      <c r="B445" s="115" t="s">
        <v>2016</v>
      </c>
      <c r="C445" s="116" t="s">
        <v>20</v>
      </c>
      <c r="D445" s="116">
        <v>0</v>
      </c>
      <c r="E445" s="135" t="s">
        <v>558</v>
      </c>
      <c r="F445" s="136" t="str">
        <f t="shared" si="18"/>
        <v/>
      </c>
      <c r="G445" s="137" t="e">
        <f>IF(A445&lt;&gt;"",IF(AND(#REF!="Padrão",$H$4=#REF!),BDI!$B$17,IF(AND(#REF!="Padrão",$H$4=#REF!),BDI!#REF!,IF(AND(#REF!="Diferenciado",$H$4=#REF!),BDI!$E$17,IF(AND(#REF!="Diferenciado",$H$4=#REF!),BDI!#REF!,IF(#REF!="ZERO",0))))),"")</f>
        <v>#REF!</v>
      </c>
      <c r="H445" s="138" t="str">
        <f t="shared" si="19"/>
        <v/>
      </c>
      <c r="I445" s="136" t="str">
        <f t="shared" si="20"/>
        <v/>
      </c>
    </row>
    <row r="446" spans="1:9" hidden="1" x14ac:dyDescent="0.25">
      <c r="A446" s="114" t="s">
        <v>2017</v>
      </c>
      <c r="B446" s="115" t="s">
        <v>2018</v>
      </c>
      <c r="C446" s="116" t="s">
        <v>20</v>
      </c>
      <c r="D446" s="116">
        <v>0</v>
      </c>
      <c r="E446" s="135" t="s">
        <v>558</v>
      </c>
      <c r="F446" s="136" t="str">
        <f t="shared" si="18"/>
        <v/>
      </c>
      <c r="G446" s="137" t="e">
        <f>IF(A446&lt;&gt;"",IF(AND(#REF!="Padrão",$H$4=#REF!),BDI!$B$17,IF(AND(#REF!="Padrão",$H$4=#REF!),BDI!#REF!,IF(AND(#REF!="Diferenciado",$H$4=#REF!),BDI!$E$17,IF(AND(#REF!="Diferenciado",$H$4=#REF!),BDI!#REF!,IF(#REF!="ZERO",0))))),"")</f>
        <v>#REF!</v>
      </c>
      <c r="H446" s="138" t="str">
        <f t="shared" si="19"/>
        <v/>
      </c>
      <c r="I446" s="136" t="str">
        <f t="shared" si="20"/>
        <v/>
      </c>
    </row>
    <row r="447" spans="1:9" hidden="1" x14ac:dyDescent="0.25">
      <c r="A447" s="114" t="s">
        <v>2019</v>
      </c>
      <c r="B447" s="115" t="s">
        <v>2020</v>
      </c>
      <c r="C447" s="116" t="s">
        <v>20</v>
      </c>
      <c r="D447" s="116">
        <v>0</v>
      </c>
      <c r="E447" s="135" t="s">
        <v>558</v>
      </c>
      <c r="F447" s="136" t="str">
        <f t="shared" si="18"/>
        <v/>
      </c>
      <c r="G447" s="137" t="e">
        <f>IF(A447&lt;&gt;"",IF(AND(#REF!="Padrão",$H$4=#REF!),BDI!$B$17,IF(AND(#REF!="Padrão",$H$4=#REF!),BDI!#REF!,IF(AND(#REF!="Diferenciado",$H$4=#REF!),BDI!$E$17,IF(AND(#REF!="Diferenciado",$H$4=#REF!),BDI!#REF!,IF(#REF!="ZERO",0))))),"")</f>
        <v>#REF!</v>
      </c>
      <c r="H447" s="138" t="str">
        <f t="shared" si="19"/>
        <v/>
      </c>
      <c r="I447" s="136" t="str">
        <f t="shared" si="20"/>
        <v/>
      </c>
    </row>
    <row r="448" spans="1:9" hidden="1" x14ac:dyDescent="0.25">
      <c r="A448" s="114" t="s">
        <v>2021</v>
      </c>
      <c r="B448" s="115" t="s">
        <v>2022</v>
      </c>
      <c r="C448" s="116" t="s">
        <v>20</v>
      </c>
      <c r="D448" s="116">
        <v>0</v>
      </c>
      <c r="E448" s="135">
        <f ca="1">OFFSET(INDEX(Composições!A:J,MATCH(Orçamentária!A448,Composições!A:A,0),8),2,0)</f>
        <v>17.242499999999996</v>
      </c>
      <c r="F448" s="136">
        <f t="shared" ca="1" si="18"/>
        <v>0</v>
      </c>
      <c r="G448" s="137" t="e">
        <f>IF(A448&lt;&gt;"",IF(AND(#REF!="Padrão",$H$4=#REF!),BDI!$B$17,IF(AND(#REF!="Padrão",$H$4=#REF!),BDI!#REF!,IF(AND(#REF!="Diferenciado",$H$4=#REF!),BDI!$E$17,IF(AND(#REF!="Diferenciado",$H$4=#REF!),BDI!#REF!,IF(#REF!="ZERO",0))))),"")</f>
        <v>#REF!</v>
      </c>
      <c r="H448" s="138" t="e">
        <f t="shared" ca="1" si="19"/>
        <v>#REF!</v>
      </c>
      <c r="I448" s="136" t="e">
        <f t="shared" ca="1" si="20"/>
        <v>#REF!</v>
      </c>
    </row>
    <row r="449" spans="1:9" hidden="1" x14ac:dyDescent="0.25">
      <c r="A449" s="114" t="s">
        <v>2023</v>
      </c>
      <c r="B449" s="115" t="s">
        <v>2024</v>
      </c>
      <c r="C449" s="116" t="s">
        <v>20</v>
      </c>
      <c r="D449" s="116">
        <v>0</v>
      </c>
      <c r="E449" s="135" t="s">
        <v>558</v>
      </c>
      <c r="F449" s="136" t="str">
        <f t="shared" si="18"/>
        <v/>
      </c>
      <c r="G449" s="137" t="e">
        <f>IF(A449&lt;&gt;"",IF(AND(#REF!="Padrão",$H$4=#REF!),BDI!$B$17,IF(AND(#REF!="Padrão",$H$4=#REF!),BDI!#REF!,IF(AND(#REF!="Diferenciado",$H$4=#REF!),BDI!$E$17,IF(AND(#REF!="Diferenciado",$H$4=#REF!),BDI!#REF!,IF(#REF!="ZERO",0))))),"")</f>
        <v>#REF!</v>
      </c>
      <c r="H449" s="138" t="str">
        <f t="shared" si="19"/>
        <v/>
      </c>
      <c r="I449" s="136" t="str">
        <f t="shared" si="20"/>
        <v/>
      </c>
    </row>
    <row r="450" spans="1:9" hidden="1" x14ac:dyDescent="0.25">
      <c r="A450" s="114" t="s">
        <v>2025</v>
      </c>
      <c r="B450" s="115" t="s">
        <v>2026</v>
      </c>
      <c r="C450" s="116" t="s">
        <v>20</v>
      </c>
      <c r="D450" s="116">
        <v>0</v>
      </c>
      <c r="E450" s="135" t="s">
        <v>558</v>
      </c>
      <c r="F450" s="136" t="str">
        <f t="shared" si="18"/>
        <v/>
      </c>
      <c r="G450" s="137" t="e">
        <f>IF(A450&lt;&gt;"",IF(AND(#REF!="Padrão",$H$4=#REF!),BDI!$B$17,IF(AND(#REF!="Padrão",$H$4=#REF!),BDI!#REF!,IF(AND(#REF!="Diferenciado",$H$4=#REF!),BDI!$E$17,IF(AND(#REF!="Diferenciado",$H$4=#REF!),BDI!#REF!,IF(#REF!="ZERO",0))))),"")</f>
        <v>#REF!</v>
      </c>
      <c r="H450" s="138" t="str">
        <f t="shared" si="19"/>
        <v/>
      </c>
      <c r="I450" s="136" t="str">
        <f t="shared" si="20"/>
        <v/>
      </c>
    </row>
    <row r="451" spans="1:9" hidden="1" x14ac:dyDescent="0.25">
      <c r="A451" s="114" t="s">
        <v>2027</v>
      </c>
      <c r="B451" s="115" t="s">
        <v>2028</v>
      </c>
      <c r="C451" s="116" t="s">
        <v>20</v>
      </c>
      <c r="D451" s="116">
        <v>0</v>
      </c>
      <c r="E451" s="135" t="s">
        <v>558</v>
      </c>
      <c r="F451" s="136" t="str">
        <f t="shared" si="18"/>
        <v/>
      </c>
      <c r="G451" s="137" t="e">
        <f>IF(A451&lt;&gt;"",IF(AND(#REF!="Padrão",$H$4=#REF!),BDI!$B$17,IF(AND(#REF!="Padrão",$H$4=#REF!),BDI!#REF!,IF(AND(#REF!="Diferenciado",$H$4=#REF!),BDI!$E$17,IF(AND(#REF!="Diferenciado",$H$4=#REF!),BDI!#REF!,IF(#REF!="ZERO",0))))),"")</f>
        <v>#REF!</v>
      </c>
      <c r="H451" s="138" t="str">
        <f t="shared" si="19"/>
        <v/>
      </c>
      <c r="I451" s="136" t="str">
        <f t="shared" si="20"/>
        <v/>
      </c>
    </row>
    <row r="452" spans="1:9" hidden="1" x14ac:dyDescent="0.25">
      <c r="A452" s="114" t="s">
        <v>2029</v>
      </c>
      <c r="B452" s="115" t="s">
        <v>2030</v>
      </c>
      <c r="C452" s="116" t="s">
        <v>20</v>
      </c>
      <c r="D452" s="116">
        <v>0</v>
      </c>
      <c r="E452" s="135" t="s">
        <v>558</v>
      </c>
      <c r="F452" s="136" t="str">
        <f t="shared" si="18"/>
        <v/>
      </c>
      <c r="G452" s="137" t="e">
        <f>IF(A452&lt;&gt;"",IF(AND(#REF!="Padrão",$H$4=#REF!),BDI!$B$17,IF(AND(#REF!="Padrão",$H$4=#REF!),BDI!#REF!,IF(AND(#REF!="Diferenciado",$H$4=#REF!),BDI!$E$17,IF(AND(#REF!="Diferenciado",$H$4=#REF!),BDI!#REF!,IF(#REF!="ZERO",0))))),"")</f>
        <v>#REF!</v>
      </c>
      <c r="H452" s="138" t="str">
        <f t="shared" si="19"/>
        <v/>
      </c>
      <c r="I452" s="136" t="str">
        <f t="shared" si="20"/>
        <v/>
      </c>
    </row>
    <row r="453" spans="1:9" hidden="1" x14ac:dyDescent="0.25">
      <c r="A453" s="114" t="s">
        <v>2031</v>
      </c>
      <c r="B453" s="115" t="s">
        <v>2032</v>
      </c>
      <c r="C453" s="116" t="s">
        <v>20</v>
      </c>
      <c r="D453" s="116">
        <v>0</v>
      </c>
      <c r="E453" s="135" t="s">
        <v>558</v>
      </c>
      <c r="F453" s="136" t="str">
        <f t="shared" si="18"/>
        <v/>
      </c>
      <c r="G453" s="137" t="e">
        <f>IF(A453&lt;&gt;"",IF(AND(#REF!="Padrão",$H$4=#REF!),BDI!$B$17,IF(AND(#REF!="Padrão",$H$4=#REF!),BDI!#REF!,IF(AND(#REF!="Diferenciado",$H$4=#REF!),BDI!$E$17,IF(AND(#REF!="Diferenciado",$H$4=#REF!),BDI!#REF!,IF(#REF!="ZERO",0))))),"")</f>
        <v>#REF!</v>
      </c>
      <c r="H453" s="138" t="str">
        <f t="shared" si="19"/>
        <v/>
      </c>
      <c r="I453" s="136" t="str">
        <f t="shared" si="20"/>
        <v/>
      </c>
    </row>
    <row r="454" spans="1:9" hidden="1" x14ac:dyDescent="0.25">
      <c r="A454" s="114" t="s">
        <v>2033</v>
      </c>
      <c r="B454" s="115" t="s">
        <v>2034</v>
      </c>
      <c r="C454" s="116" t="s">
        <v>20</v>
      </c>
      <c r="D454" s="116">
        <v>0</v>
      </c>
      <c r="E454" s="135" t="s">
        <v>558</v>
      </c>
      <c r="F454" s="136" t="str">
        <f t="shared" si="18"/>
        <v/>
      </c>
      <c r="G454" s="137" t="e">
        <f>IF(A454&lt;&gt;"",IF(AND(#REF!="Padrão",$H$4=#REF!),BDI!$B$17,IF(AND(#REF!="Padrão",$H$4=#REF!),BDI!#REF!,IF(AND(#REF!="Diferenciado",$H$4=#REF!),BDI!$E$17,IF(AND(#REF!="Diferenciado",$H$4=#REF!),BDI!#REF!,IF(#REF!="ZERO",0))))),"")</f>
        <v>#REF!</v>
      </c>
      <c r="H454" s="138" t="str">
        <f t="shared" si="19"/>
        <v/>
      </c>
      <c r="I454" s="136" t="str">
        <f t="shared" si="20"/>
        <v/>
      </c>
    </row>
    <row r="455" spans="1:9" hidden="1" x14ac:dyDescent="0.25">
      <c r="A455" s="114" t="s">
        <v>2035</v>
      </c>
      <c r="B455" s="115" t="s">
        <v>2036</v>
      </c>
      <c r="C455" s="116" t="s">
        <v>20</v>
      </c>
      <c r="D455" s="116">
        <v>0</v>
      </c>
      <c r="E455" s="135" t="s">
        <v>558</v>
      </c>
      <c r="F455" s="136" t="str">
        <f t="shared" ref="F455:F518" si="21">IF(ISNUMBER(E455),D455*E455,"")</f>
        <v/>
      </c>
      <c r="G455" s="137" t="e">
        <f>IF(A455&lt;&gt;"",IF(AND(#REF!="Padrão",$H$4=#REF!),BDI!$B$17,IF(AND(#REF!="Padrão",$H$4=#REF!),BDI!#REF!,IF(AND(#REF!="Diferenciado",$H$4=#REF!),BDI!$E$17,IF(AND(#REF!="Diferenciado",$H$4=#REF!),BDI!#REF!,IF(#REF!="ZERO",0))))),"")</f>
        <v>#REF!</v>
      </c>
      <c r="H455" s="138" t="str">
        <f t="shared" ref="H455:H518" si="22">IF(ISNUMBER(E455),ROUND(E455*(1+G455),2),"")</f>
        <v/>
      </c>
      <c r="I455" s="136" t="str">
        <f t="shared" ref="I455:I518" si="23">IF(ISNUMBER(E455),ROUND(H455*D455,2),"")</f>
        <v/>
      </c>
    </row>
    <row r="456" spans="1:9" hidden="1" x14ac:dyDescent="0.25">
      <c r="A456" s="114" t="s">
        <v>2037</v>
      </c>
      <c r="B456" s="115" t="s">
        <v>2038</v>
      </c>
      <c r="C456" s="116" t="s">
        <v>20</v>
      </c>
      <c r="D456" s="116">
        <v>0</v>
      </c>
      <c r="E456" s="135" t="s">
        <v>558</v>
      </c>
      <c r="F456" s="136" t="str">
        <f t="shared" si="21"/>
        <v/>
      </c>
      <c r="G456" s="137" t="e">
        <f>IF(A456&lt;&gt;"",IF(AND(#REF!="Padrão",$H$4=#REF!),BDI!$B$17,IF(AND(#REF!="Padrão",$H$4=#REF!),BDI!#REF!,IF(AND(#REF!="Diferenciado",$H$4=#REF!),BDI!$E$17,IF(AND(#REF!="Diferenciado",$H$4=#REF!),BDI!#REF!,IF(#REF!="ZERO",0))))),"")</f>
        <v>#REF!</v>
      </c>
      <c r="H456" s="138" t="str">
        <f t="shared" si="22"/>
        <v/>
      </c>
      <c r="I456" s="136" t="str">
        <f t="shared" si="23"/>
        <v/>
      </c>
    </row>
    <row r="457" spans="1:9" hidden="1" x14ac:dyDescent="0.25">
      <c r="A457" s="114" t="s">
        <v>2039</v>
      </c>
      <c r="B457" s="115" t="s">
        <v>2040</v>
      </c>
      <c r="C457" s="116" t="s">
        <v>20</v>
      </c>
      <c r="D457" s="116">
        <v>0</v>
      </c>
      <c r="E457" s="135" t="s">
        <v>558</v>
      </c>
      <c r="F457" s="136" t="str">
        <f t="shared" si="21"/>
        <v/>
      </c>
      <c r="G457" s="137" t="e">
        <f>IF(A457&lt;&gt;"",IF(AND(#REF!="Padrão",$H$4=#REF!),BDI!$B$17,IF(AND(#REF!="Padrão",$H$4=#REF!),BDI!#REF!,IF(AND(#REF!="Diferenciado",$H$4=#REF!),BDI!$E$17,IF(AND(#REF!="Diferenciado",$H$4=#REF!),BDI!#REF!,IF(#REF!="ZERO",0))))),"")</f>
        <v>#REF!</v>
      </c>
      <c r="H457" s="138" t="str">
        <f t="shared" si="22"/>
        <v/>
      </c>
      <c r="I457" s="136" t="str">
        <f t="shared" si="23"/>
        <v/>
      </c>
    </row>
    <row r="458" spans="1:9" hidden="1" x14ac:dyDescent="0.25">
      <c r="A458" s="114" t="s">
        <v>2041</v>
      </c>
      <c r="B458" s="115" t="s">
        <v>2042</v>
      </c>
      <c r="C458" s="116" t="s">
        <v>20</v>
      </c>
      <c r="D458" s="116">
        <v>0</v>
      </c>
      <c r="E458" s="135" t="s">
        <v>558</v>
      </c>
      <c r="F458" s="136" t="str">
        <f t="shared" si="21"/>
        <v/>
      </c>
      <c r="G458" s="137" t="e">
        <f>IF(A458&lt;&gt;"",IF(AND(#REF!="Padrão",$H$4=#REF!),BDI!$B$17,IF(AND(#REF!="Padrão",$H$4=#REF!),BDI!#REF!,IF(AND(#REF!="Diferenciado",$H$4=#REF!),BDI!$E$17,IF(AND(#REF!="Diferenciado",$H$4=#REF!),BDI!#REF!,IF(#REF!="ZERO",0))))),"")</f>
        <v>#REF!</v>
      </c>
      <c r="H458" s="138" t="str">
        <f t="shared" si="22"/>
        <v/>
      </c>
      <c r="I458" s="136" t="str">
        <f t="shared" si="23"/>
        <v/>
      </c>
    </row>
    <row r="459" spans="1:9" hidden="1" x14ac:dyDescent="0.25">
      <c r="A459" s="114" t="s">
        <v>2043</v>
      </c>
      <c r="B459" s="115" t="s">
        <v>2044</v>
      </c>
      <c r="C459" s="116" t="s">
        <v>20</v>
      </c>
      <c r="D459" s="116">
        <v>0</v>
      </c>
      <c r="E459" s="135" t="s">
        <v>558</v>
      </c>
      <c r="F459" s="136" t="str">
        <f t="shared" si="21"/>
        <v/>
      </c>
      <c r="G459" s="137" t="e">
        <f>IF(A459&lt;&gt;"",IF(AND(#REF!="Padrão",$H$4=#REF!),BDI!$B$17,IF(AND(#REF!="Padrão",$H$4=#REF!),BDI!#REF!,IF(AND(#REF!="Diferenciado",$H$4=#REF!),BDI!$E$17,IF(AND(#REF!="Diferenciado",$H$4=#REF!),BDI!#REF!,IF(#REF!="ZERO",0))))),"")</f>
        <v>#REF!</v>
      </c>
      <c r="H459" s="138" t="str">
        <f t="shared" si="22"/>
        <v/>
      </c>
      <c r="I459" s="136" t="str">
        <f t="shared" si="23"/>
        <v/>
      </c>
    </row>
    <row r="460" spans="1:9" hidden="1" x14ac:dyDescent="0.25">
      <c r="A460" s="114" t="s">
        <v>2045</v>
      </c>
      <c r="B460" s="115" t="s">
        <v>2046</v>
      </c>
      <c r="C460" s="116" t="s">
        <v>20</v>
      </c>
      <c r="D460" s="116">
        <v>0</v>
      </c>
      <c r="E460" s="135" t="s">
        <v>558</v>
      </c>
      <c r="F460" s="136" t="str">
        <f t="shared" si="21"/>
        <v/>
      </c>
      <c r="G460" s="137" t="e">
        <f>IF(A460&lt;&gt;"",IF(AND(#REF!="Padrão",$H$4=#REF!),BDI!$B$17,IF(AND(#REF!="Padrão",$H$4=#REF!),BDI!#REF!,IF(AND(#REF!="Diferenciado",$H$4=#REF!),BDI!$E$17,IF(AND(#REF!="Diferenciado",$H$4=#REF!),BDI!#REF!,IF(#REF!="ZERO",0))))),"")</f>
        <v>#REF!</v>
      </c>
      <c r="H460" s="138" t="str">
        <f t="shared" si="22"/>
        <v/>
      </c>
      <c r="I460" s="136" t="str">
        <f t="shared" si="23"/>
        <v/>
      </c>
    </row>
    <row r="461" spans="1:9" ht="25.5" hidden="1" x14ac:dyDescent="0.25">
      <c r="A461" s="114" t="s">
        <v>2047</v>
      </c>
      <c r="B461" s="115" t="s">
        <v>2048</v>
      </c>
      <c r="C461" s="116" t="s">
        <v>20</v>
      </c>
      <c r="D461" s="116">
        <v>0</v>
      </c>
      <c r="E461" s="135" t="s">
        <v>558</v>
      </c>
      <c r="F461" s="136" t="str">
        <f t="shared" si="21"/>
        <v/>
      </c>
      <c r="G461" s="137" t="e">
        <f>IF(A461&lt;&gt;"",IF(AND(#REF!="Padrão",$H$4=#REF!),BDI!$B$17,IF(AND(#REF!="Padrão",$H$4=#REF!),BDI!#REF!,IF(AND(#REF!="Diferenciado",$H$4=#REF!),BDI!$E$17,IF(AND(#REF!="Diferenciado",$H$4=#REF!),BDI!#REF!,IF(#REF!="ZERO",0))))),"")</f>
        <v>#REF!</v>
      </c>
      <c r="H461" s="138" t="str">
        <f t="shared" si="22"/>
        <v/>
      </c>
      <c r="I461" s="136" t="str">
        <f t="shared" si="23"/>
        <v/>
      </c>
    </row>
    <row r="462" spans="1:9" ht="25.5" hidden="1" x14ac:dyDescent="0.25">
      <c r="A462" s="114" t="s">
        <v>2049</v>
      </c>
      <c r="B462" s="115" t="s">
        <v>2050</v>
      </c>
      <c r="C462" s="116" t="s">
        <v>20</v>
      </c>
      <c r="D462" s="116">
        <v>0</v>
      </c>
      <c r="E462" s="135" t="s">
        <v>558</v>
      </c>
      <c r="F462" s="136" t="str">
        <f t="shared" si="21"/>
        <v/>
      </c>
      <c r="G462" s="137" t="e">
        <f>IF(A462&lt;&gt;"",IF(AND(#REF!="Padrão",$H$4=#REF!),BDI!$B$17,IF(AND(#REF!="Padrão",$H$4=#REF!),BDI!#REF!,IF(AND(#REF!="Diferenciado",$H$4=#REF!),BDI!$E$17,IF(AND(#REF!="Diferenciado",$H$4=#REF!),BDI!#REF!,IF(#REF!="ZERO",0))))),"")</f>
        <v>#REF!</v>
      </c>
      <c r="H462" s="138" t="str">
        <f t="shared" si="22"/>
        <v/>
      </c>
      <c r="I462" s="136" t="str">
        <f t="shared" si="23"/>
        <v/>
      </c>
    </row>
    <row r="463" spans="1:9" hidden="1" x14ac:dyDescent="0.25">
      <c r="A463" s="114" t="s">
        <v>2051</v>
      </c>
      <c r="B463" s="115" t="s">
        <v>2052</v>
      </c>
      <c r="C463" s="116" t="s">
        <v>20</v>
      </c>
      <c r="D463" s="116">
        <v>0</v>
      </c>
      <c r="E463" s="135" t="s">
        <v>558</v>
      </c>
      <c r="F463" s="136" t="str">
        <f t="shared" si="21"/>
        <v/>
      </c>
      <c r="G463" s="137" t="e">
        <f>IF(A463&lt;&gt;"",IF(AND(#REF!="Padrão",$H$4=#REF!),BDI!$B$17,IF(AND(#REF!="Padrão",$H$4=#REF!),BDI!#REF!,IF(AND(#REF!="Diferenciado",$H$4=#REF!),BDI!$E$17,IF(AND(#REF!="Diferenciado",$H$4=#REF!),BDI!#REF!,IF(#REF!="ZERO",0))))),"")</f>
        <v>#REF!</v>
      </c>
      <c r="H463" s="138" t="str">
        <f t="shared" si="22"/>
        <v/>
      </c>
      <c r="I463" s="136" t="str">
        <f t="shared" si="23"/>
        <v/>
      </c>
    </row>
    <row r="464" spans="1:9" hidden="1" x14ac:dyDescent="0.25">
      <c r="A464" s="114" t="s">
        <v>2053</v>
      </c>
      <c r="B464" s="115" t="s">
        <v>2054</v>
      </c>
      <c r="C464" s="116" t="s">
        <v>20</v>
      </c>
      <c r="D464" s="116">
        <v>0</v>
      </c>
      <c r="E464" s="135" t="s">
        <v>558</v>
      </c>
      <c r="F464" s="136" t="str">
        <f t="shared" si="21"/>
        <v/>
      </c>
      <c r="G464" s="137" t="e">
        <f>IF(A464&lt;&gt;"",IF(AND(#REF!="Padrão",$H$4=#REF!),BDI!$B$17,IF(AND(#REF!="Padrão",$H$4=#REF!),BDI!#REF!,IF(AND(#REF!="Diferenciado",$H$4=#REF!),BDI!$E$17,IF(AND(#REF!="Diferenciado",$H$4=#REF!),BDI!#REF!,IF(#REF!="ZERO",0))))),"")</f>
        <v>#REF!</v>
      </c>
      <c r="H464" s="138" t="str">
        <f t="shared" si="22"/>
        <v/>
      </c>
      <c r="I464" s="136" t="str">
        <f t="shared" si="23"/>
        <v/>
      </c>
    </row>
    <row r="465" spans="1:9" hidden="1" x14ac:dyDescent="0.25">
      <c r="A465" s="114" t="s">
        <v>2055</v>
      </c>
      <c r="B465" s="115" t="s">
        <v>2056</v>
      </c>
      <c r="C465" s="116" t="s">
        <v>20</v>
      </c>
      <c r="D465" s="116">
        <v>0</v>
      </c>
      <c r="E465" s="135" t="s">
        <v>558</v>
      </c>
      <c r="F465" s="136" t="str">
        <f t="shared" si="21"/>
        <v/>
      </c>
      <c r="G465" s="137" t="e">
        <f>IF(A465&lt;&gt;"",IF(AND(#REF!="Padrão",$H$4=#REF!),BDI!$B$17,IF(AND(#REF!="Padrão",$H$4=#REF!),BDI!#REF!,IF(AND(#REF!="Diferenciado",$H$4=#REF!),BDI!$E$17,IF(AND(#REF!="Diferenciado",$H$4=#REF!),BDI!#REF!,IF(#REF!="ZERO",0))))),"")</f>
        <v>#REF!</v>
      </c>
      <c r="H465" s="138" t="str">
        <f t="shared" si="22"/>
        <v/>
      </c>
      <c r="I465" s="136" t="str">
        <f t="shared" si="23"/>
        <v/>
      </c>
    </row>
    <row r="466" spans="1:9" hidden="1" x14ac:dyDescent="0.25">
      <c r="A466" s="114" t="s">
        <v>2057</v>
      </c>
      <c r="B466" s="115" t="s">
        <v>2058</v>
      </c>
      <c r="C466" s="116" t="s">
        <v>20</v>
      </c>
      <c r="D466" s="116">
        <v>0</v>
      </c>
      <c r="E466" s="135" t="s">
        <v>558</v>
      </c>
      <c r="F466" s="136" t="str">
        <f t="shared" si="21"/>
        <v/>
      </c>
      <c r="G466" s="137" t="e">
        <f>IF(A466&lt;&gt;"",IF(AND(#REF!="Padrão",$H$4=#REF!),BDI!$B$17,IF(AND(#REF!="Padrão",$H$4=#REF!),BDI!#REF!,IF(AND(#REF!="Diferenciado",$H$4=#REF!),BDI!$E$17,IF(AND(#REF!="Diferenciado",$H$4=#REF!),BDI!#REF!,IF(#REF!="ZERO",0))))),"")</f>
        <v>#REF!</v>
      </c>
      <c r="H466" s="138" t="str">
        <f t="shared" si="22"/>
        <v/>
      </c>
      <c r="I466" s="136" t="str">
        <f t="shared" si="23"/>
        <v/>
      </c>
    </row>
    <row r="467" spans="1:9" hidden="1" x14ac:dyDescent="0.25">
      <c r="A467" s="114" t="s">
        <v>2059</v>
      </c>
      <c r="B467" s="115" t="s">
        <v>2060</v>
      </c>
      <c r="C467" s="116" t="s">
        <v>20</v>
      </c>
      <c r="D467" s="116">
        <v>0</v>
      </c>
      <c r="E467" s="135" t="s">
        <v>558</v>
      </c>
      <c r="F467" s="136" t="str">
        <f t="shared" si="21"/>
        <v/>
      </c>
      <c r="G467" s="137" t="e">
        <f>IF(A467&lt;&gt;"",IF(AND(#REF!="Padrão",$H$4=#REF!),BDI!$B$17,IF(AND(#REF!="Padrão",$H$4=#REF!),BDI!#REF!,IF(AND(#REF!="Diferenciado",$H$4=#REF!),BDI!$E$17,IF(AND(#REF!="Diferenciado",$H$4=#REF!),BDI!#REF!,IF(#REF!="ZERO",0))))),"")</f>
        <v>#REF!</v>
      </c>
      <c r="H467" s="138" t="str">
        <f t="shared" si="22"/>
        <v/>
      </c>
      <c r="I467" s="136" t="str">
        <f t="shared" si="23"/>
        <v/>
      </c>
    </row>
    <row r="468" spans="1:9" hidden="1" x14ac:dyDescent="0.25">
      <c r="A468" s="114" t="s">
        <v>2061</v>
      </c>
      <c r="B468" s="115" t="s">
        <v>2062</v>
      </c>
      <c r="C468" s="116" t="s">
        <v>20</v>
      </c>
      <c r="D468" s="116">
        <v>0</v>
      </c>
      <c r="E468" s="135" t="s">
        <v>558</v>
      </c>
      <c r="F468" s="136" t="str">
        <f t="shared" si="21"/>
        <v/>
      </c>
      <c r="G468" s="137" t="e">
        <f>IF(A468&lt;&gt;"",IF(AND(#REF!="Padrão",$H$4=#REF!),BDI!$B$17,IF(AND(#REF!="Padrão",$H$4=#REF!),BDI!#REF!,IF(AND(#REF!="Diferenciado",$H$4=#REF!),BDI!$E$17,IF(AND(#REF!="Diferenciado",$H$4=#REF!),BDI!#REF!,IF(#REF!="ZERO",0))))),"")</f>
        <v>#REF!</v>
      </c>
      <c r="H468" s="138" t="str">
        <f t="shared" si="22"/>
        <v/>
      </c>
      <c r="I468" s="136" t="str">
        <f t="shared" si="23"/>
        <v/>
      </c>
    </row>
    <row r="469" spans="1:9" hidden="1" x14ac:dyDescent="0.25">
      <c r="A469" s="114" t="s">
        <v>2063</v>
      </c>
      <c r="B469" s="115" t="s">
        <v>2064</v>
      </c>
      <c r="C469" s="116" t="s">
        <v>20</v>
      </c>
      <c r="D469" s="116">
        <v>0</v>
      </c>
      <c r="E469" s="135" t="s">
        <v>558</v>
      </c>
      <c r="F469" s="136" t="str">
        <f t="shared" si="21"/>
        <v/>
      </c>
      <c r="G469" s="137" t="e">
        <f>IF(A469&lt;&gt;"",IF(AND(#REF!="Padrão",$H$4=#REF!),BDI!$B$17,IF(AND(#REF!="Padrão",$H$4=#REF!),BDI!#REF!,IF(AND(#REF!="Diferenciado",$H$4=#REF!),BDI!$E$17,IF(AND(#REF!="Diferenciado",$H$4=#REF!),BDI!#REF!,IF(#REF!="ZERO",0))))),"")</f>
        <v>#REF!</v>
      </c>
      <c r="H469" s="138" t="str">
        <f t="shared" si="22"/>
        <v/>
      </c>
      <c r="I469" s="136" t="str">
        <f t="shared" si="23"/>
        <v/>
      </c>
    </row>
    <row r="470" spans="1:9" hidden="1" x14ac:dyDescent="0.25">
      <c r="A470" s="114" t="s">
        <v>2065</v>
      </c>
      <c r="B470" s="115" t="s">
        <v>2066</v>
      </c>
      <c r="C470" s="116" t="s">
        <v>20</v>
      </c>
      <c r="D470" s="116">
        <v>0</v>
      </c>
      <c r="E470" s="135" t="s">
        <v>558</v>
      </c>
      <c r="F470" s="136" t="str">
        <f t="shared" si="21"/>
        <v/>
      </c>
      <c r="G470" s="137" t="e">
        <f>IF(A470&lt;&gt;"",IF(AND(#REF!="Padrão",$H$4=#REF!),BDI!$B$17,IF(AND(#REF!="Padrão",$H$4=#REF!),BDI!#REF!,IF(AND(#REF!="Diferenciado",$H$4=#REF!),BDI!$E$17,IF(AND(#REF!="Diferenciado",$H$4=#REF!),BDI!#REF!,IF(#REF!="ZERO",0))))),"")</f>
        <v>#REF!</v>
      </c>
      <c r="H470" s="138" t="str">
        <f t="shared" si="22"/>
        <v/>
      </c>
      <c r="I470" s="136" t="str">
        <f t="shared" si="23"/>
        <v/>
      </c>
    </row>
    <row r="471" spans="1:9" hidden="1" x14ac:dyDescent="0.25">
      <c r="A471" s="114" t="s">
        <v>2067</v>
      </c>
      <c r="B471" s="115" t="s">
        <v>2068</v>
      </c>
      <c r="C471" s="116" t="s">
        <v>20</v>
      </c>
      <c r="D471" s="116">
        <v>0</v>
      </c>
      <c r="E471" s="135" t="s">
        <v>558</v>
      </c>
      <c r="F471" s="136" t="str">
        <f t="shared" si="21"/>
        <v/>
      </c>
      <c r="G471" s="137" t="e">
        <f>IF(A471&lt;&gt;"",IF(AND(#REF!="Padrão",$H$4=#REF!),BDI!$B$17,IF(AND(#REF!="Padrão",$H$4=#REF!),BDI!#REF!,IF(AND(#REF!="Diferenciado",$H$4=#REF!),BDI!$E$17,IF(AND(#REF!="Diferenciado",$H$4=#REF!),BDI!#REF!,IF(#REF!="ZERO",0))))),"")</f>
        <v>#REF!</v>
      </c>
      <c r="H471" s="138" t="str">
        <f t="shared" si="22"/>
        <v/>
      </c>
      <c r="I471" s="136" t="str">
        <f t="shared" si="23"/>
        <v/>
      </c>
    </row>
    <row r="472" spans="1:9" hidden="1" x14ac:dyDescent="0.25">
      <c r="A472" s="114" t="s">
        <v>780</v>
      </c>
      <c r="B472" s="115" t="s">
        <v>2069</v>
      </c>
      <c r="C472" s="116" t="s">
        <v>2070</v>
      </c>
      <c r="D472" s="116">
        <v>0</v>
      </c>
      <c r="E472" s="135">
        <f ca="1">OFFSET(INDEX(Composições!A:J,MATCH(Orçamentária!A472,Composições!A:A,0),8),2,0)</f>
        <v>19.323</v>
      </c>
      <c r="F472" s="136">
        <f t="shared" ca="1" si="21"/>
        <v>0</v>
      </c>
      <c r="G472" s="137" t="e">
        <f>IF(A472&lt;&gt;"",IF(AND(#REF!="Padrão",$H$4=#REF!),BDI!$B$17,IF(AND(#REF!="Padrão",$H$4=#REF!),BDI!#REF!,IF(AND(#REF!="Diferenciado",$H$4=#REF!),BDI!$E$17,IF(AND(#REF!="Diferenciado",$H$4=#REF!),BDI!#REF!,IF(#REF!="ZERO",0))))),"")</f>
        <v>#REF!</v>
      </c>
      <c r="H472" s="138" t="e">
        <f t="shared" ca="1" si="22"/>
        <v>#REF!</v>
      </c>
      <c r="I472" s="136" t="e">
        <f t="shared" ca="1" si="23"/>
        <v>#REF!</v>
      </c>
    </row>
    <row r="473" spans="1:9" hidden="1" x14ac:dyDescent="0.25">
      <c r="A473" s="114" t="s">
        <v>2071</v>
      </c>
      <c r="B473" s="115" t="s">
        <v>2072</v>
      </c>
      <c r="C473" s="116" t="s">
        <v>42</v>
      </c>
      <c r="D473" s="116">
        <v>0</v>
      </c>
      <c r="E473" s="135">
        <f ca="1">OFFSET(INDEX(Composições!A:J,MATCH(Orçamentária!A473,Composições!A:A,0),8),2,0)</f>
        <v>25.478999999999999</v>
      </c>
      <c r="F473" s="136">
        <f t="shared" ca="1" si="21"/>
        <v>0</v>
      </c>
      <c r="G473" s="137" t="e">
        <f>IF(A473&lt;&gt;"",IF(AND(#REF!="Padrão",$H$4=#REF!),BDI!$B$17,IF(AND(#REF!="Padrão",$H$4=#REF!),BDI!#REF!,IF(AND(#REF!="Diferenciado",$H$4=#REF!),BDI!$E$17,IF(AND(#REF!="Diferenciado",$H$4=#REF!),BDI!#REF!,IF(#REF!="ZERO",0))))),"")</f>
        <v>#REF!</v>
      </c>
      <c r="H473" s="138" t="e">
        <f t="shared" ca="1" si="22"/>
        <v>#REF!</v>
      </c>
      <c r="I473" s="136" t="e">
        <f t="shared" ca="1" si="23"/>
        <v>#REF!</v>
      </c>
    </row>
    <row r="474" spans="1:9" hidden="1" x14ac:dyDescent="0.25">
      <c r="A474" s="114" t="s">
        <v>2073</v>
      </c>
      <c r="B474" s="115" t="s">
        <v>2074</v>
      </c>
      <c r="C474" s="116" t="s">
        <v>42</v>
      </c>
      <c r="D474" s="116">
        <v>0</v>
      </c>
      <c r="E474" s="135" t="s">
        <v>558</v>
      </c>
      <c r="F474" s="136" t="str">
        <f t="shared" si="21"/>
        <v/>
      </c>
      <c r="G474" s="137" t="e">
        <f>IF(A474&lt;&gt;"",IF(AND(#REF!="Padrão",$H$4=#REF!),BDI!$B$17,IF(AND(#REF!="Padrão",$H$4=#REF!),BDI!#REF!,IF(AND(#REF!="Diferenciado",$H$4=#REF!),BDI!$E$17,IF(AND(#REF!="Diferenciado",$H$4=#REF!),BDI!#REF!,IF(#REF!="ZERO",0))))),"")</f>
        <v>#REF!</v>
      </c>
      <c r="H474" s="138" t="str">
        <f t="shared" si="22"/>
        <v/>
      </c>
      <c r="I474" s="136" t="str">
        <f t="shared" si="23"/>
        <v/>
      </c>
    </row>
    <row r="475" spans="1:9" hidden="1" x14ac:dyDescent="0.25">
      <c r="A475" s="114" t="s">
        <v>2075</v>
      </c>
      <c r="B475" s="115" t="s">
        <v>2076</v>
      </c>
      <c r="C475" s="116" t="s">
        <v>95</v>
      </c>
      <c r="D475" s="116">
        <v>0</v>
      </c>
      <c r="E475" s="135">
        <f ca="1">OFFSET(INDEX(Composições!A:J,MATCH(Orçamentária!A475,Composições!A:A,0),8),2,0)</f>
        <v>42.540999999999997</v>
      </c>
      <c r="F475" s="136">
        <f t="shared" ca="1" si="21"/>
        <v>0</v>
      </c>
      <c r="G475" s="137" t="e">
        <f>IF(A475&lt;&gt;"",IF(AND(#REF!="Padrão",$H$4=#REF!),BDI!$B$17,IF(AND(#REF!="Padrão",$H$4=#REF!),BDI!#REF!,IF(AND(#REF!="Diferenciado",$H$4=#REF!),BDI!$E$17,IF(AND(#REF!="Diferenciado",$H$4=#REF!),BDI!#REF!,IF(#REF!="ZERO",0))))),"")</f>
        <v>#REF!</v>
      </c>
      <c r="H475" s="138" t="e">
        <f t="shared" ca="1" si="22"/>
        <v>#REF!</v>
      </c>
      <c r="I475" s="136" t="e">
        <f t="shared" ca="1" si="23"/>
        <v>#REF!</v>
      </c>
    </row>
    <row r="476" spans="1:9" hidden="1" x14ac:dyDescent="0.25">
      <c r="A476" s="114" t="s">
        <v>2077</v>
      </c>
      <c r="B476" s="115" t="s">
        <v>2078</v>
      </c>
      <c r="C476" s="116" t="s">
        <v>95</v>
      </c>
      <c r="D476" s="116">
        <v>0</v>
      </c>
      <c r="E476" s="135">
        <f ca="1">OFFSET(INDEX(Composições!A:J,MATCH(Orçamentária!A476,Composições!A:A,0),8),2,0)</f>
        <v>42.540999999999997</v>
      </c>
      <c r="F476" s="136">
        <f t="shared" ca="1" si="21"/>
        <v>0</v>
      </c>
      <c r="G476" s="137" t="e">
        <f>IF(A476&lt;&gt;"",IF(AND(#REF!="Padrão",$H$4=#REF!),BDI!$B$17,IF(AND(#REF!="Padrão",$H$4=#REF!),BDI!#REF!,IF(AND(#REF!="Diferenciado",$H$4=#REF!),BDI!$E$17,IF(AND(#REF!="Diferenciado",$H$4=#REF!),BDI!#REF!,IF(#REF!="ZERO",0))))),"")</f>
        <v>#REF!</v>
      </c>
      <c r="H476" s="138" t="e">
        <f t="shared" ca="1" si="22"/>
        <v>#REF!</v>
      </c>
      <c r="I476" s="136" t="e">
        <f t="shared" ca="1" si="23"/>
        <v>#REF!</v>
      </c>
    </row>
    <row r="477" spans="1:9" hidden="1" x14ac:dyDescent="0.25">
      <c r="A477" s="114" t="s">
        <v>2079</v>
      </c>
      <c r="B477" s="115" t="s">
        <v>2080</v>
      </c>
      <c r="C477" s="116" t="s">
        <v>95</v>
      </c>
      <c r="D477" s="116">
        <v>0</v>
      </c>
      <c r="E477" s="135">
        <f ca="1">OFFSET(INDEX(Composições!A:J,MATCH(Orçamentária!A477,Composições!A:A,0),8),2,0)</f>
        <v>42.540999999999997</v>
      </c>
      <c r="F477" s="136">
        <f t="shared" ca="1" si="21"/>
        <v>0</v>
      </c>
      <c r="G477" s="137" t="e">
        <f>IF(A477&lt;&gt;"",IF(AND(#REF!="Padrão",$H$4=#REF!),BDI!$B$17,IF(AND(#REF!="Padrão",$H$4=#REF!),BDI!#REF!,IF(AND(#REF!="Diferenciado",$H$4=#REF!),BDI!$E$17,IF(AND(#REF!="Diferenciado",$H$4=#REF!),BDI!#REF!,IF(#REF!="ZERO",0))))),"")</f>
        <v>#REF!</v>
      </c>
      <c r="H477" s="138" t="e">
        <f t="shared" ca="1" si="22"/>
        <v>#REF!</v>
      </c>
      <c r="I477" s="136" t="e">
        <f t="shared" ca="1" si="23"/>
        <v>#REF!</v>
      </c>
    </row>
    <row r="478" spans="1:9" hidden="1" x14ac:dyDescent="0.25">
      <c r="A478" s="114" t="s">
        <v>2081</v>
      </c>
      <c r="B478" s="115" t="s">
        <v>3839</v>
      </c>
      <c r="C478" s="116" t="s">
        <v>95</v>
      </c>
      <c r="D478" s="116">
        <v>0</v>
      </c>
      <c r="E478" s="135" t="s">
        <v>558</v>
      </c>
      <c r="F478" s="136" t="str">
        <f t="shared" si="21"/>
        <v/>
      </c>
      <c r="G478" s="137" t="e">
        <f>IF(A478&lt;&gt;"",IF(AND(#REF!="Padrão",$H$4=#REF!),BDI!$B$17,IF(AND(#REF!="Padrão",$H$4=#REF!),BDI!#REF!,IF(AND(#REF!="Diferenciado",$H$4=#REF!),BDI!$E$17,IF(AND(#REF!="Diferenciado",$H$4=#REF!),BDI!#REF!,IF(#REF!="ZERO",0))))),"")</f>
        <v>#REF!</v>
      </c>
      <c r="H478" s="138" t="str">
        <f t="shared" si="22"/>
        <v/>
      </c>
      <c r="I478" s="136" t="str">
        <f t="shared" si="23"/>
        <v/>
      </c>
    </row>
    <row r="479" spans="1:9" hidden="1" x14ac:dyDescent="0.25">
      <c r="A479" s="114" t="s">
        <v>2082</v>
      </c>
      <c r="B479" s="115" t="s">
        <v>2083</v>
      </c>
      <c r="C479" s="116" t="s">
        <v>95</v>
      </c>
      <c r="D479" s="116">
        <v>0</v>
      </c>
      <c r="E479" s="135" t="s">
        <v>558</v>
      </c>
      <c r="F479" s="136" t="str">
        <f t="shared" si="21"/>
        <v/>
      </c>
      <c r="G479" s="137" t="e">
        <f>IF(A479&lt;&gt;"",IF(AND(#REF!="Padrão",$H$4=#REF!),BDI!$B$17,IF(AND(#REF!="Padrão",$H$4=#REF!),BDI!#REF!,IF(AND(#REF!="Diferenciado",$H$4=#REF!),BDI!$E$17,IF(AND(#REF!="Diferenciado",$H$4=#REF!),BDI!#REF!,IF(#REF!="ZERO",0))))),"")</f>
        <v>#REF!</v>
      </c>
      <c r="H479" s="138" t="str">
        <f t="shared" si="22"/>
        <v/>
      </c>
      <c r="I479" s="136" t="str">
        <f t="shared" si="23"/>
        <v/>
      </c>
    </row>
    <row r="480" spans="1:9" hidden="1" x14ac:dyDescent="0.25">
      <c r="A480" s="114" t="s">
        <v>2084</v>
      </c>
      <c r="B480" s="115" t="s">
        <v>2085</v>
      </c>
      <c r="C480" s="116" t="s">
        <v>95</v>
      </c>
      <c r="D480" s="116">
        <v>0</v>
      </c>
      <c r="E480" s="135" t="s">
        <v>558</v>
      </c>
      <c r="F480" s="136" t="str">
        <f t="shared" si="21"/>
        <v/>
      </c>
      <c r="G480" s="137" t="e">
        <f>IF(A480&lt;&gt;"",IF(AND(#REF!="Padrão",$H$4=#REF!),BDI!$B$17,IF(AND(#REF!="Padrão",$H$4=#REF!),BDI!#REF!,IF(AND(#REF!="Diferenciado",$H$4=#REF!),BDI!$E$17,IF(AND(#REF!="Diferenciado",$H$4=#REF!),BDI!#REF!,IF(#REF!="ZERO",0))))),"")</f>
        <v>#REF!</v>
      </c>
      <c r="H480" s="138" t="str">
        <f t="shared" si="22"/>
        <v/>
      </c>
      <c r="I480" s="136" t="str">
        <f t="shared" si="23"/>
        <v/>
      </c>
    </row>
    <row r="481" spans="1:9" hidden="1" x14ac:dyDescent="0.25">
      <c r="A481" s="114" t="s">
        <v>2086</v>
      </c>
      <c r="B481" s="115" t="s">
        <v>2087</v>
      </c>
      <c r="C481" s="116" t="s">
        <v>95</v>
      </c>
      <c r="D481" s="116">
        <v>0</v>
      </c>
      <c r="E481" s="135" t="s">
        <v>558</v>
      </c>
      <c r="F481" s="136" t="str">
        <f t="shared" si="21"/>
        <v/>
      </c>
      <c r="G481" s="137" t="e">
        <f>IF(A481&lt;&gt;"",IF(AND(#REF!="Padrão",$H$4=#REF!),BDI!$B$17,IF(AND(#REF!="Padrão",$H$4=#REF!),BDI!#REF!,IF(AND(#REF!="Diferenciado",$H$4=#REF!),BDI!$E$17,IF(AND(#REF!="Diferenciado",$H$4=#REF!),BDI!#REF!,IF(#REF!="ZERO",0))))),"")</f>
        <v>#REF!</v>
      </c>
      <c r="H481" s="138" t="str">
        <f t="shared" si="22"/>
        <v/>
      </c>
      <c r="I481" s="136" t="str">
        <f t="shared" si="23"/>
        <v/>
      </c>
    </row>
    <row r="482" spans="1:9" hidden="1" x14ac:dyDescent="0.25">
      <c r="A482" s="114" t="s">
        <v>2088</v>
      </c>
      <c r="B482" s="115" t="s">
        <v>2089</v>
      </c>
      <c r="C482" s="116" t="s">
        <v>95</v>
      </c>
      <c r="D482" s="116">
        <v>0</v>
      </c>
      <c r="E482" s="135" t="s">
        <v>558</v>
      </c>
      <c r="F482" s="136" t="str">
        <f t="shared" si="21"/>
        <v/>
      </c>
      <c r="G482" s="137" t="e">
        <f>IF(A482&lt;&gt;"",IF(AND(#REF!="Padrão",$H$4=#REF!),BDI!$B$17,IF(AND(#REF!="Padrão",$H$4=#REF!),BDI!#REF!,IF(AND(#REF!="Diferenciado",$H$4=#REF!),BDI!$E$17,IF(AND(#REF!="Diferenciado",$H$4=#REF!),BDI!#REF!,IF(#REF!="ZERO",0))))),"")</f>
        <v>#REF!</v>
      </c>
      <c r="H482" s="138" t="str">
        <f t="shared" si="22"/>
        <v/>
      </c>
      <c r="I482" s="136" t="str">
        <f t="shared" si="23"/>
        <v/>
      </c>
    </row>
    <row r="483" spans="1:9" hidden="1" x14ac:dyDescent="0.25">
      <c r="A483" s="114" t="s">
        <v>2090</v>
      </c>
      <c r="B483" s="115" t="s">
        <v>2091</v>
      </c>
      <c r="C483" s="116" t="s">
        <v>95</v>
      </c>
      <c r="D483" s="116">
        <v>0</v>
      </c>
      <c r="E483" s="135" t="s">
        <v>558</v>
      </c>
      <c r="F483" s="136" t="str">
        <f t="shared" si="21"/>
        <v/>
      </c>
      <c r="G483" s="137" t="e">
        <f>IF(A483&lt;&gt;"",IF(AND(#REF!="Padrão",$H$4=#REF!),BDI!$B$17,IF(AND(#REF!="Padrão",$H$4=#REF!),BDI!#REF!,IF(AND(#REF!="Diferenciado",$H$4=#REF!),BDI!$E$17,IF(AND(#REF!="Diferenciado",$H$4=#REF!),BDI!#REF!,IF(#REF!="ZERO",0))))),"")</f>
        <v>#REF!</v>
      </c>
      <c r="H483" s="138" t="str">
        <f t="shared" si="22"/>
        <v/>
      </c>
      <c r="I483" s="136" t="str">
        <f t="shared" si="23"/>
        <v/>
      </c>
    </row>
    <row r="484" spans="1:9" hidden="1" x14ac:dyDescent="0.25">
      <c r="A484" s="114" t="s">
        <v>2092</v>
      </c>
      <c r="B484" s="115" t="s">
        <v>2093</v>
      </c>
      <c r="C484" s="116" t="s">
        <v>95</v>
      </c>
      <c r="D484" s="116">
        <v>0</v>
      </c>
      <c r="E484" s="135" t="s">
        <v>558</v>
      </c>
      <c r="F484" s="136" t="str">
        <f t="shared" si="21"/>
        <v/>
      </c>
      <c r="G484" s="137" t="e">
        <f>IF(A484&lt;&gt;"",IF(AND(#REF!="Padrão",$H$4=#REF!),BDI!$B$17,IF(AND(#REF!="Padrão",$H$4=#REF!),BDI!#REF!,IF(AND(#REF!="Diferenciado",$H$4=#REF!),BDI!$E$17,IF(AND(#REF!="Diferenciado",$H$4=#REF!),BDI!#REF!,IF(#REF!="ZERO",0))))),"")</f>
        <v>#REF!</v>
      </c>
      <c r="H484" s="138" t="str">
        <f t="shared" si="22"/>
        <v/>
      </c>
      <c r="I484" s="136" t="str">
        <f t="shared" si="23"/>
        <v/>
      </c>
    </row>
    <row r="485" spans="1:9" hidden="1" x14ac:dyDescent="0.25">
      <c r="A485" s="114" t="s">
        <v>2094</v>
      </c>
      <c r="B485" s="115" t="s">
        <v>2095</v>
      </c>
      <c r="C485" s="116" t="s">
        <v>95</v>
      </c>
      <c r="D485" s="116">
        <v>0</v>
      </c>
      <c r="E485" s="135" t="s">
        <v>558</v>
      </c>
      <c r="F485" s="136" t="str">
        <f t="shared" si="21"/>
        <v/>
      </c>
      <c r="G485" s="137" t="e">
        <f>IF(A485&lt;&gt;"",IF(AND(#REF!="Padrão",$H$4=#REF!),BDI!$B$17,IF(AND(#REF!="Padrão",$H$4=#REF!),BDI!#REF!,IF(AND(#REF!="Diferenciado",$H$4=#REF!),BDI!$E$17,IF(AND(#REF!="Diferenciado",$H$4=#REF!),BDI!#REF!,IF(#REF!="ZERO",0))))),"")</f>
        <v>#REF!</v>
      </c>
      <c r="H485" s="138" t="str">
        <f t="shared" si="22"/>
        <v/>
      </c>
      <c r="I485" s="136" t="str">
        <f t="shared" si="23"/>
        <v/>
      </c>
    </row>
    <row r="486" spans="1:9" hidden="1" x14ac:dyDescent="0.25">
      <c r="A486" s="114" t="s">
        <v>2096</v>
      </c>
      <c r="B486" s="115" t="s">
        <v>3836</v>
      </c>
      <c r="C486" s="116" t="s">
        <v>95</v>
      </c>
      <c r="D486" s="116">
        <v>0</v>
      </c>
      <c r="E486" s="135" t="s">
        <v>558</v>
      </c>
      <c r="F486" s="136" t="str">
        <f t="shared" si="21"/>
        <v/>
      </c>
      <c r="G486" s="137" t="e">
        <f>IF(A486&lt;&gt;"",IF(AND(#REF!="Padrão",$H$4=#REF!),BDI!$B$17,IF(AND(#REF!="Padrão",$H$4=#REF!),BDI!#REF!,IF(AND(#REF!="Diferenciado",$H$4=#REF!),BDI!$E$17,IF(AND(#REF!="Diferenciado",$H$4=#REF!),BDI!#REF!,IF(#REF!="ZERO",0))))),"")</f>
        <v>#REF!</v>
      </c>
      <c r="H486" s="138" t="str">
        <f t="shared" si="22"/>
        <v/>
      </c>
      <c r="I486" s="136" t="str">
        <f t="shared" si="23"/>
        <v/>
      </c>
    </row>
    <row r="487" spans="1:9" hidden="1" x14ac:dyDescent="0.25">
      <c r="A487" s="114" t="s">
        <v>2097</v>
      </c>
      <c r="B487" s="115" t="s">
        <v>2098</v>
      </c>
      <c r="C487" s="116" t="s">
        <v>95</v>
      </c>
      <c r="D487" s="116">
        <v>0</v>
      </c>
      <c r="E487" s="135" t="s">
        <v>558</v>
      </c>
      <c r="F487" s="136" t="str">
        <f t="shared" si="21"/>
        <v/>
      </c>
      <c r="G487" s="137" t="e">
        <f>IF(A487&lt;&gt;"",IF(AND(#REF!="Padrão",$H$4=#REF!),BDI!$B$17,IF(AND(#REF!="Padrão",$H$4=#REF!),BDI!#REF!,IF(AND(#REF!="Diferenciado",$H$4=#REF!),BDI!$E$17,IF(AND(#REF!="Diferenciado",$H$4=#REF!),BDI!#REF!,IF(#REF!="ZERO",0))))),"")</f>
        <v>#REF!</v>
      </c>
      <c r="H487" s="138" t="str">
        <f t="shared" si="22"/>
        <v/>
      </c>
      <c r="I487" s="136" t="str">
        <f t="shared" si="23"/>
        <v/>
      </c>
    </row>
    <row r="488" spans="1:9" hidden="1" x14ac:dyDescent="0.25">
      <c r="A488" s="114" t="s">
        <v>2099</v>
      </c>
      <c r="B488" s="115" t="s">
        <v>2100</v>
      </c>
      <c r="C488" s="116" t="s">
        <v>95</v>
      </c>
      <c r="D488" s="116">
        <v>0</v>
      </c>
      <c r="E488" s="135" t="s">
        <v>558</v>
      </c>
      <c r="F488" s="136" t="str">
        <f t="shared" si="21"/>
        <v/>
      </c>
      <c r="G488" s="137" t="e">
        <f>IF(A488&lt;&gt;"",IF(AND(#REF!="Padrão",$H$4=#REF!),BDI!$B$17,IF(AND(#REF!="Padrão",$H$4=#REF!),BDI!#REF!,IF(AND(#REF!="Diferenciado",$H$4=#REF!),BDI!$E$17,IF(AND(#REF!="Diferenciado",$H$4=#REF!),BDI!#REF!,IF(#REF!="ZERO",0))))),"")</f>
        <v>#REF!</v>
      </c>
      <c r="H488" s="138" t="str">
        <f t="shared" si="22"/>
        <v/>
      </c>
      <c r="I488" s="136" t="str">
        <f t="shared" si="23"/>
        <v/>
      </c>
    </row>
    <row r="489" spans="1:9" hidden="1" x14ac:dyDescent="0.25">
      <c r="A489" s="114" t="s">
        <v>2101</v>
      </c>
      <c r="B489" s="115" t="s">
        <v>2102</v>
      </c>
      <c r="C489" s="116" t="s">
        <v>95</v>
      </c>
      <c r="D489" s="116">
        <v>0</v>
      </c>
      <c r="E489" s="135" t="s">
        <v>558</v>
      </c>
      <c r="F489" s="136" t="str">
        <f t="shared" si="21"/>
        <v/>
      </c>
      <c r="G489" s="137" t="e">
        <f>IF(A489&lt;&gt;"",IF(AND(#REF!="Padrão",$H$4=#REF!),BDI!$B$17,IF(AND(#REF!="Padrão",$H$4=#REF!),BDI!#REF!,IF(AND(#REF!="Diferenciado",$H$4=#REF!),BDI!$E$17,IF(AND(#REF!="Diferenciado",$H$4=#REF!),BDI!#REF!,IF(#REF!="ZERO",0))))),"")</f>
        <v>#REF!</v>
      </c>
      <c r="H489" s="138" t="str">
        <f t="shared" si="22"/>
        <v/>
      </c>
      <c r="I489" s="136" t="str">
        <f t="shared" si="23"/>
        <v/>
      </c>
    </row>
    <row r="490" spans="1:9" hidden="1" x14ac:dyDescent="0.25">
      <c r="A490" s="114" t="s">
        <v>2103</v>
      </c>
      <c r="B490" s="115" t="s">
        <v>2104</v>
      </c>
      <c r="C490" s="116" t="s">
        <v>95</v>
      </c>
      <c r="D490" s="116">
        <v>0</v>
      </c>
      <c r="E490" s="135" t="s">
        <v>558</v>
      </c>
      <c r="F490" s="136" t="str">
        <f t="shared" si="21"/>
        <v/>
      </c>
      <c r="G490" s="137" t="e">
        <f>IF(A490&lt;&gt;"",IF(AND(#REF!="Padrão",$H$4=#REF!),BDI!$B$17,IF(AND(#REF!="Padrão",$H$4=#REF!),BDI!#REF!,IF(AND(#REF!="Diferenciado",$H$4=#REF!),BDI!$E$17,IF(AND(#REF!="Diferenciado",$H$4=#REF!),BDI!#REF!,IF(#REF!="ZERO",0))))),"")</f>
        <v>#REF!</v>
      </c>
      <c r="H490" s="138" t="str">
        <f t="shared" si="22"/>
        <v/>
      </c>
      <c r="I490" s="136" t="str">
        <f t="shared" si="23"/>
        <v/>
      </c>
    </row>
    <row r="491" spans="1:9" hidden="1" x14ac:dyDescent="0.25">
      <c r="A491" s="114" t="s">
        <v>2105</v>
      </c>
      <c r="B491" s="115" t="s">
        <v>2106</v>
      </c>
      <c r="C491" s="116" t="s">
        <v>110</v>
      </c>
      <c r="D491" s="116">
        <v>0</v>
      </c>
      <c r="E491" s="135" t="s">
        <v>558</v>
      </c>
      <c r="F491" s="136" t="str">
        <f t="shared" si="21"/>
        <v/>
      </c>
      <c r="G491" s="137" t="e">
        <f>IF(A491&lt;&gt;"",IF(AND(#REF!="Padrão",$H$4=#REF!),BDI!$B$17,IF(AND(#REF!="Padrão",$H$4=#REF!),BDI!#REF!,IF(AND(#REF!="Diferenciado",$H$4=#REF!),BDI!$E$17,IF(AND(#REF!="Diferenciado",$H$4=#REF!),BDI!#REF!,IF(#REF!="ZERO",0))))),"")</f>
        <v>#REF!</v>
      </c>
      <c r="H491" s="138" t="str">
        <f t="shared" si="22"/>
        <v/>
      </c>
      <c r="I491" s="136" t="str">
        <f t="shared" si="23"/>
        <v/>
      </c>
    </row>
    <row r="492" spans="1:9" hidden="1" x14ac:dyDescent="0.25">
      <c r="A492" s="114" t="s">
        <v>2107</v>
      </c>
      <c r="B492" s="115" t="s">
        <v>2108</v>
      </c>
      <c r="C492" s="116" t="s">
        <v>110</v>
      </c>
      <c r="D492" s="116">
        <v>0</v>
      </c>
      <c r="E492" s="135" t="s">
        <v>558</v>
      </c>
      <c r="F492" s="136" t="str">
        <f t="shared" si="21"/>
        <v/>
      </c>
      <c r="G492" s="137" t="e">
        <f>IF(A492&lt;&gt;"",IF(AND(#REF!="Padrão",$H$4=#REF!),BDI!$B$17,IF(AND(#REF!="Padrão",$H$4=#REF!),BDI!#REF!,IF(AND(#REF!="Diferenciado",$H$4=#REF!),BDI!$E$17,IF(AND(#REF!="Diferenciado",$H$4=#REF!),BDI!#REF!,IF(#REF!="ZERO",0))))),"")</f>
        <v>#REF!</v>
      </c>
      <c r="H492" s="138" t="str">
        <f t="shared" si="22"/>
        <v/>
      </c>
      <c r="I492" s="136" t="str">
        <f t="shared" si="23"/>
        <v/>
      </c>
    </row>
    <row r="493" spans="1:9" hidden="1" x14ac:dyDescent="0.25">
      <c r="A493" s="114" t="s">
        <v>2109</v>
      </c>
      <c r="B493" s="115" t="s">
        <v>2110</v>
      </c>
      <c r="C493" s="116" t="s">
        <v>110</v>
      </c>
      <c r="D493" s="116">
        <v>0</v>
      </c>
      <c r="E493" s="135" t="s">
        <v>558</v>
      </c>
      <c r="F493" s="136" t="str">
        <f t="shared" si="21"/>
        <v/>
      </c>
      <c r="G493" s="137" t="e">
        <f>IF(A493&lt;&gt;"",IF(AND(#REF!="Padrão",$H$4=#REF!),BDI!$B$17,IF(AND(#REF!="Padrão",$H$4=#REF!),BDI!#REF!,IF(AND(#REF!="Diferenciado",$H$4=#REF!),BDI!$E$17,IF(AND(#REF!="Diferenciado",$H$4=#REF!),BDI!#REF!,IF(#REF!="ZERO",0))))),"")</f>
        <v>#REF!</v>
      </c>
      <c r="H493" s="138" t="str">
        <f t="shared" si="22"/>
        <v/>
      </c>
      <c r="I493" s="136" t="str">
        <f t="shared" si="23"/>
        <v/>
      </c>
    </row>
    <row r="494" spans="1:9" hidden="1" x14ac:dyDescent="0.25">
      <c r="A494" s="114" t="s">
        <v>2111</v>
      </c>
      <c r="B494" s="115" t="s">
        <v>2112</v>
      </c>
      <c r="C494" s="116" t="s">
        <v>110</v>
      </c>
      <c r="D494" s="116">
        <v>0</v>
      </c>
      <c r="E494" s="135">
        <f ca="1">OFFSET(INDEX(Composições!A:J,MATCH(Orçamentária!A494,Composições!A:A,0),8),2,0)</f>
        <v>1523.8</v>
      </c>
      <c r="F494" s="136">
        <f t="shared" ca="1" si="21"/>
        <v>0</v>
      </c>
      <c r="G494" s="137" t="e">
        <f>IF(A494&lt;&gt;"",IF(AND(#REF!="Padrão",$H$4=#REF!),BDI!$B$17,IF(AND(#REF!="Padrão",$H$4=#REF!),BDI!#REF!,IF(AND(#REF!="Diferenciado",$H$4=#REF!),BDI!$E$17,IF(AND(#REF!="Diferenciado",$H$4=#REF!),BDI!#REF!,IF(#REF!="ZERO",0))))),"")</f>
        <v>#REF!</v>
      </c>
      <c r="H494" s="138" t="e">
        <f t="shared" ca="1" si="22"/>
        <v>#REF!</v>
      </c>
      <c r="I494" s="136" t="e">
        <f t="shared" ca="1" si="23"/>
        <v>#REF!</v>
      </c>
    </row>
    <row r="495" spans="1:9" hidden="1" x14ac:dyDescent="0.25">
      <c r="A495" s="114" t="s">
        <v>2113</v>
      </c>
      <c r="B495" s="115" t="s">
        <v>2114</v>
      </c>
      <c r="C495" s="116" t="s">
        <v>93</v>
      </c>
      <c r="D495" s="116">
        <v>0</v>
      </c>
      <c r="E495" s="135">
        <f ca="1">OFFSET(INDEX(Composições!A:J,MATCH(Orçamentária!A495,Composições!A:A,0),8),2,0)</f>
        <v>3.496</v>
      </c>
      <c r="F495" s="136">
        <f t="shared" ca="1" si="21"/>
        <v>0</v>
      </c>
      <c r="G495" s="137" t="e">
        <f>IF(A495&lt;&gt;"",IF(AND(#REF!="Padrão",$H$4=#REF!),BDI!$B$17,IF(AND(#REF!="Padrão",$H$4=#REF!),BDI!#REF!,IF(AND(#REF!="Diferenciado",$H$4=#REF!),BDI!$E$17,IF(AND(#REF!="Diferenciado",$H$4=#REF!),BDI!#REF!,IF(#REF!="ZERO",0))))),"")</f>
        <v>#REF!</v>
      </c>
      <c r="H495" s="138" t="e">
        <f t="shared" ca="1" si="22"/>
        <v>#REF!</v>
      </c>
      <c r="I495" s="136" t="e">
        <f t="shared" ca="1" si="23"/>
        <v>#REF!</v>
      </c>
    </row>
    <row r="496" spans="1:9" hidden="1" x14ac:dyDescent="0.25">
      <c r="A496" s="114" t="s">
        <v>2115</v>
      </c>
      <c r="B496" s="115" t="s">
        <v>2116</v>
      </c>
      <c r="C496" s="116" t="s">
        <v>93</v>
      </c>
      <c r="D496" s="116">
        <v>0</v>
      </c>
      <c r="E496" s="135">
        <f ca="1">OFFSET(INDEX(Composições!A:J,MATCH(Orçamentária!A496,Composições!A:A,0),8),2,0)</f>
        <v>4.8449999999999998</v>
      </c>
      <c r="F496" s="136">
        <f t="shared" ca="1" si="21"/>
        <v>0</v>
      </c>
      <c r="G496" s="137" t="e">
        <f>IF(A496&lt;&gt;"",IF(AND(#REF!="Padrão",$H$4=#REF!),BDI!$B$17,IF(AND(#REF!="Padrão",$H$4=#REF!),BDI!#REF!,IF(AND(#REF!="Diferenciado",$H$4=#REF!),BDI!$E$17,IF(AND(#REF!="Diferenciado",$H$4=#REF!),BDI!#REF!,IF(#REF!="ZERO",0))))),"")</f>
        <v>#REF!</v>
      </c>
      <c r="H496" s="138" t="e">
        <f t="shared" ca="1" si="22"/>
        <v>#REF!</v>
      </c>
      <c r="I496" s="136" t="e">
        <f t="shared" ca="1" si="23"/>
        <v>#REF!</v>
      </c>
    </row>
    <row r="497" spans="1:9" hidden="1" x14ac:dyDescent="0.25">
      <c r="A497" s="114" t="s">
        <v>2117</v>
      </c>
      <c r="B497" s="115" t="s">
        <v>2118</v>
      </c>
      <c r="C497" s="116" t="s">
        <v>93</v>
      </c>
      <c r="D497" s="116">
        <v>0</v>
      </c>
      <c r="E497" s="135" t="s">
        <v>558</v>
      </c>
      <c r="F497" s="136" t="str">
        <f t="shared" si="21"/>
        <v/>
      </c>
      <c r="G497" s="137" t="e">
        <f>IF(A497&lt;&gt;"",IF(AND(#REF!="Padrão",$H$4=#REF!),BDI!$B$17,IF(AND(#REF!="Padrão",$H$4=#REF!),BDI!#REF!,IF(AND(#REF!="Diferenciado",$H$4=#REF!),BDI!$E$17,IF(AND(#REF!="Diferenciado",$H$4=#REF!),BDI!#REF!,IF(#REF!="ZERO",0))))),"")</f>
        <v>#REF!</v>
      </c>
      <c r="H497" s="138" t="str">
        <f t="shared" si="22"/>
        <v/>
      </c>
      <c r="I497" s="136" t="str">
        <f t="shared" si="23"/>
        <v/>
      </c>
    </row>
    <row r="498" spans="1:9" hidden="1" x14ac:dyDescent="0.25">
      <c r="A498" s="114" t="s">
        <v>2119</v>
      </c>
      <c r="B498" s="115" t="s">
        <v>2120</v>
      </c>
      <c r="C498" s="116" t="s">
        <v>93</v>
      </c>
      <c r="D498" s="116">
        <v>0</v>
      </c>
      <c r="E498" s="135" t="s">
        <v>558</v>
      </c>
      <c r="F498" s="136" t="str">
        <f t="shared" si="21"/>
        <v/>
      </c>
      <c r="G498" s="137" t="e">
        <f>IF(A498&lt;&gt;"",IF(AND(#REF!="Padrão",$H$4=#REF!),BDI!$B$17,IF(AND(#REF!="Padrão",$H$4=#REF!),BDI!#REF!,IF(AND(#REF!="Diferenciado",$H$4=#REF!),BDI!$E$17,IF(AND(#REF!="Diferenciado",$H$4=#REF!),BDI!#REF!,IF(#REF!="ZERO",0))))),"")</f>
        <v>#REF!</v>
      </c>
      <c r="H498" s="138" t="str">
        <f t="shared" si="22"/>
        <v/>
      </c>
      <c r="I498" s="136" t="str">
        <f t="shared" si="23"/>
        <v/>
      </c>
    </row>
    <row r="499" spans="1:9" hidden="1" x14ac:dyDescent="0.25">
      <c r="A499" s="114" t="s">
        <v>2121</v>
      </c>
      <c r="B499" s="115" t="s">
        <v>2122</v>
      </c>
      <c r="C499" s="116" t="s">
        <v>95</v>
      </c>
      <c r="D499" s="116">
        <v>0</v>
      </c>
      <c r="E499" s="135">
        <f ca="1">OFFSET(INDEX(Composições!A:J,MATCH(Orçamentária!A499,Composições!A:A,0),8),2,0)</f>
        <v>27.1035</v>
      </c>
      <c r="F499" s="136">
        <f t="shared" ca="1" si="21"/>
        <v>0</v>
      </c>
      <c r="G499" s="137" t="e">
        <f>IF(A499&lt;&gt;"",IF(AND(#REF!="Padrão",$H$4=#REF!),BDI!$B$17,IF(AND(#REF!="Padrão",$H$4=#REF!),BDI!#REF!,IF(AND(#REF!="Diferenciado",$H$4=#REF!),BDI!$E$17,IF(AND(#REF!="Diferenciado",$H$4=#REF!),BDI!#REF!,IF(#REF!="ZERO",0))))),"")</f>
        <v>#REF!</v>
      </c>
      <c r="H499" s="138" t="e">
        <f t="shared" ca="1" si="22"/>
        <v>#REF!</v>
      </c>
      <c r="I499" s="136" t="e">
        <f t="shared" ca="1" si="23"/>
        <v>#REF!</v>
      </c>
    </row>
    <row r="500" spans="1:9" hidden="1" x14ac:dyDescent="0.25">
      <c r="A500" s="114" t="s">
        <v>2123</v>
      </c>
      <c r="B500" s="115" t="s">
        <v>2124</v>
      </c>
      <c r="C500" s="116" t="s">
        <v>95</v>
      </c>
      <c r="D500" s="116">
        <v>0</v>
      </c>
      <c r="E500" s="135" t="s">
        <v>558</v>
      </c>
      <c r="F500" s="136" t="str">
        <f t="shared" si="21"/>
        <v/>
      </c>
      <c r="G500" s="137" t="e">
        <f>IF(A500&lt;&gt;"",IF(AND(#REF!="Padrão",$H$4=#REF!),BDI!$B$17,IF(AND(#REF!="Padrão",$H$4=#REF!),BDI!#REF!,IF(AND(#REF!="Diferenciado",$H$4=#REF!),BDI!$E$17,IF(AND(#REF!="Diferenciado",$H$4=#REF!),BDI!#REF!,IF(#REF!="ZERO",0))))),"")</f>
        <v>#REF!</v>
      </c>
      <c r="H500" s="138" t="str">
        <f t="shared" si="22"/>
        <v/>
      </c>
      <c r="I500" s="136" t="str">
        <f t="shared" si="23"/>
        <v/>
      </c>
    </row>
    <row r="501" spans="1:9" hidden="1" x14ac:dyDescent="0.25">
      <c r="A501" s="114" t="s">
        <v>2125</v>
      </c>
      <c r="B501" s="115" t="s">
        <v>2126</v>
      </c>
      <c r="C501" s="116" t="s">
        <v>95</v>
      </c>
      <c r="D501" s="116">
        <v>0</v>
      </c>
      <c r="E501" s="135">
        <f ca="1">OFFSET(INDEX(Composições!A:J,MATCH(Orçamentária!A501,Composições!A:A,0),8),2,0)</f>
        <v>42.531500000000001</v>
      </c>
      <c r="F501" s="136">
        <f t="shared" ca="1" si="21"/>
        <v>0</v>
      </c>
      <c r="G501" s="137" t="e">
        <f>IF(A501&lt;&gt;"",IF(AND(#REF!="Padrão",$H$4=#REF!),BDI!$B$17,IF(AND(#REF!="Padrão",$H$4=#REF!),BDI!#REF!,IF(AND(#REF!="Diferenciado",$H$4=#REF!),BDI!$E$17,IF(AND(#REF!="Diferenciado",$H$4=#REF!),BDI!#REF!,IF(#REF!="ZERO",0))))),"")</f>
        <v>#REF!</v>
      </c>
      <c r="H501" s="138" t="e">
        <f t="shared" ca="1" si="22"/>
        <v>#REF!</v>
      </c>
      <c r="I501" s="136" t="e">
        <f t="shared" ca="1" si="23"/>
        <v>#REF!</v>
      </c>
    </row>
    <row r="502" spans="1:9" hidden="1" x14ac:dyDescent="0.25">
      <c r="A502" s="114" t="s">
        <v>2127</v>
      </c>
      <c r="B502" s="115" t="s">
        <v>2128</v>
      </c>
      <c r="C502" s="116" t="s">
        <v>95</v>
      </c>
      <c r="D502" s="116">
        <v>0</v>
      </c>
      <c r="E502" s="135" t="s">
        <v>558</v>
      </c>
      <c r="F502" s="136" t="str">
        <f t="shared" si="21"/>
        <v/>
      </c>
      <c r="G502" s="137" t="e">
        <f>IF(A502&lt;&gt;"",IF(AND(#REF!="Padrão",$H$4=#REF!),BDI!$B$17,IF(AND(#REF!="Padrão",$H$4=#REF!),BDI!#REF!,IF(AND(#REF!="Diferenciado",$H$4=#REF!),BDI!$E$17,IF(AND(#REF!="Diferenciado",$H$4=#REF!),BDI!#REF!,IF(#REF!="ZERO",0))))),"")</f>
        <v>#REF!</v>
      </c>
      <c r="H502" s="138" t="str">
        <f t="shared" si="22"/>
        <v/>
      </c>
      <c r="I502" s="136" t="str">
        <f t="shared" si="23"/>
        <v/>
      </c>
    </row>
    <row r="503" spans="1:9" hidden="1" x14ac:dyDescent="0.25">
      <c r="A503" s="114" t="s">
        <v>2129</v>
      </c>
      <c r="B503" s="115" t="s">
        <v>2130</v>
      </c>
      <c r="C503" s="116" t="s">
        <v>95</v>
      </c>
      <c r="D503" s="116">
        <v>0</v>
      </c>
      <c r="E503" s="135">
        <f ca="1">OFFSET(INDEX(Composições!A:J,MATCH(Orçamentária!A503,Composições!A:A,0),8),2,0)</f>
        <v>52.800999999999995</v>
      </c>
      <c r="F503" s="136">
        <f t="shared" ca="1" si="21"/>
        <v>0</v>
      </c>
      <c r="G503" s="137" t="e">
        <f>IF(A503&lt;&gt;"",IF(AND(#REF!="Padrão",$H$4=#REF!),BDI!$B$17,IF(AND(#REF!="Padrão",$H$4=#REF!),BDI!#REF!,IF(AND(#REF!="Diferenciado",$H$4=#REF!),BDI!$E$17,IF(AND(#REF!="Diferenciado",$H$4=#REF!),BDI!#REF!,IF(#REF!="ZERO",0))))),"")</f>
        <v>#REF!</v>
      </c>
      <c r="H503" s="138" t="e">
        <f t="shared" ca="1" si="22"/>
        <v>#REF!</v>
      </c>
      <c r="I503" s="136" t="e">
        <f t="shared" ca="1" si="23"/>
        <v>#REF!</v>
      </c>
    </row>
    <row r="504" spans="1:9" hidden="1" x14ac:dyDescent="0.25">
      <c r="A504" s="114" t="s">
        <v>2131</v>
      </c>
      <c r="B504" s="115" t="s">
        <v>2132</v>
      </c>
      <c r="C504" s="116" t="s">
        <v>95</v>
      </c>
      <c r="D504" s="116">
        <v>0</v>
      </c>
      <c r="E504" s="135" t="s">
        <v>558</v>
      </c>
      <c r="F504" s="136" t="str">
        <f t="shared" si="21"/>
        <v/>
      </c>
      <c r="G504" s="137" t="e">
        <f>IF(A504&lt;&gt;"",IF(AND(#REF!="Padrão",$H$4=#REF!),BDI!$B$17,IF(AND(#REF!="Padrão",$H$4=#REF!),BDI!#REF!,IF(AND(#REF!="Diferenciado",$H$4=#REF!),BDI!$E$17,IF(AND(#REF!="Diferenciado",$H$4=#REF!),BDI!#REF!,IF(#REF!="ZERO",0))))),"")</f>
        <v>#REF!</v>
      </c>
      <c r="H504" s="138" t="str">
        <f t="shared" si="22"/>
        <v/>
      </c>
      <c r="I504" s="136" t="str">
        <f t="shared" si="23"/>
        <v/>
      </c>
    </row>
    <row r="505" spans="1:9" hidden="1" x14ac:dyDescent="0.25">
      <c r="A505" s="114" t="s">
        <v>2133</v>
      </c>
      <c r="B505" s="115" t="s">
        <v>2134</v>
      </c>
      <c r="C505" s="116" t="s">
        <v>93</v>
      </c>
      <c r="D505" s="116">
        <v>0</v>
      </c>
      <c r="E505" s="135">
        <f ca="1">OFFSET(INDEX(Composições!A:J,MATCH(Orçamentária!A505,Composições!A:A,0),8),2,0)</f>
        <v>15.794034999999997</v>
      </c>
      <c r="F505" s="136">
        <f t="shared" ca="1" si="21"/>
        <v>0</v>
      </c>
      <c r="G505" s="137" t="e">
        <f>IF(A505&lt;&gt;"",IF(AND(#REF!="Padrão",$H$4=#REF!),BDI!$B$17,IF(AND(#REF!="Padrão",$H$4=#REF!),BDI!#REF!,IF(AND(#REF!="Diferenciado",$H$4=#REF!),BDI!$E$17,IF(AND(#REF!="Diferenciado",$H$4=#REF!),BDI!#REF!,IF(#REF!="ZERO",0))))),"")</f>
        <v>#REF!</v>
      </c>
      <c r="H505" s="138" t="e">
        <f t="shared" ca="1" si="22"/>
        <v>#REF!</v>
      </c>
      <c r="I505" s="136" t="e">
        <f t="shared" ca="1" si="23"/>
        <v>#REF!</v>
      </c>
    </row>
    <row r="506" spans="1:9" hidden="1" x14ac:dyDescent="0.25">
      <c r="A506" s="114" t="s">
        <v>2135</v>
      </c>
      <c r="B506" s="115" t="s">
        <v>2136</v>
      </c>
      <c r="C506" s="116" t="s">
        <v>93</v>
      </c>
      <c r="D506" s="116">
        <v>0</v>
      </c>
      <c r="E506" s="135">
        <f ca="1">OFFSET(INDEX(Composições!A:J,MATCH(Orçamentária!A506,Composições!A:A,0),8),2,0)</f>
        <v>20.084899999999998</v>
      </c>
      <c r="F506" s="136">
        <f t="shared" ca="1" si="21"/>
        <v>0</v>
      </c>
      <c r="G506" s="137" t="e">
        <f>IF(A506&lt;&gt;"",IF(AND(#REF!="Padrão",$H$4=#REF!),BDI!$B$17,IF(AND(#REF!="Padrão",$H$4=#REF!),BDI!#REF!,IF(AND(#REF!="Diferenciado",$H$4=#REF!),BDI!$E$17,IF(AND(#REF!="Diferenciado",$H$4=#REF!),BDI!#REF!,IF(#REF!="ZERO",0))))),"")</f>
        <v>#REF!</v>
      </c>
      <c r="H506" s="138" t="e">
        <f t="shared" ca="1" si="22"/>
        <v>#REF!</v>
      </c>
      <c r="I506" s="136" t="e">
        <f t="shared" ca="1" si="23"/>
        <v>#REF!</v>
      </c>
    </row>
    <row r="507" spans="1:9" hidden="1" x14ac:dyDescent="0.25">
      <c r="A507" s="114" t="s">
        <v>2137</v>
      </c>
      <c r="B507" s="115" t="s">
        <v>2138</v>
      </c>
      <c r="C507" s="116" t="s">
        <v>93</v>
      </c>
      <c r="D507" s="116">
        <v>0</v>
      </c>
      <c r="E507" s="135">
        <f ca="1">OFFSET(INDEX(Composições!A:J,MATCH(Orçamentária!A507,Composições!A:A,0),8),2,0)</f>
        <v>22.458569999999995</v>
      </c>
      <c r="F507" s="136">
        <f t="shared" ca="1" si="21"/>
        <v>0</v>
      </c>
      <c r="G507" s="137" t="e">
        <f>IF(A507&lt;&gt;"",IF(AND(#REF!="Padrão",$H$4=#REF!),BDI!$B$17,IF(AND(#REF!="Padrão",$H$4=#REF!),BDI!#REF!,IF(AND(#REF!="Diferenciado",$H$4=#REF!),BDI!$E$17,IF(AND(#REF!="Diferenciado",$H$4=#REF!),BDI!#REF!,IF(#REF!="ZERO",0))))),"")</f>
        <v>#REF!</v>
      </c>
      <c r="H507" s="138" t="e">
        <f t="shared" ca="1" si="22"/>
        <v>#REF!</v>
      </c>
      <c r="I507" s="136" t="e">
        <f t="shared" ca="1" si="23"/>
        <v>#REF!</v>
      </c>
    </row>
    <row r="508" spans="1:9" hidden="1" x14ac:dyDescent="0.25">
      <c r="A508" s="114" t="s">
        <v>2139</v>
      </c>
      <c r="B508" s="115" t="s">
        <v>2140</v>
      </c>
      <c r="C508" s="116" t="s">
        <v>93</v>
      </c>
      <c r="D508" s="116">
        <v>0</v>
      </c>
      <c r="E508" s="135">
        <f ca="1">OFFSET(INDEX(Composições!A:J,MATCH(Orçamentária!A508,Composições!A:A,0),8),2,0)</f>
        <v>33.140084999999992</v>
      </c>
      <c r="F508" s="136">
        <f t="shared" ca="1" si="21"/>
        <v>0</v>
      </c>
      <c r="G508" s="137" t="e">
        <f>IF(A508&lt;&gt;"",IF(AND(#REF!="Padrão",$H$4=#REF!),BDI!$B$17,IF(AND(#REF!="Padrão",$H$4=#REF!),BDI!#REF!,IF(AND(#REF!="Diferenciado",$H$4=#REF!),BDI!$E$17,IF(AND(#REF!="Diferenciado",$H$4=#REF!),BDI!#REF!,IF(#REF!="ZERO",0))))),"")</f>
        <v>#REF!</v>
      </c>
      <c r="H508" s="138" t="e">
        <f t="shared" ca="1" si="22"/>
        <v>#REF!</v>
      </c>
      <c r="I508" s="136" t="e">
        <f t="shared" ca="1" si="23"/>
        <v>#REF!</v>
      </c>
    </row>
    <row r="509" spans="1:9" hidden="1" x14ac:dyDescent="0.25">
      <c r="A509" s="114" t="s">
        <v>2141</v>
      </c>
      <c r="B509" s="115" t="s">
        <v>2142</v>
      </c>
      <c r="C509" s="116" t="s">
        <v>93</v>
      </c>
      <c r="D509" s="116">
        <v>0</v>
      </c>
      <c r="E509" s="135">
        <f ca="1">OFFSET(INDEX(Composições!A:J,MATCH(Orçamentária!A509,Composições!A:A,0),8),2,0)</f>
        <v>6.4819449999999987</v>
      </c>
      <c r="F509" s="136">
        <f t="shared" ca="1" si="21"/>
        <v>0</v>
      </c>
      <c r="G509" s="137" t="e">
        <f>IF(A509&lt;&gt;"",IF(AND(#REF!="Padrão",$H$4=#REF!),BDI!$B$17,IF(AND(#REF!="Padrão",$H$4=#REF!),BDI!#REF!,IF(AND(#REF!="Diferenciado",$H$4=#REF!),BDI!$E$17,IF(AND(#REF!="Diferenciado",$H$4=#REF!),BDI!#REF!,IF(#REF!="ZERO",0))))),"")</f>
        <v>#REF!</v>
      </c>
      <c r="H509" s="138" t="e">
        <f t="shared" ca="1" si="22"/>
        <v>#REF!</v>
      </c>
      <c r="I509" s="136" t="e">
        <f t="shared" ca="1" si="23"/>
        <v>#REF!</v>
      </c>
    </row>
    <row r="510" spans="1:9" hidden="1" x14ac:dyDescent="0.25">
      <c r="A510" s="114" t="s">
        <v>2143</v>
      </c>
      <c r="B510" s="115" t="s">
        <v>2144</v>
      </c>
      <c r="C510" s="116" t="s">
        <v>42</v>
      </c>
      <c r="D510" s="116">
        <v>0</v>
      </c>
      <c r="E510" s="135">
        <f ca="1">OFFSET(INDEX(Composições!A:J,MATCH(Orçamentária!A510,Composições!A:A,0),8),2,0)</f>
        <v>14.25</v>
      </c>
      <c r="F510" s="136">
        <f t="shared" ca="1" si="21"/>
        <v>0</v>
      </c>
      <c r="G510" s="137" t="e">
        <f>IF(A510&lt;&gt;"",IF(AND(#REF!="Padrão",$H$4=#REF!),BDI!$B$17,IF(AND(#REF!="Padrão",$H$4=#REF!),BDI!#REF!,IF(AND(#REF!="Diferenciado",$H$4=#REF!),BDI!$E$17,IF(AND(#REF!="Diferenciado",$H$4=#REF!),BDI!#REF!,IF(#REF!="ZERO",0))))),"")</f>
        <v>#REF!</v>
      </c>
      <c r="H510" s="138" t="e">
        <f t="shared" ca="1" si="22"/>
        <v>#REF!</v>
      </c>
      <c r="I510" s="136" t="e">
        <f t="shared" ca="1" si="23"/>
        <v>#REF!</v>
      </c>
    </row>
    <row r="511" spans="1:9" hidden="1" x14ac:dyDescent="0.25">
      <c r="A511" s="114" t="s">
        <v>2145</v>
      </c>
      <c r="B511" s="115" t="s">
        <v>2146</v>
      </c>
      <c r="C511" s="116" t="s">
        <v>93</v>
      </c>
      <c r="D511" s="116">
        <v>0</v>
      </c>
      <c r="E511" s="135">
        <f ca="1">OFFSET(INDEX(Composições!A:J,MATCH(Orçamentária!A511,Composições!A:A,0),8),2,0)</f>
        <v>7.7206499999999991</v>
      </c>
      <c r="F511" s="136">
        <f t="shared" ca="1" si="21"/>
        <v>0</v>
      </c>
      <c r="G511" s="137" t="e">
        <f>IF(A511&lt;&gt;"",IF(AND(#REF!="Padrão",$H$4=#REF!),BDI!$B$17,IF(AND(#REF!="Padrão",$H$4=#REF!),BDI!#REF!,IF(AND(#REF!="Diferenciado",$H$4=#REF!),BDI!$E$17,IF(AND(#REF!="Diferenciado",$H$4=#REF!),BDI!#REF!,IF(#REF!="ZERO",0))))),"")</f>
        <v>#REF!</v>
      </c>
      <c r="H511" s="138" t="e">
        <f t="shared" ca="1" si="22"/>
        <v>#REF!</v>
      </c>
      <c r="I511" s="136" t="e">
        <f t="shared" ca="1" si="23"/>
        <v>#REF!</v>
      </c>
    </row>
    <row r="512" spans="1:9" hidden="1" x14ac:dyDescent="0.25">
      <c r="A512" s="114" t="s">
        <v>2147</v>
      </c>
      <c r="B512" s="115" t="s">
        <v>2148</v>
      </c>
      <c r="C512" s="116" t="s">
        <v>93</v>
      </c>
      <c r="D512" s="116">
        <v>0</v>
      </c>
      <c r="E512" s="135">
        <f ca="1">OFFSET(INDEX(Composições!A:J,MATCH(Orçamentária!A512,Composições!A:A,0),8),2,0)</f>
        <v>11.642249999999999</v>
      </c>
      <c r="F512" s="136">
        <f t="shared" ca="1" si="21"/>
        <v>0</v>
      </c>
      <c r="G512" s="137" t="e">
        <f>IF(A512&lt;&gt;"",IF(AND(#REF!="Padrão",$H$4=#REF!),BDI!$B$17,IF(AND(#REF!="Padrão",$H$4=#REF!),BDI!#REF!,IF(AND(#REF!="Diferenciado",$H$4=#REF!),BDI!$E$17,IF(AND(#REF!="Diferenciado",$H$4=#REF!),BDI!#REF!,IF(#REF!="ZERO",0))))),"")</f>
        <v>#REF!</v>
      </c>
      <c r="H512" s="138" t="e">
        <f t="shared" ca="1" si="22"/>
        <v>#REF!</v>
      </c>
      <c r="I512" s="136" t="e">
        <f t="shared" ca="1" si="23"/>
        <v>#REF!</v>
      </c>
    </row>
    <row r="513" spans="1:9" hidden="1" x14ac:dyDescent="0.25">
      <c r="A513" s="114" t="s">
        <v>2149</v>
      </c>
      <c r="B513" s="115" t="s">
        <v>2150</v>
      </c>
      <c r="C513" s="116" t="s">
        <v>93</v>
      </c>
      <c r="D513" s="116">
        <v>0</v>
      </c>
      <c r="E513" s="135">
        <f ca="1">OFFSET(INDEX(Composições!A:J,MATCH(Orçamentária!A513,Composições!A:A,0),8),2,0)</f>
        <v>13.60305</v>
      </c>
      <c r="F513" s="136">
        <f t="shared" ca="1" si="21"/>
        <v>0</v>
      </c>
      <c r="G513" s="137" t="e">
        <f>IF(A513&lt;&gt;"",IF(AND(#REF!="Padrão",$H$4=#REF!),BDI!$B$17,IF(AND(#REF!="Padrão",$H$4=#REF!),BDI!#REF!,IF(AND(#REF!="Diferenciado",$H$4=#REF!),BDI!$E$17,IF(AND(#REF!="Diferenciado",$H$4=#REF!),BDI!#REF!,IF(#REF!="ZERO",0))))),"")</f>
        <v>#REF!</v>
      </c>
      <c r="H513" s="138" t="e">
        <f t="shared" ca="1" si="22"/>
        <v>#REF!</v>
      </c>
      <c r="I513" s="136" t="e">
        <f t="shared" ca="1" si="23"/>
        <v>#REF!</v>
      </c>
    </row>
    <row r="514" spans="1:9" hidden="1" x14ac:dyDescent="0.25">
      <c r="A514" s="114" t="s">
        <v>2151</v>
      </c>
      <c r="B514" s="115" t="s">
        <v>2152</v>
      </c>
      <c r="C514" s="116" t="s">
        <v>93</v>
      </c>
      <c r="D514" s="116">
        <v>0</v>
      </c>
      <c r="E514" s="135">
        <f ca="1">OFFSET(INDEX(Composições!A:J,MATCH(Orçamentária!A514,Composições!A:A,0),8),2,0)</f>
        <v>5.8823999999999996</v>
      </c>
      <c r="F514" s="136">
        <f t="shared" ca="1" si="21"/>
        <v>0</v>
      </c>
      <c r="G514" s="137" t="e">
        <f>IF(A514&lt;&gt;"",IF(AND(#REF!="Padrão",$H$4=#REF!),BDI!$B$17,IF(AND(#REF!="Padrão",$H$4=#REF!),BDI!#REF!,IF(AND(#REF!="Diferenciado",$H$4=#REF!),BDI!$E$17,IF(AND(#REF!="Diferenciado",$H$4=#REF!),BDI!#REF!,IF(#REF!="ZERO",0))))),"")</f>
        <v>#REF!</v>
      </c>
      <c r="H514" s="138" t="e">
        <f t="shared" ca="1" si="22"/>
        <v>#REF!</v>
      </c>
      <c r="I514" s="136" t="e">
        <f t="shared" ca="1" si="23"/>
        <v>#REF!</v>
      </c>
    </row>
    <row r="515" spans="1:9" hidden="1" x14ac:dyDescent="0.25">
      <c r="A515" s="114" t="s">
        <v>2153</v>
      </c>
      <c r="B515" s="115" t="s">
        <v>2154</v>
      </c>
      <c r="C515" s="116" t="s">
        <v>93</v>
      </c>
      <c r="D515" s="116">
        <v>0</v>
      </c>
      <c r="E515" s="135">
        <f ca="1">OFFSET(INDEX(Composições!A:J,MATCH(Orçamentária!A515,Composições!A:A,0),8),2,0)</f>
        <v>8.7010499999999986</v>
      </c>
      <c r="F515" s="136">
        <f t="shared" ca="1" si="21"/>
        <v>0</v>
      </c>
      <c r="G515" s="137" t="e">
        <f>IF(A515&lt;&gt;"",IF(AND(#REF!="Padrão",$H$4=#REF!),BDI!$B$17,IF(AND(#REF!="Padrão",$H$4=#REF!),BDI!#REF!,IF(AND(#REF!="Diferenciado",$H$4=#REF!),BDI!$E$17,IF(AND(#REF!="Diferenciado",$H$4=#REF!),BDI!#REF!,IF(#REF!="ZERO",0))))),"")</f>
        <v>#REF!</v>
      </c>
      <c r="H515" s="138" t="e">
        <f t="shared" ca="1" si="22"/>
        <v>#REF!</v>
      </c>
      <c r="I515" s="136" t="e">
        <f t="shared" ca="1" si="23"/>
        <v>#REF!</v>
      </c>
    </row>
    <row r="516" spans="1:9" hidden="1" x14ac:dyDescent="0.25">
      <c r="A516" s="114" t="s">
        <v>2155</v>
      </c>
      <c r="B516" s="115" t="s">
        <v>2156</v>
      </c>
      <c r="C516" s="116" t="s">
        <v>93</v>
      </c>
      <c r="D516" s="116">
        <v>0</v>
      </c>
      <c r="E516" s="135">
        <f ca="1">OFFSET(INDEX(Composições!A:J,MATCH(Orçamentária!A516,Composições!A:A,0),8),2,0)</f>
        <v>4.9020000000000001</v>
      </c>
      <c r="F516" s="136">
        <f t="shared" ca="1" si="21"/>
        <v>0</v>
      </c>
      <c r="G516" s="137" t="e">
        <f>IF(A516&lt;&gt;"",IF(AND(#REF!="Padrão",$H$4=#REF!),BDI!$B$17,IF(AND(#REF!="Padrão",$H$4=#REF!),BDI!#REF!,IF(AND(#REF!="Diferenciado",$H$4=#REF!),BDI!$E$17,IF(AND(#REF!="Diferenciado",$H$4=#REF!),BDI!#REF!,IF(#REF!="ZERO",0))))),"")</f>
        <v>#REF!</v>
      </c>
      <c r="H516" s="138" t="e">
        <f t="shared" ca="1" si="22"/>
        <v>#REF!</v>
      </c>
      <c r="I516" s="136" t="e">
        <f t="shared" ca="1" si="23"/>
        <v>#REF!</v>
      </c>
    </row>
    <row r="517" spans="1:9" hidden="1" x14ac:dyDescent="0.25">
      <c r="A517" s="114" t="s">
        <v>2157</v>
      </c>
      <c r="B517" s="115" t="s">
        <v>2158</v>
      </c>
      <c r="C517" s="116" t="s">
        <v>93</v>
      </c>
      <c r="D517" s="116">
        <v>0</v>
      </c>
      <c r="E517" s="135">
        <f ca="1">OFFSET(INDEX(Composições!A:J,MATCH(Orçamentária!A517,Composições!A:A,0),8),2,0)</f>
        <v>9.6814499999999999</v>
      </c>
      <c r="F517" s="136">
        <f t="shared" ca="1" si="21"/>
        <v>0</v>
      </c>
      <c r="G517" s="137" t="e">
        <f>IF(A517&lt;&gt;"",IF(AND(#REF!="Padrão",$H$4=#REF!),BDI!$B$17,IF(AND(#REF!="Padrão",$H$4=#REF!),BDI!#REF!,IF(AND(#REF!="Diferenciado",$H$4=#REF!),BDI!$E$17,IF(AND(#REF!="Diferenciado",$H$4=#REF!),BDI!#REF!,IF(#REF!="ZERO",0))))),"")</f>
        <v>#REF!</v>
      </c>
      <c r="H517" s="138" t="e">
        <f t="shared" ca="1" si="22"/>
        <v>#REF!</v>
      </c>
      <c r="I517" s="136" t="e">
        <f t="shared" ca="1" si="23"/>
        <v>#REF!</v>
      </c>
    </row>
    <row r="518" spans="1:9" hidden="1" x14ac:dyDescent="0.25">
      <c r="A518" s="114" t="s">
        <v>2159</v>
      </c>
      <c r="B518" s="115" t="s">
        <v>2160</v>
      </c>
      <c r="C518" s="116" t="s">
        <v>93</v>
      </c>
      <c r="D518" s="116">
        <v>0</v>
      </c>
      <c r="E518" s="135">
        <f ca="1">OFFSET(INDEX(Composições!A:J,MATCH(Orçamentária!A518,Composições!A:A,0),8),2,0)</f>
        <v>6.7402499999999996</v>
      </c>
      <c r="F518" s="136">
        <f t="shared" ca="1" si="21"/>
        <v>0</v>
      </c>
      <c r="G518" s="137" t="e">
        <f>IF(A518&lt;&gt;"",IF(AND(#REF!="Padrão",$H$4=#REF!),BDI!$B$17,IF(AND(#REF!="Padrão",$H$4=#REF!),BDI!#REF!,IF(AND(#REF!="Diferenciado",$H$4=#REF!),BDI!$E$17,IF(AND(#REF!="Diferenciado",$H$4=#REF!),BDI!#REF!,IF(#REF!="ZERO",0))))),"")</f>
        <v>#REF!</v>
      </c>
      <c r="H518" s="138" t="e">
        <f t="shared" ca="1" si="22"/>
        <v>#REF!</v>
      </c>
      <c r="I518" s="136" t="e">
        <f t="shared" ca="1" si="23"/>
        <v>#REF!</v>
      </c>
    </row>
    <row r="519" spans="1:9" hidden="1" x14ac:dyDescent="0.25">
      <c r="A519" s="114" t="s">
        <v>2161</v>
      </c>
      <c r="B519" s="115" t="s">
        <v>2162</v>
      </c>
      <c r="C519" s="116" t="s">
        <v>93</v>
      </c>
      <c r="D519" s="116">
        <v>0</v>
      </c>
      <c r="E519" s="135">
        <f ca="1">OFFSET(INDEX(Composições!A:J,MATCH(Orçamentária!A519,Composições!A:A,0),8),2,0)</f>
        <v>10.171649999999998</v>
      </c>
      <c r="F519" s="136">
        <f t="shared" ref="F519:F582" ca="1" si="24">IF(ISNUMBER(E519),D519*E519,"")</f>
        <v>0</v>
      </c>
      <c r="G519" s="137" t="e">
        <f>IF(A519&lt;&gt;"",IF(AND(#REF!="Padrão",$H$4=#REF!),BDI!$B$17,IF(AND(#REF!="Padrão",$H$4=#REF!),BDI!#REF!,IF(AND(#REF!="Diferenciado",$H$4=#REF!),BDI!$E$17,IF(AND(#REF!="Diferenciado",$H$4=#REF!),BDI!#REF!,IF(#REF!="ZERO",0))))),"")</f>
        <v>#REF!</v>
      </c>
      <c r="H519" s="138" t="e">
        <f t="shared" ref="H519:H582" ca="1" si="25">IF(ISNUMBER(E519),ROUND(E519*(1+G519),2),"")</f>
        <v>#REF!</v>
      </c>
      <c r="I519" s="136" t="e">
        <f t="shared" ref="I519:I582" ca="1" si="26">IF(ISNUMBER(E519),ROUND(H519*D519,2),"")</f>
        <v>#REF!</v>
      </c>
    </row>
    <row r="520" spans="1:9" hidden="1" x14ac:dyDescent="0.25">
      <c r="A520" s="114" t="s">
        <v>2163</v>
      </c>
      <c r="B520" s="115" t="s">
        <v>2164</v>
      </c>
      <c r="C520" s="116" t="s">
        <v>93</v>
      </c>
      <c r="D520" s="116">
        <v>0</v>
      </c>
      <c r="E520" s="135" t="s">
        <v>558</v>
      </c>
      <c r="F520" s="136" t="str">
        <f t="shared" si="24"/>
        <v/>
      </c>
      <c r="G520" s="137" t="e">
        <f>IF(A520&lt;&gt;"",IF(AND(#REF!="Padrão",$H$4=#REF!),BDI!$B$17,IF(AND(#REF!="Padrão",$H$4=#REF!),BDI!#REF!,IF(AND(#REF!="Diferenciado",$H$4=#REF!),BDI!$E$17,IF(AND(#REF!="Diferenciado",$H$4=#REF!),BDI!#REF!,IF(#REF!="ZERO",0))))),"")</f>
        <v>#REF!</v>
      </c>
      <c r="H520" s="138" t="str">
        <f t="shared" si="25"/>
        <v/>
      </c>
      <c r="I520" s="136" t="str">
        <f t="shared" si="26"/>
        <v/>
      </c>
    </row>
    <row r="521" spans="1:9" hidden="1" x14ac:dyDescent="0.25">
      <c r="A521" s="114" t="s">
        <v>2165</v>
      </c>
      <c r="B521" s="115" t="s">
        <v>2166</v>
      </c>
      <c r="C521" s="116" t="s">
        <v>93</v>
      </c>
      <c r="D521" s="116">
        <v>0</v>
      </c>
      <c r="E521" s="135" t="s">
        <v>558</v>
      </c>
      <c r="F521" s="136" t="str">
        <f t="shared" si="24"/>
        <v/>
      </c>
      <c r="G521" s="137" t="e">
        <f>IF(A521&lt;&gt;"",IF(AND(#REF!="Padrão",$H$4=#REF!),BDI!$B$17,IF(AND(#REF!="Padrão",$H$4=#REF!),BDI!#REF!,IF(AND(#REF!="Diferenciado",$H$4=#REF!),BDI!$E$17,IF(AND(#REF!="Diferenciado",$H$4=#REF!),BDI!#REF!,IF(#REF!="ZERO",0))))),"")</f>
        <v>#REF!</v>
      </c>
      <c r="H521" s="138" t="str">
        <f t="shared" si="25"/>
        <v/>
      </c>
      <c r="I521" s="136" t="str">
        <f t="shared" si="26"/>
        <v/>
      </c>
    </row>
    <row r="522" spans="1:9" hidden="1" x14ac:dyDescent="0.25">
      <c r="A522" s="114" t="s">
        <v>2167</v>
      </c>
      <c r="B522" s="115" t="s">
        <v>2168</v>
      </c>
      <c r="C522" s="116" t="s">
        <v>93</v>
      </c>
      <c r="D522" s="116">
        <v>0</v>
      </c>
      <c r="E522" s="135" t="s">
        <v>558</v>
      </c>
      <c r="F522" s="136" t="str">
        <f t="shared" si="24"/>
        <v/>
      </c>
      <c r="G522" s="137" t="e">
        <f>IF(A522&lt;&gt;"",IF(AND(#REF!="Padrão",$H$4=#REF!),BDI!$B$17,IF(AND(#REF!="Padrão",$H$4=#REF!),BDI!#REF!,IF(AND(#REF!="Diferenciado",$H$4=#REF!),BDI!$E$17,IF(AND(#REF!="Diferenciado",$H$4=#REF!),BDI!#REF!,IF(#REF!="ZERO",0))))),"")</f>
        <v>#REF!</v>
      </c>
      <c r="H522" s="138" t="str">
        <f t="shared" si="25"/>
        <v/>
      </c>
      <c r="I522" s="136" t="str">
        <f t="shared" si="26"/>
        <v/>
      </c>
    </row>
    <row r="523" spans="1:9" hidden="1" x14ac:dyDescent="0.25">
      <c r="A523" s="114" t="s">
        <v>2169</v>
      </c>
      <c r="B523" s="115" t="s">
        <v>2170</v>
      </c>
      <c r="C523" s="116" t="s">
        <v>93</v>
      </c>
      <c r="D523" s="116">
        <v>0</v>
      </c>
      <c r="E523" s="135" t="s">
        <v>558</v>
      </c>
      <c r="F523" s="136" t="str">
        <f t="shared" si="24"/>
        <v/>
      </c>
      <c r="G523" s="137" t="e">
        <f>IF(A523&lt;&gt;"",IF(AND(#REF!="Padrão",$H$4=#REF!),BDI!$B$17,IF(AND(#REF!="Padrão",$H$4=#REF!),BDI!#REF!,IF(AND(#REF!="Diferenciado",$H$4=#REF!),BDI!$E$17,IF(AND(#REF!="Diferenciado",$H$4=#REF!),BDI!#REF!,IF(#REF!="ZERO",0))))),"")</f>
        <v>#REF!</v>
      </c>
      <c r="H523" s="138" t="str">
        <f t="shared" si="25"/>
        <v/>
      </c>
      <c r="I523" s="136" t="str">
        <f t="shared" si="26"/>
        <v/>
      </c>
    </row>
    <row r="524" spans="1:9" hidden="1" x14ac:dyDescent="0.25">
      <c r="A524" s="114" t="s">
        <v>2171</v>
      </c>
      <c r="B524" s="115" t="s">
        <v>2172</v>
      </c>
      <c r="C524" s="116" t="s">
        <v>93</v>
      </c>
      <c r="D524" s="116">
        <v>0</v>
      </c>
      <c r="E524" s="135" t="s">
        <v>558</v>
      </c>
      <c r="F524" s="136" t="str">
        <f t="shared" si="24"/>
        <v/>
      </c>
      <c r="G524" s="137" t="e">
        <f>IF(A524&lt;&gt;"",IF(AND(#REF!="Padrão",$H$4=#REF!),BDI!$B$17,IF(AND(#REF!="Padrão",$H$4=#REF!),BDI!#REF!,IF(AND(#REF!="Diferenciado",$H$4=#REF!),BDI!$E$17,IF(AND(#REF!="Diferenciado",$H$4=#REF!),BDI!#REF!,IF(#REF!="ZERO",0))))),"")</f>
        <v>#REF!</v>
      </c>
      <c r="H524" s="138" t="str">
        <f t="shared" si="25"/>
        <v/>
      </c>
      <c r="I524" s="136" t="str">
        <f t="shared" si="26"/>
        <v/>
      </c>
    </row>
    <row r="525" spans="1:9" hidden="1" x14ac:dyDescent="0.25">
      <c r="A525" s="114" t="s">
        <v>2173</v>
      </c>
      <c r="B525" s="115" t="s">
        <v>2174</v>
      </c>
      <c r="C525" s="116" t="s">
        <v>93</v>
      </c>
      <c r="D525" s="116">
        <v>0</v>
      </c>
      <c r="E525" s="135" t="s">
        <v>558</v>
      </c>
      <c r="F525" s="136" t="str">
        <f t="shared" si="24"/>
        <v/>
      </c>
      <c r="G525" s="137" t="e">
        <f>IF(A525&lt;&gt;"",IF(AND(#REF!="Padrão",$H$4=#REF!),BDI!$B$17,IF(AND(#REF!="Padrão",$H$4=#REF!),BDI!#REF!,IF(AND(#REF!="Diferenciado",$H$4=#REF!),BDI!$E$17,IF(AND(#REF!="Diferenciado",$H$4=#REF!),BDI!#REF!,IF(#REF!="ZERO",0))))),"")</f>
        <v>#REF!</v>
      </c>
      <c r="H525" s="138" t="str">
        <f t="shared" si="25"/>
        <v/>
      </c>
      <c r="I525" s="136" t="str">
        <f t="shared" si="26"/>
        <v/>
      </c>
    </row>
    <row r="526" spans="1:9" hidden="1" x14ac:dyDescent="0.25">
      <c r="A526" s="114" t="s">
        <v>2175</v>
      </c>
      <c r="B526" s="115" t="s">
        <v>2176</v>
      </c>
      <c r="C526" s="116" t="s">
        <v>93</v>
      </c>
      <c r="D526" s="116">
        <v>0</v>
      </c>
      <c r="E526" s="135" t="s">
        <v>558</v>
      </c>
      <c r="F526" s="136" t="str">
        <f t="shared" si="24"/>
        <v/>
      </c>
      <c r="G526" s="137" t="e">
        <f>IF(A526&lt;&gt;"",IF(AND(#REF!="Padrão",$H$4=#REF!),BDI!$B$17,IF(AND(#REF!="Padrão",$H$4=#REF!),BDI!#REF!,IF(AND(#REF!="Diferenciado",$H$4=#REF!),BDI!$E$17,IF(AND(#REF!="Diferenciado",$H$4=#REF!),BDI!#REF!,IF(#REF!="ZERO",0))))),"")</f>
        <v>#REF!</v>
      </c>
      <c r="H526" s="138" t="str">
        <f t="shared" si="25"/>
        <v/>
      </c>
      <c r="I526" s="136" t="str">
        <f t="shared" si="26"/>
        <v/>
      </c>
    </row>
    <row r="527" spans="1:9" hidden="1" x14ac:dyDescent="0.25">
      <c r="A527" s="114" t="s">
        <v>2177</v>
      </c>
      <c r="B527" s="115" t="s">
        <v>2178</v>
      </c>
      <c r="C527" s="116" t="s">
        <v>93</v>
      </c>
      <c r="D527" s="116">
        <v>0</v>
      </c>
      <c r="E527" s="135" t="s">
        <v>558</v>
      </c>
      <c r="F527" s="136" t="str">
        <f t="shared" si="24"/>
        <v/>
      </c>
      <c r="G527" s="137" t="e">
        <f>IF(A527&lt;&gt;"",IF(AND(#REF!="Padrão",$H$4=#REF!),BDI!$B$17,IF(AND(#REF!="Padrão",$H$4=#REF!),BDI!#REF!,IF(AND(#REF!="Diferenciado",$H$4=#REF!),BDI!$E$17,IF(AND(#REF!="Diferenciado",$H$4=#REF!),BDI!#REF!,IF(#REF!="ZERO",0))))),"")</f>
        <v>#REF!</v>
      </c>
      <c r="H527" s="138" t="str">
        <f t="shared" si="25"/>
        <v/>
      </c>
      <c r="I527" s="136" t="str">
        <f t="shared" si="26"/>
        <v/>
      </c>
    </row>
    <row r="528" spans="1:9" hidden="1" x14ac:dyDescent="0.25">
      <c r="A528" s="114" t="s">
        <v>2179</v>
      </c>
      <c r="B528" s="115" t="s">
        <v>2180</v>
      </c>
      <c r="C528" s="116" t="s">
        <v>93</v>
      </c>
      <c r="D528" s="116">
        <v>0</v>
      </c>
      <c r="E528" s="135" t="s">
        <v>558</v>
      </c>
      <c r="F528" s="136" t="str">
        <f t="shared" si="24"/>
        <v/>
      </c>
      <c r="G528" s="137" t="e">
        <f>IF(A528&lt;&gt;"",IF(AND(#REF!="Padrão",$H$4=#REF!),BDI!$B$17,IF(AND(#REF!="Padrão",$H$4=#REF!),BDI!#REF!,IF(AND(#REF!="Diferenciado",$H$4=#REF!),BDI!$E$17,IF(AND(#REF!="Diferenciado",$H$4=#REF!),BDI!#REF!,IF(#REF!="ZERO",0))))),"")</f>
        <v>#REF!</v>
      </c>
      <c r="H528" s="138" t="str">
        <f t="shared" si="25"/>
        <v/>
      </c>
      <c r="I528" s="136" t="str">
        <f t="shared" si="26"/>
        <v/>
      </c>
    </row>
    <row r="529" spans="1:9" hidden="1" x14ac:dyDescent="0.25">
      <c r="A529" s="114" t="s">
        <v>2181</v>
      </c>
      <c r="B529" s="115" t="s">
        <v>2182</v>
      </c>
      <c r="C529" s="116" t="s">
        <v>93</v>
      </c>
      <c r="D529" s="116">
        <v>0</v>
      </c>
      <c r="E529" s="135" t="s">
        <v>558</v>
      </c>
      <c r="F529" s="136" t="str">
        <f t="shared" si="24"/>
        <v/>
      </c>
      <c r="G529" s="137" t="e">
        <f>IF(A529&lt;&gt;"",IF(AND(#REF!="Padrão",$H$4=#REF!),BDI!$B$17,IF(AND(#REF!="Padrão",$H$4=#REF!),BDI!#REF!,IF(AND(#REF!="Diferenciado",$H$4=#REF!),BDI!$E$17,IF(AND(#REF!="Diferenciado",$H$4=#REF!),BDI!#REF!,IF(#REF!="ZERO",0))))),"")</f>
        <v>#REF!</v>
      </c>
      <c r="H529" s="138" t="str">
        <f t="shared" si="25"/>
        <v/>
      </c>
      <c r="I529" s="136" t="str">
        <f t="shared" si="26"/>
        <v/>
      </c>
    </row>
    <row r="530" spans="1:9" hidden="1" x14ac:dyDescent="0.25">
      <c r="A530" s="114" t="s">
        <v>2183</v>
      </c>
      <c r="B530" s="115" t="s">
        <v>2184</v>
      </c>
      <c r="C530" s="116" t="s">
        <v>93</v>
      </c>
      <c r="D530" s="116">
        <v>0</v>
      </c>
      <c r="E530" s="135" t="s">
        <v>558</v>
      </c>
      <c r="F530" s="136" t="str">
        <f t="shared" si="24"/>
        <v/>
      </c>
      <c r="G530" s="137" t="e">
        <f>IF(A530&lt;&gt;"",IF(AND(#REF!="Padrão",$H$4=#REF!),BDI!$B$17,IF(AND(#REF!="Padrão",$H$4=#REF!),BDI!#REF!,IF(AND(#REF!="Diferenciado",$H$4=#REF!),BDI!$E$17,IF(AND(#REF!="Diferenciado",$H$4=#REF!),BDI!#REF!,IF(#REF!="ZERO",0))))),"")</f>
        <v>#REF!</v>
      </c>
      <c r="H530" s="138" t="str">
        <f t="shared" si="25"/>
        <v/>
      </c>
      <c r="I530" s="136" t="str">
        <f t="shared" si="26"/>
        <v/>
      </c>
    </row>
    <row r="531" spans="1:9" hidden="1" x14ac:dyDescent="0.25">
      <c r="A531" s="114" t="s">
        <v>2185</v>
      </c>
      <c r="B531" s="115" t="s">
        <v>2186</v>
      </c>
      <c r="C531" s="116" t="s">
        <v>93</v>
      </c>
      <c r="D531" s="116">
        <v>0</v>
      </c>
      <c r="E531" s="135" t="s">
        <v>558</v>
      </c>
      <c r="F531" s="136" t="str">
        <f t="shared" si="24"/>
        <v/>
      </c>
      <c r="G531" s="137" t="e">
        <f>IF(A531&lt;&gt;"",IF(AND(#REF!="Padrão",$H$4=#REF!),BDI!$B$17,IF(AND(#REF!="Padrão",$H$4=#REF!),BDI!#REF!,IF(AND(#REF!="Diferenciado",$H$4=#REF!),BDI!$E$17,IF(AND(#REF!="Diferenciado",$H$4=#REF!),BDI!#REF!,IF(#REF!="ZERO",0))))),"")</f>
        <v>#REF!</v>
      </c>
      <c r="H531" s="138" t="str">
        <f t="shared" si="25"/>
        <v/>
      </c>
      <c r="I531" s="136" t="str">
        <f t="shared" si="26"/>
        <v/>
      </c>
    </row>
    <row r="532" spans="1:9" hidden="1" x14ac:dyDescent="0.25">
      <c r="A532" s="114" t="s">
        <v>2187</v>
      </c>
      <c r="B532" s="115" t="s">
        <v>2188</v>
      </c>
      <c r="C532" s="116" t="s">
        <v>93</v>
      </c>
      <c r="D532" s="116">
        <v>0</v>
      </c>
      <c r="E532" s="135" t="s">
        <v>558</v>
      </c>
      <c r="F532" s="136" t="str">
        <f t="shared" si="24"/>
        <v/>
      </c>
      <c r="G532" s="137" t="e">
        <f>IF(A532&lt;&gt;"",IF(AND(#REF!="Padrão",$H$4=#REF!),BDI!$B$17,IF(AND(#REF!="Padrão",$H$4=#REF!),BDI!#REF!,IF(AND(#REF!="Diferenciado",$H$4=#REF!),BDI!$E$17,IF(AND(#REF!="Diferenciado",$H$4=#REF!),BDI!#REF!,IF(#REF!="ZERO",0))))),"")</f>
        <v>#REF!</v>
      </c>
      <c r="H532" s="138" t="str">
        <f t="shared" si="25"/>
        <v/>
      </c>
      <c r="I532" s="136" t="str">
        <f t="shared" si="26"/>
        <v/>
      </c>
    </row>
    <row r="533" spans="1:9" hidden="1" x14ac:dyDescent="0.25">
      <c r="A533" s="114" t="s">
        <v>2189</v>
      </c>
      <c r="B533" s="115" t="s">
        <v>2190</v>
      </c>
      <c r="C533" s="116" t="s">
        <v>93</v>
      </c>
      <c r="D533" s="116">
        <v>0</v>
      </c>
      <c r="E533" s="135" t="s">
        <v>558</v>
      </c>
      <c r="F533" s="136" t="str">
        <f t="shared" si="24"/>
        <v/>
      </c>
      <c r="G533" s="137" t="e">
        <f>IF(A533&lt;&gt;"",IF(AND(#REF!="Padrão",$H$4=#REF!),BDI!$B$17,IF(AND(#REF!="Padrão",$H$4=#REF!),BDI!#REF!,IF(AND(#REF!="Diferenciado",$H$4=#REF!),BDI!$E$17,IF(AND(#REF!="Diferenciado",$H$4=#REF!),BDI!#REF!,IF(#REF!="ZERO",0))))),"")</f>
        <v>#REF!</v>
      </c>
      <c r="H533" s="138" t="str">
        <f t="shared" si="25"/>
        <v/>
      </c>
      <c r="I533" s="136" t="str">
        <f t="shared" si="26"/>
        <v/>
      </c>
    </row>
    <row r="534" spans="1:9" hidden="1" x14ac:dyDescent="0.25">
      <c r="A534" s="114" t="s">
        <v>2191</v>
      </c>
      <c r="B534" s="115" t="s">
        <v>2192</v>
      </c>
      <c r="C534" s="116" t="s">
        <v>93</v>
      </c>
      <c r="D534" s="116">
        <v>0</v>
      </c>
      <c r="E534" s="135" t="s">
        <v>558</v>
      </c>
      <c r="F534" s="136" t="str">
        <f t="shared" si="24"/>
        <v/>
      </c>
      <c r="G534" s="137" t="e">
        <f>IF(A534&lt;&gt;"",IF(AND(#REF!="Padrão",$H$4=#REF!),BDI!$B$17,IF(AND(#REF!="Padrão",$H$4=#REF!),BDI!#REF!,IF(AND(#REF!="Diferenciado",$H$4=#REF!),BDI!$E$17,IF(AND(#REF!="Diferenciado",$H$4=#REF!),BDI!#REF!,IF(#REF!="ZERO",0))))),"")</f>
        <v>#REF!</v>
      </c>
      <c r="H534" s="138" t="str">
        <f t="shared" si="25"/>
        <v/>
      </c>
      <c r="I534" s="136" t="str">
        <f t="shared" si="26"/>
        <v/>
      </c>
    </row>
    <row r="535" spans="1:9" hidden="1" x14ac:dyDescent="0.25">
      <c r="A535" s="114" t="s">
        <v>2193</v>
      </c>
      <c r="B535" s="115" t="s">
        <v>2194</v>
      </c>
      <c r="C535" s="116" t="s">
        <v>93</v>
      </c>
      <c r="D535" s="116">
        <v>0</v>
      </c>
      <c r="E535" s="135" t="s">
        <v>558</v>
      </c>
      <c r="F535" s="136" t="str">
        <f t="shared" si="24"/>
        <v/>
      </c>
      <c r="G535" s="137" t="e">
        <f>IF(A535&lt;&gt;"",IF(AND(#REF!="Padrão",$H$4=#REF!),BDI!$B$17,IF(AND(#REF!="Padrão",$H$4=#REF!),BDI!#REF!,IF(AND(#REF!="Diferenciado",$H$4=#REF!),BDI!$E$17,IF(AND(#REF!="Diferenciado",$H$4=#REF!),BDI!#REF!,IF(#REF!="ZERO",0))))),"")</f>
        <v>#REF!</v>
      </c>
      <c r="H535" s="138" t="str">
        <f t="shared" si="25"/>
        <v/>
      </c>
      <c r="I535" s="136" t="str">
        <f t="shared" si="26"/>
        <v/>
      </c>
    </row>
    <row r="536" spans="1:9" hidden="1" x14ac:dyDescent="0.25">
      <c r="A536" s="114" t="s">
        <v>2195</v>
      </c>
      <c r="B536" s="115" t="s">
        <v>2196</v>
      </c>
      <c r="C536" s="116" t="s">
        <v>93</v>
      </c>
      <c r="D536" s="116">
        <v>0</v>
      </c>
      <c r="E536" s="135" t="s">
        <v>558</v>
      </c>
      <c r="F536" s="136" t="str">
        <f t="shared" si="24"/>
        <v/>
      </c>
      <c r="G536" s="137" t="e">
        <f>IF(A536&lt;&gt;"",IF(AND(#REF!="Padrão",$H$4=#REF!),BDI!$B$17,IF(AND(#REF!="Padrão",$H$4=#REF!),BDI!#REF!,IF(AND(#REF!="Diferenciado",$H$4=#REF!),BDI!$E$17,IF(AND(#REF!="Diferenciado",$H$4=#REF!),BDI!#REF!,IF(#REF!="ZERO",0))))),"")</f>
        <v>#REF!</v>
      </c>
      <c r="H536" s="138" t="str">
        <f t="shared" si="25"/>
        <v/>
      </c>
      <c r="I536" s="136" t="str">
        <f t="shared" si="26"/>
        <v/>
      </c>
    </row>
    <row r="537" spans="1:9" hidden="1" x14ac:dyDescent="0.25">
      <c r="A537" s="114" t="s">
        <v>2197</v>
      </c>
      <c r="B537" s="115" t="s">
        <v>2198</v>
      </c>
      <c r="C537" s="116" t="s">
        <v>93</v>
      </c>
      <c r="D537" s="116">
        <v>0</v>
      </c>
      <c r="E537" s="135" t="s">
        <v>558</v>
      </c>
      <c r="F537" s="136" t="str">
        <f t="shared" si="24"/>
        <v/>
      </c>
      <c r="G537" s="137" t="e">
        <f>IF(A537&lt;&gt;"",IF(AND(#REF!="Padrão",$H$4=#REF!),BDI!$B$17,IF(AND(#REF!="Padrão",$H$4=#REF!),BDI!#REF!,IF(AND(#REF!="Diferenciado",$H$4=#REF!),BDI!$E$17,IF(AND(#REF!="Diferenciado",$H$4=#REF!),BDI!#REF!,IF(#REF!="ZERO",0))))),"")</f>
        <v>#REF!</v>
      </c>
      <c r="H537" s="138" t="str">
        <f t="shared" si="25"/>
        <v/>
      </c>
      <c r="I537" s="136" t="str">
        <f t="shared" si="26"/>
        <v/>
      </c>
    </row>
    <row r="538" spans="1:9" hidden="1" x14ac:dyDescent="0.25">
      <c r="A538" s="114" t="s">
        <v>2199</v>
      </c>
      <c r="B538" s="115" t="s">
        <v>2200</v>
      </c>
      <c r="C538" s="116" t="s">
        <v>93</v>
      </c>
      <c r="D538" s="116">
        <v>0</v>
      </c>
      <c r="E538" s="135" t="s">
        <v>558</v>
      </c>
      <c r="F538" s="136" t="str">
        <f t="shared" si="24"/>
        <v/>
      </c>
      <c r="G538" s="137" t="e">
        <f>IF(A538&lt;&gt;"",IF(AND(#REF!="Padrão",$H$4=#REF!),BDI!$B$17,IF(AND(#REF!="Padrão",$H$4=#REF!),BDI!#REF!,IF(AND(#REF!="Diferenciado",$H$4=#REF!),BDI!$E$17,IF(AND(#REF!="Diferenciado",$H$4=#REF!),BDI!#REF!,IF(#REF!="ZERO",0))))),"")</f>
        <v>#REF!</v>
      </c>
      <c r="H538" s="138" t="str">
        <f t="shared" si="25"/>
        <v/>
      </c>
      <c r="I538" s="136" t="str">
        <f t="shared" si="26"/>
        <v/>
      </c>
    </row>
    <row r="539" spans="1:9" hidden="1" x14ac:dyDescent="0.25">
      <c r="A539" s="114" t="s">
        <v>2201</v>
      </c>
      <c r="B539" s="115" t="s">
        <v>2202</v>
      </c>
      <c r="C539" s="116" t="s">
        <v>93</v>
      </c>
      <c r="D539" s="116">
        <v>0</v>
      </c>
      <c r="E539" s="135" t="s">
        <v>558</v>
      </c>
      <c r="F539" s="136" t="str">
        <f t="shared" si="24"/>
        <v/>
      </c>
      <c r="G539" s="137" t="e">
        <f>IF(A539&lt;&gt;"",IF(AND(#REF!="Padrão",$H$4=#REF!),BDI!$B$17,IF(AND(#REF!="Padrão",$H$4=#REF!),BDI!#REF!,IF(AND(#REF!="Diferenciado",$H$4=#REF!),BDI!$E$17,IF(AND(#REF!="Diferenciado",$H$4=#REF!),BDI!#REF!,IF(#REF!="ZERO",0))))),"")</f>
        <v>#REF!</v>
      </c>
      <c r="H539" s="138" t="str">
        <f t="shared" si="25"/>
        <v/>
      </c>
      <c r="I539" s="136" t="str">
        <f t="shared" si="26"/>
        <v/>
      </c>
    </row>
    <row r="540" spans="1:9" hidden="1" x14ac:dyDescent="0.25">
      <c r="A540" s="114" t="s">
        <v>2203</v>
      </c>
      <c r="B540" s="115" t="s">
        <v>2204</v>
      </c>
      <c r="C540" s="116" t="s">
        <v>93</v>
      </c>
      <c r="D540" s="116">
        <v>0</v>
      </c>
      <c r="E540" s="135" t="s">
        <v>558</v>
      </c>
      <c r="F540" s="136" t="str">
        <f t="shared" si="24"/>
        <v/>
      </c>
      <c r="G540" s="137" t="e">
        <f>IF(A540&lt;&gt;"",IF(AND(#REF!="Padrão",$H$4=#REF!),BDI!$B$17,IF(AND(#REF!="Padrão",$H$4=#REF!),BDI!#REF!,IF(AND(#REF!="Diferenciado",$H$4=#REF!),BDI!$E$17,IF(AND(#REF!="Diferenciado",$H$4=#REF!),BDI!#REF!,IF(#REF!="ZERO",0))))),"")</f>
        <v>#REF!</v>
      </c>
      <c r="H540" s="138" t="str">
        <f t="shared" si="25"/>
        <v/>
      </c>
      <c r="I540" s="136" t="str">
        <f t="shared" si="26"/>
        <v/>
      </c>
    </row>
    <row r="541" spans="1:9" hidden="1" x14ac:dyDescent="0.25">
      <c r="A541" s="114" t="s">
        <v>2205</v>
      </c>
      <c r="B541" s="115" t="s">
        <v>2206</v>
      </c>
      <c r="C541" s="116" t="s">
        <v>93</v>
      </c>
      <c r="D541" s="116">
        <v>0</v>
      </c>
      <c r="E541" s="135" t="s">
        <v>558</v>
      </c>
      <c r="F541" s="136" t="str">
        <f t="shared" si="24"/>
        <v/>
      </c>
      <c r="G541" s="137" t="e">
        <f>IF(A541&lt;&gt;"",IF(AND(#REF!="Padrão",$H$4=#REF!),BDI!$B$17,IF(AND(#REF!="Padrão",$H$4=#REF!),BDI!#REF!,IF(AND(#REF!="Diferenciado",$H$4=#REF!),BDI!$E$17,IF(AND(#REF!="Diferenciado",$H$4=#REF!),BDI!#REF!,IF(#REF!="ZERO",0))))),"")</f>
        <v>#REF!</v>
      </c>
      <c r="H541" s="138" t="str">
        <f t="shared" si="25"/>
        <v/>
      </c>
      <c r="I541" s="136" t="str">
        <f t="shared" si="26"/>
        <v/>
      </c>
    </row>
    <row r="542" spans="1:9" hidden="1" x14ac:dyDescent="0.25">
      <c r="A542" s="114" t="s">
        <v>2207</v>
      </c>
      <c r="B542" s="115" t="s">
        <v>2208</v>
      </c>
      <c r="C542" s="116" t="s">
        <v>93</v>
      </c>
      <c r="D542" s="116">
        <v>0</v>
      </c>
      <c r="E542" s="135" t="s">
        <v>558</v>
      </c>
      <c r="F542" s="136" t="str">
        <f t="shared" si="24"/>
        <v/>
      </c>
      <c r="G542" s="137" t="e">
        <f>IF(A542&lt;&gt;"",IF(AND(#REF!="Padrão",$H$4=#REF!),BDI!$B$17,IF(AND(#REF!="Padrão",$H$4=#REF!),BDI!#REF!,IF(AND(#REF!="Diferenciado",$H$4=#REF!),BDI!$E$17,IF(AND(#REF!="Diferenciado",$H$4=#REF!),BDI!#REF!,IF(#REF!="ZERO",0))))),"")</f>
        <v>#REF!</v>
      </c>
      <c r="H542" s="138" t="str">
        <f t="shared" si="25"/>
        <v/>
      </c>
      <c r="I542" s="136" t="str">
        <f t="shared" si="26"/>
        <v/>
      </c>
    </row>
    <row r="543" spans="1:9" hidden="1" x14ac:dyDescent="0.25">
      <c r="A543" s="114" t="s">
        <v>2209</v>
      </c>
      <c r="B543" s="115" t="s">
        <v>2210</v>
      </c>
      <c r="C543" s="116" t="s">
        <v>20</v>
      </c>
      <c r="D543" s="116">
        <v>0</v>
      </c>
      <c r="E543" s="135" t="s">
        <v>558</v>
      </c>
      <c r="F543" s="136" t="str">
        <f t="shared" si="24"/>
        <v/>
      </c>
      <c r="G543" s="137" t="e">
        <f>IF(A543&lt;&gt;"",IF(AND(#REF!="Padrão",$H$4=#REF!),BDI!$B$17,IF(AND(#REF!="Padrão",$H$4=#REF!),BDI!#REF!,IF(AND(#REF!="Diferenciado",$H$4=#REF!),BDI!$E$17,IF(AND(#REF!="Diferenciado",$H$4=#REF!),BDI!#REF!,IF(#REF!="ZERO",0))))),"")</f>
        <v>#REF!</v>
      </c>
      <c r="H543" s="138" t="str">
        <f t="shared" si="25"/>
        <v/>
      </c>
      <c r="I543" s="136" t="str">
        <f t="shared" si="26"/>
        <v/>
      </c>
    </row>
    <row r="544" spans="1:9" hidden="1" x14ac:dyDescent="0.25">
      <c r="A544" s="114" t="s">
        <v>2211</v>
      </c>
      <c r="B544" s="115" t="s">
        <v>2212</v>
      </c>
      <c r="C544" s="116" t="s">
        <v>20</v>
      </c>
      <c r="D544" s="116">
        <v>0</v>
      </c>
      <c r="E544" s="135" t="s">
        <v>558</v>
      </c>
      <c r="F544" s="136" t="str">
        <f t="shared" si="24"/>
        <v/>
      </c>
      <c r="G544" s="137" t="e">
        <f>IF(A544&lt;&gt;"",IF(AND(#REF!="Padrão",$H$4=#REF!),BDI!$B$17,IF(AND(#REF!="Padrão",$H$4=#REF!),BDI!#REF!,IF(AND(#REF!="Diferenciado",$H$4=#REF!),BDI!$E$17,IF(AND(#REF!="Diferenciado",$H$4=#REF!),BDI!#REF!,IF(#REF!="ZERO",0))))),"")</f>
        <v>#REF!</v>
      </c>
      <c r="H544" s="138" t="str">
        <f t="shared" si="25"/>
        <v/>
      </c>
      <c r="I544" s="136" t="str">
        <f t="shared" si="26"/>
        <v/>
      </c>
    </row>
    <row r="545" spans="1:9" hidden="1" x14ac:dyDescent="0.25">
      <c r="A545" s="114" t="s">
        <v>2213</v>
      </c>
      <c r="B545" s="115" t="s">
        <v>2214</v>
      </c>
      <c r="C545" s="116" t="s">
        <v>93</v>
      </c>
      <c r="D545" s="116">
        <v>0</v>
      </c>
      <c r="E545" s="135" t="s">
        <v>558</v>
      </c>
      <c r="F545" s="136" t="str">
        <f t="shared" si="24"/>
        <v/>
      </c>
      <c r="G545" s="137" t="e">
        <f>IF(A545&lt;&gt;"",IF(AND(#REF!="Padrão",$H$4=#REF!),BDI!$B$17,IF(AND(#REF!="Padrão",$H$4=#REF!),BDI!#REF!,IF(AND(#REF!="Diferenciado",$H$4=#REF!),BDI!$E$17,IF(AND(#REF!="Diferenciado",$H$4=#REF!),BDI!#REF!,IF(#REF!="ZERO",0))))),"")</f>
        <v>#REF!</v>
      </c>
      <c r="H545" s="138" t="str">
        <f t="shared" si="25"/>
        <v/>
      </c>
      <c r="I545" s="136" t="str">
        <f t="shared" si="26"/>
        <v/>
      </c>
    </row>
    <row r="546" spans="1:9" hidden="1" x14ac:dyDescent="0.25">
      <c r="A546" s="114" t="s">
        <v>2215</v>
      </c>
      <c r="B546" s="115" t="s">
        <v>2216</v>
      </c>
      <c r="C546" s="116" t="s">
        <v>93</v>
      </c>
      <c r="D546" s="116">
        <v>0</v>
      </c>
      <c r="E546" s="135" t="s">
        <v>558</v>
      </c>
      <c r="F546" s="136" t="str">
        <f t="shared" si="24"/>
        <v/>
      </c>
      <c r="G546" s="137" t="e">
        <f>IF(A546&lt;&gt;"",IF(AND(#REF!="Padrão",$H$4=#REF!),BDI!$B$17,IF(AND(#REF!="Padrão",$H$4=#REF!),BDI!#REF!,IF(AND(#REF!="Diferenciado",$H$4=#REF!),BDI!$E$17,IF(AND(#REF!="Diferenciado",$H$4=#REF!),BDI!#REF!,IF(#REF!="ZERO",0))))),"")</f>
        <v>#REF!</v>
      </c>
      <c r="H546" s="138" t="str">
        <f t="shared" si="25"/>
        <v/>
      </c>
      <c r="I546" s="136" t="str">
        <f t="shared" si="26"/>
        <v/>
      </c>
    </row>
    <row r="547" spans="1:9" hidden="1" x14ac:dyDescent="0.25">
      <c r="A547" s="114" t="s">
        <v>2217</v>
      </c>
      <c r="B547" s="115" t="s">
        <v>2218</v>
      </c>
      <c r="C547" s="116" t="s">
        <v>93</v>
      </c>
      <c r="D547" s="116">
        <v>0</v>
      </c>
      <c r="E547" s="135" t="s">
        <v>558</v>
      </c>
      <c r="F547" s="136" t="str">
        <f t="shared" si="24"/>
        <v/>
      </c>
      <c r="G547" s="137" t="e">
        <f>IF(A547&lt;&gt;"",IF(AND(#REF!="Padrão",$H$4=#REF!),BDI!$B$17,IF(AND(#REF!="Padrão",$H$4=#REF!),BDI!#REF!,IF(AND(#REF!="Diferenciado",$H$4=#REF!),BDI!$E$17,IF(AND(#REF!="Diferenciado",$H$4=#REF!),BDI!#REF!,IF(#REF!="ZERO",0))))),"")</f>
        <v>#REF!</v>
      </c>
      <c r="H547" s="138" t="str">
        <f t="shared" si="25"/>
        <v/>
      </c>
      <c r="I547" s="136" t="str">
        <f t="shared" si="26"/>
        <v/>
      </c>
    </row>
    <row r="548" spans="1:9" hidden="1" x14ac:dyDescent="0.25">
      <c r="A548" s="114" t="s">
        <v>2219</v>
      </c>
      <c r="B548" s="115" t="s">
        <v>2220</v>
      </c>
      <c r="C548" s="116" t="s">
        <v>93</v>
      </c>
      <c r="D548" s="116">
        <v>0</v>
      </c>
      <c r="E548" s="135" t="s">
        <v>558</v>
      </c>
      <c r="F548" s="136" t="str">
        <f t="shared" si="24"/>
        <v/>
      </c>
      <c r="G548" s="137" t="e">
        <f>IF(A548&lt;&gt;"",IF(AND(#REF!="Padrão",$H$4=#REF!),BDI!$B$17,IF(AND(#REF!="Padrão",$H$4=#REF!),BDI!#REF!,IF(AND(#REF!="Diferenciado",$H$4=#REF!),BDI!$E$17,IF(AND(#REF!="Diferenciado",$H$4=#REF!),BDI!#REF!,IF(#REF!="ZERO",0))))),"")</f>
        <v>#REF!</v>
      </c>
      <c r="H548" s="138" t="str">
        <f t="shared" si="25"/>
        <v/>
      </c>
      <c r="I548" s="136" t="str">
        <f t="shared" si="26"/>
        <v/>
      </c>
    </row>
    <row r="549" spans="1:9" hidden="1" x14ac:dyDescent="0.25">
      <c r="A549" s="114" t="s">
        <v>2221</v>
      </c>
      <c r="B549" s="115" t="s">
        <v>2222</v>
      </c>
      <c r="C549" s="116" t="s">
        <v>93</v>
      </c>
      <c r="D549" s="116">
        <v>0</v>
      </c>
      <c r="E549" s="135" t="s">
        <v>558</v>
      </c>
      <c r="F549" s="136" t="str">
        <f t="shared" si="24"/>
        <v/>
      </c>
      <c r="G549" s="137" t="e">
        <f>IF(A549&lt;&gt;"",IF(AND(#REF!="Padrão",$H$4=#REF!),BDI!$B$17,IF(AND(#REF!="Padrão",$H$4=#REF!),BDI!#REF!,IF(AND(#REF!="Diferenciado",$H$4=#REF!),BDI!$E$17,IF(AND(#REF!="Diferenciado",$H$4=#REF!),BDI!#REF!,IF(#REF!="ZERO",0))))),"")</f>
        <v>#REF!</v>
      </c>
      <c r="H549" s="138" t="str">
        <f t="shared" si="25"/>
        <v/>
      </c>
      <c r="I549" s="136" t="str">
        <f t="shared" si="26"/>
        <v/>
      </c>
    </row>
    <row r="550" spans="1:9" hidden="1" x14ac:dyDescent="0.25">
      <c r="A550" s="114" t="s">
        <v>2223</v>
      </c>
      <c r="B550" s="115" t="s">
        <v>2224</v>
      </c>
      <c r="C550" s="116" t="s">
        <v>93</v>
      </c>
      <c r="D550" s="116">
        <v>0</v>
      </c>
      <c r="E550" s="135" t="s">
        <v>558</v>
      </c>
      <c r="F550" s="136" t="str">
        <f t="shared" si="24"/>
        <v/>
      </c>
      <c r="G550" s="137" t="e">
        <f>IF(A550&lt;&gt;"",IF(AND(#REF!="Padrão",$H$4=#REF!),BDI!$B$17,IF(AND(#REF!="Padrão",$H$4=#REF!),BDI!#REF!,IF(AND(#REF!="Diferenciado",$H$4=#REF!),BDI!$E$17,IF(AND(#REF!="Diferenciado",$H$4=#REF!),BDI!#REF!,IF(#REF!="ZERO",0))))),"")</f>
        <v>#REF!</v>
      </c>
      <c r="H550" s="138" t="str">
        <f t="shared" si="25"/>
        <v/>
      </c>
      <c r="I550" s="136" t="str">
        <f t="shared" si="26"/>
        <v/>
      </c>
    </row>
    <row r="551" spans="1:9" hidden="1" x14ac:dyDescent="0.25">
      <c r="A551" s="114" t="s">
        <v>2225</v>
      </c>
      <c r="B551" s="115" t="s">
        <v>2226</v>
      </c>
      <c r="C551" s="116" t="s">
        <v>93</v>
      </c>
      <c r="D551" s="116">
        <v>0</v>
      </c>
      <c r="E551" s="135" t="s">
        <v>558</v>
      </c>
      <c r="F551" s="136" t="str">
        <f t="shared" si="24"/>
        <v/>
      </c>
      <c r="G551" s="137" t="e">
        <f>IF(A551&lt;&gt;"",IF(AND(#REF!="Padrão",$H$4=#REF!),BDI!$B$17,IF(AND(#REF!="Padrão",$H$4=#REF!),BDI!#REF!,IF(AND(#REF!="Diferenciado",$H$4=#REF!),BDI!$E$17,IF(AND(#REF!="Diferenciado",$H$4=#REF!),BDI!#REF!,IF(#REF!="ZERO",0))))),"")</f>
        <v>#REF!</v>
      </c>
      <c r="H551" s="138" t="str">
        <f t="shared" si="25"/>
        <v/>
      </c>
      <c r="I551" s="136" t="str">
        <f t="shared" si="26"/>
        <v/>
      </c>
    </row>
    <row r="552" spans="1:9" hidden="1" x14ac:dyDescent="0.25">
      <c r="A552" s="114" t="s">
        <v>2227</v>
      </c>
      <c r="B552" s="115" t="s">
        <v>2228</v>
      </c>
      <c r="C552" s="116" t="s">
        <v>93</v>
      </c>
      <c r="D552" s="116">
        <v>0</v>
      </c>
      <c r="E552" s="135" t="s">
        <v>558</v>
      </c>
      <c r="F552" s="136" t="str">
        <f t="shared" si="24"/>
        <v/>
      </c>
      <c r="G552" s="137" t="e">
        <f>IF(A552&lt;&gt;"",IF(AND(#REF!="Padrão",$H$4=#REF!),BDI!$B$17,IF(AND(#REF!="Padrão",$H$4=#REF!),BDI!#REF!,IF(AND(#REF!="Diferenciado",$H$4=#REF!),BDI!$E$17,IF(AND(#REF!="Diferenciado",$H$4=#REF!),BDI!#REF!,IF(#REF!="ZERO",0))))),"")</f>
        <v>#REF!</v>
      </c>
      <c r="H552" s="138" t="str">
        <f t="shared" si="25"/>
        <v/>
      </c>
      <c r="I552" s="136" t="str">
        <f t="shared" si="26"/>
        <v/>
      </c>
    </row>
    <row r="553" spans="1:9" hidden="1" x14ac:dyDescent="0.25">
      <c r="A553" s="114" t="s">
        <v>2229</v>
      </c>
      <c r="B553" s="115" t="s">
        <v>2230</v>
      </c>
      <c r="C553" s="116" t="s">
        <v>93</v>
      </c>
      <c r="D553" s="116">
        <v>0</v>
      </c>
      <c r="E553" s="135" t="s">
        <v>558</v>
      </c>
      <c r="F553" s="136" t="str">
        <f t="shared" si="24"/>
        <v/>
      </c>
      <c r="G553" s="137" t="e">
        <f>IF(A553&lt;&gt;"",IF(AND(#REF!="Padrão",$H$4=#REF!),BDI!$B$17,IF(AND(#REF!="Padrão",$H$4=#REF!),BDI!#REF!,IF(AND(#REF!="Diferenciado",$H$4=#REF!),BDI!$E$17,IF(AND(#REF!="Diferenciado",$H$4=#REF!),BDI!#REF!,IF(#REF!="ZERO",0))))),"")</f>
        <v>#REF!</v>
      </c>
      <c r="H553" s="138" t="str">
        <f t="shared" si="25"/>
        <v/>
      </c>
      <c r="I553" s="136" t="str">
        <f t="shared" si="26"/>
        <v/>
      </c>
    </row>
    <row r="554" spans="1:9" hidden="1" x14ac:dyDescent="0.25">
      <c r="A554" s="114" t="s">
        <v>2231</v>
      </c>
      <c r="B554" s="115" t="s">
        <v>2232</v>
      </c>
      <c r="C554" s="116" t="s">
        <v>93</v>
      </c>
      <c r="D554" s="116">
        <v>0</v>
      </c>
      <c r="E554" s="135" t="s">
        <v>558</v>
      </c>
      <c r="F554" s="136" t="str">
        <f t="shared" si="24"/>
        <v/>
      </c>
      <c r="G554" s="137" t="e">
        <f>IF(A554&lt;&gt;"",IF(AND(#REF!="Padrão",$H$4=#REF!),BDI!$B$17,IF(AND(#REF!="Padrão",$H$4=#REF!),BDI!#REF!,IF(AND(#REF!="Diferenciado",$H$4=#REF!),BDI!$E$17,IF(AND(#REF!="Diferenciado",$H$4=#REF!),BDI!#REF!,IF(#REF!="ZERO",0))))),"")</f>
        <v>#REF!</v>
      </c>
      <c r="H554" s="138" t="str">
        <f t="shared" si="25"/>
        <v/>
      </c>
      <c r="I554" s="136" t="str">
        <f t="shared" si="26"/>
        <v/>
      </c>
    </row>
    <row r="555" spans="1:9" hidden="1" x14ac:dyDescent="0.25">
      <c r="A555" s="114" t="s">
        <v>2233</v>
      </c>
      <c r="B555" s="115" t="s">
        <v>2234</v>
      </c>
      <c r="C555" s="116" t="s">
        <v>93</v>
      </c>
      <c r="D555" s="116">
        <v>0</v>
      </c>
      <c r="E555" s="135" t="s">
        <v>558</v>
      </c>
      <c r="F555" s="136" t="str">
        <f t="shared" si="24"/>
        <v/>
      </c>
      <c r="G555" s="137" t="e">
        <f>IF(A555&lt;&gt;"",IF(AND(#REF!="Padrão",$H$4=#REF!),BDI!$B$17,IF(AND(#REF!="Padrão",$H$4=#REF!),BDI!#REF!,IF(AND(#REF!="Diferenciado",$H$4=#REF!),BDI!$E$17,IF(AND(#REF!="Diferenciado",$H$4=#REF!),BDI!#REF!,IF(#REF!="ZERO",0))))),"")</f>
        <v>#REF!</v>
      </c>
      <c r="H555" s="138" t="str">
        <f t="shared" si="25"/>
        <v/>
      </c>
      <c r="I555" s="136" t="str">
        <f t="shared" si="26"/>
        <v/>
      </c>
    </row>
    <row r="556" spans="1:9" hidden="1" x14ac:dyDescent="0.25">
      <c r="A556" s="114" t="s">
        <v>2235</v>
      </c>
      <c r="B556" s="115" t="s">
        <v>2236</v>
      </c>
      <c r="C556" s="116" t="s">
        <v>93</v>
      </c>
      <c r="D556" s="116">
        <v>0</v>
      </c>
      <c r="E556" s="135" t="s">
        <v>558</v>
      </c>
      <c r="F556" s="136" t="str">
        <f t="shared" si="24"/>
        <v/>
      </c>
      <c r="G556" s="137" t="e">
        <f>IF(A556&lt;&gt;"",IF(AND(#REF!="Padrão",$H$4=#REF!),BDI!$B$17,IF(AND(#REF!="Padrão",$H$4=#REF!),BDI!#REF!,IF(AND(#REF!="Diferenciado",$H$4=#REF!),BDI!$E$17,IF(AND(#REF!="Diferenciado",$H$4=#REF!),BDI!#REF!,IF(#REF!="ZERO",0))))),"")</f>
        <v>#REF!</v>
      </c>
      <c r="H556" s="138" t="str">
        <f t="shared" si="25"/>
        <v/>
      </c>
      <c r="I556" s="136" t="str">
        <f t="shared" si="26"/>
        <v/>
      </c>
    </row>
    <row r="557" spans="1:9" hidden="1" x14ac:dyDescent="0.25">
      <c r="A557" s="114" t="s">
        <v>2237</v>
      </c>
      <c r="B557" s="115" t="s">
        <v>2238</v>
      </c>
      <c r="C557" s="116" t="s">
        <v>93</v>
      </c>
      <c r="D557" s="116">
        <v>0</v>
      </c>
      <c r="E557" s="135" t="s">
        <v>558</v>
      </c>
      <c r="F557" s="136" t="str">
        <f t="shared" si="24"/>
        <v/>
      </c>
      <c r="G557" s="137" t="e">
        <f>IF(A557&lt;&gt;"",IF(AND(#REF!="Padrão",$H$4=#REF!),BDI!$B$17,IF(AND(#REF!="Padrão",$H$4=#REF!),BDI!#REF!,IF(AND(#REF!="Diferenciado",$H$4=#REF!),BDI!$E$17,IF(AND(#REF!="Diferenciado",$H$4=#REF!),BDI!#REF!,IF(#REF!="ZERO",0))))),"")</f>
        <v>#REF!</v>
      </c>
      <c r="H557" s="138" t="str">
        <f t="shared" si="25"/>
        <v/>
      </c>
      <c r="I557" s="136" t="str">
        <f t="shared" si="26"/>
        <v/>
      </c>
    </row>
    <row r="558" spans="1:9" hidden="1" x14ac:dyDescent="0.25">
      <c r="A558" s="114" t="s">
        <v>2239</v>
      </c>
      <c r="B558" s="115" t="s">
        <v>2240</v>
      </c>
      <c r="C558" s="116" t="s">
        <v>93</v>
      </c>
      <c r="D558" s="116">
        <v>0</v>
      </c>
      <c r="E558" s="135" t="s">
        <v>558</v>
      </c>
      <c r="F558" s="136" t="str">
        <f t="shared" si="24"/>
        <v/>
      </c>
      <c r="G558" s="137" t="e">
        <f>IF(A558&lt;&gt;"",IF(AND(#REF!="Padrão",$H$4=#REF!),BDI!$B$17,IF(AND(#REF!="Padrão",$H$4=#REF!),BDI!#REF!,IF(AND(#REF!="Diferenciado",$H$4=#REF!),BDI!$E$17,IF(AND(#REF!="Diferenciado",$H$4=#REF!),BDI!#REF!,IF(#REF!="ZERO",0))))),"")</f>
        <v>#REF!</v>
      </c>
      <c r="H558" s="138" t="str">
        <f t="shared" si="25"/>
        <v/>
      </c>
      <c r="I558" s="136" t="str">
        <f t="shared" si="26"/>
        <v/>
      </c>
    </row>
    <row r="559" spans="1:9" hidden="1" x14ac:dyDescent="0.25">
      <c r="A559" s="114" t="s">
        <v>2241</v>
      </c>
      <c r="B559" s="115" t="s">
        <v>2242</v>
      </c>
      <c r="C559" s="116" t="s">
        <v>93</v>
      </c>
      <c r="D559" s="116">
        <v>0</v>
      </c>
      <c r="E559" s="135" t="s">
        <v>558</v>
      </c>
      <c r="F559" s="136" t="str">
        <f t="shared" si="24"/>
        <v/>
      </c>
      <c r="G559" s="137" t="e">
        <f>IF(A559&lt;&gt;"",IF(AND(#REF!="Padrão",$H$4=#REF!),BDI!$B$17,IF(AND(#REF!="Padrão",$H$4=#REF!),BDI!#REF!,IF(AND(#REF!="Diferenciado",$H$4=#REF!),BDI!$E$17,IF(AND(#REF!="Diferenciado",$H$4=#REF!),BDI!#REF!,IF(#REF!="ZERO",0))))),"")</f>
        <v>#REF!</v>
      </c>
      <c r="H559" s="138" t="str">
        <f t="shared" si="25"/>
        <v/>
      </c>
      <c r="I559" s="136" t="str">
        <f t="shared" si="26"/>
        <v/>
      </c>
    </row>
    <row r="560" spans="1:9" hidden="1" x14ac:dyDescent="0.25">
      <c r="A560" s="114" t="s">
        <v>2243</v>
      </c>
      <c r="B560" s="115" t="s">
        <v>2244</v>
      </c>
      <c r="C560" s="116" t="s">
        <v>93</v>
      </c>
      <c r="D560" s="116">
        <v>0</v>
      </c>
      <c r="E560" s="135" t="s">
        <v>558</v>
      </c>
      <c r="F560" s="136" t="str">
        <f t="shared" si="24"/>
        <v/>
      </c>
      <c r="G560" s="137" t="e">
        <f>IF(A560&lt;&gt;"",IF(AND(#REF!="Padrão",$H$4=#REF!),BDI!$B$17,IF(AND(#REF!="Padrão",$H$4=#REF!),BDI!#REF!,IF(AND(#REF!="Diferenciado",$H$4=#REF!),BDI!$E$17,IF(AND(#REF!="Diferenciado",$H$4=#REF!),BDI!#REF!,IF(#REF!="ZERO",0))))),"")</f>
        <v>#REF!</v>
      </c>
      <c r="H560" s="138" t="str">
        <f t="shared" si="25"/>
        <v/>
      </c>
      <c r="I560" s="136" t="str">
        <f t="shared" si="26"/>
        <v/>
      </c>
    </row>
    <row r="561" spans="1:9" ht="25.5" hidden="1" x14ac:dyDescent="0.25">
      <c r="A561" s="114" t="s">
        <v>2245</v>
      </c>
      <c r="B561" s="115" t="s">
        <v>2246</v>
      </c>
      <c r="C561" s="116" t="s">
        <v>2247</v>
      </c>
      <c r="D561" s="116">
        <v>0</v>
      </c>
      <c r="E561" s="135" t="s">
        <v>558</v>
      </c>
      <c r="F561" s="136" t="str">
        <f t="shared" si="24"/>
        <v/>
      </c>
      <c r="G561" s="137" t="e">
        <f>IF(A561&lt;&gt;"",IF(AND(#REF!="Padrão",$H$4=#REF!),BDI!$B$17,IF(AND(#REF!="Padrão",$H$4=#REF!),BDI!#REF!,IF(AND(#REF!="Diferenciado",$H$4=#REF!),BDI!$E$17,IF(AND(#REF!="Diferenciado",$H$4=#REF!),BDI!#REF!,IF(#REF!="ZERO",0))))),"")</f>
        <v>#REF!</v>
      </c>
      <c r="H561" s="138" t="str">
        <f t="shared" si="25"/>
        <v/>
      </c>
      <c r="I561" s="136" t="str">
        <f t="shared" si="26"/>
        <v/>
      </c>
    </row>
    <row r="562" spans="1:9" hidden="1" x14ac:dyDescent="0.25">
      <c r="A562" s="114" t="s">
        <v>2248</v>
      </c>
      <c r="B562" s="115" t="s">
        <v>2249</v>
      </c>
      <c r="C562" s="116" t="s">
        <v>95</v>
      </c>
      <c r="D562" s="116">
        <v>0</v>
      </c>
      <c r="E562" s="135">
        <f ca="1">OFFSET(INDEX(Composições!A:J,MATCH(Orçamentária!A562,Composições!A:A,0),8),2,0)</f>
        <v>5.4245000000000001</v>
      </c>
      <c r="F562" s="136">
        <f t="shared" ca="1" si="24"/>
        <v>0</v>
      </c>
      <c r="G562" s="137" t="e">
        <f>IF(A562&lt;&gt;"",IF(AND(#REF!="Padrão",$H$4=#REF!),BDI!$B$17,IF(AND(#REF!="Padrão",$H$4=#REF!),BDI!#REF!,IF(AND(#REF!="Diferenciado",$H$4=#REF!),BDI!$E$17,IF(AND(#REF!="Diferenciado",$H$4=#REF!),BDI!#REF!,IF(#REF!="ZERO",0))))),"")</f>
        <v>#REF!</v>
      </c>
      <c r="H562" s="138" t="e">
        <f t="shared" ca="1" si="25"/>
        <v>#REF!</v>
      </c>
      <c r="I562" s="136" t="e">
        <f t="shared" ca="1" si="26"/>
        <v>#REF!</v>
      </c>
    </row>
    <row r="563" spans="1:9" hidden="1" x14ac:dyDescent="0.25">
      <c r="A563" s="114" t="s">
        <v>2250</v>
      </c>
      <c r="B563" s="115" t="s">
        <v>2251</v>
      </c>
      <c r="C563" s="116" t="s">
        <v>95</v>
      </c>
      <c r="D563" s="116">
        <v>0</v>
      </c>
      <c r="E563" s="135" t="s">
        <v>558</v>
      </c>
      <c r="F563" s="136" t="str">
        <f t="shared" si="24"/>
        <v/>
      </c>
      <c r="G563" s="137" t="e">
        <f>IF(A563&lt;&gt;"",IF(AND(#REF!="Padrão",$H$4=#REF!),BDI!$B$17,IF(AND(#REF!="Padrão",$H$4=#REF!),BDI!#REF!,IF(AND(#REF!="Diferenciado",$H$4=#REF!),BDI!$E$17,IF(AND(#REF!="Diferenciado",$H$4=#REF!),BDI!#REF!,IF(#REF!="ZERO",0))))),"")</f>
        <v>#REF!</v>
      </c>
      <c r="H563" s="138" t="str">
        <f t="shared" si="25"/>
        <v/>
      </c>
      <c r="I563" s="136" t="str">
        <f t="shared" si="26"/>
        <v/>
      </c>
    </row>
    <row r="564" spans="1:9" hidden="1" x14ac:dyDescent="0.25">
      <c r="A564" s="114" t="s">
        <v>2252</v>
      </c>
      <c r="B564" s="115" t="s">
        <v>2253</v>
      </c>
      <c r="C564" s="116" t="s">
        <v>42</v>
      </c>
      <c r="D564" s="116">
        <v>0</v>
      </c>
      <c r="E564" s="135">
        <f ca="1">OFFSET(INDEX(Composições!A:J,MATCH(Orçamentária!A564,Composições!A:A,0),8),2,0)</f>
        <v>28.594999999999999</v>
      </c>
      <c r="F564" s="136">
        <f t="shared" ca="1" si="24"/>
        <v>0</v>
      </c>
      <c r="G564" s="137" t="e">
        <f>IF(A564&lt;&gt;"",IF(AND(#REF!="Padrão",$H$4=#REF!),BDI!$B$17,IF(AND(#REF!="Padrão",$H$4=#REF!),BDI!#REF!,IF(AND(#REF!="Diferenciado",$H$4=#REF!),BDI!$E$17,IF(AND(#REF!="Diferenciado",$H$4=#REF!),BDI!#REF!,IF(#REF!="ZERO",0))))),"")</f>
        <v>#REF!</v>
      </c>
      <c r="H564" s="138" t="e">
        <f t="shared" ca="1" si="25"/>
        <v>#REF!</v>
      </c>
      <c r="I564" s="136" t="e">
        <f t="shared" ca="1" si="26"/>
        <v>#REF!</v>
      </c>
    </row>
    <row r="565" spans="1:9" hidden="1" x14ac:dyDescent="0.25">
      <c r="A565" s="114" t="s">
        <v>2254</v>
      </c>
      <c r="B565" s="115" t="s">
        <v>2255</v>
      </c>
      <c r="C565" s="116" t="s">
        <v>42</v>
      </c>
      <c r="D565" s="116">
        <v>0</v>
      </c>
      <c r="E565" s="135" t="s">
        <v>558</v>
      </c>
      <c r="F565" s="136" t="str">
        <f t="shared" si="24"/>
        <v/>
      </c>
      <c r="G565" s="137" t="e">
        <f>IF(A565&lt;&gt;"",IF(AND(#REF!="Padrão",$H$4=#REF!),BDI!$B$17,IF(AND(#REF!="Padrão",$H$4=#REF!),BDI!#REF!,IF(AND(#REF!="Diferenciado",$H$4=#REF!),BDI!$E$17,IF(AND(#REF!="Diferenciado",$H$4=#REF!),BDI!#REF!,IF(#REF!="ZERO",0))))),"")</f>
        <v>#REF!</v>
      </c>
      <c r="H565" s="138" t="str">
        <f t="shared" si="25"/>
        <v/>
      </c>
      <c r="I565" s="136" t="str">
        <f t="shared" si="26"/>
        <v/>
      </c>
    </row>
    <row r="566" spans="1:9" hidden="1" x14ac:dyDescent="0.25">
      <c r="A566" s="114" t="s">
        <v>2256</v>
      </c>
      <c r="B566" s="115" t="s">
        <v>2257</v>
      </c>
      <c r="C566" s="116" t="s">
        <v>95</v>
      </c>
      <c r="D566" s="116">
        <v>0</v>
      </c>
      <c r="E566" s="135">
        <f ca="1">OFFSET(INDEX(Composições!A:J,MATCH(Orçamentária!A566,Composições!A:A,0),8),2,0)</f>
        <v>38.598500000000001</v>
      </c>
      <c r="F566" s="136">
        <f t="shared" ca="1" si="24"/>
        <v>0</v>
      </c>
      <c r="G566" s="137" t="e">
        <f>IF(A566&lt;&gt;"",IF(AND(#REF!="Padrão",$H$4=#REF!),BDI!$B$17,IF(AND(#REF!="Padrão",$H$4=#REF!),BDI!#REF!,IF(AND(#REF!="Diferenciado",$H$4=#REF!),BDI!$E$17,IF(AND(#REF!="Diferenciado",$H$4=#REF!),BDI!#REF!,IF(#REF!="ZERO",0))))),"")</f>
        <v>#REF!</v>
      </c>
      <c r="H566" s="138" t="e">
        <f t="shared" ca="1" si="25"/>
        <v>#REF!</v>
      </c>
      <c r="I566" s="136" t="e">
        <f t="shared" ca="1" si="26"/>
        <v>#REF!</v>
      </c>
    </row>
    <row r="567" spans="1:9" hidden="1" x14ac:dyDescent="0.25">
      <c r="A567" s="114" t="s">
        <v>2258</v>
      </c>
      <c r="B567" s="115" t="s">
        <v>2259</v>
      </c>
      <c r="C567" s="116" t="s">
        <v>20</v>
      </c>
      <c r="D567" s="116">
        <v>0</v>
      </c>
      <c r="E567" s="135">
        <f ca="1">OFFSET(INDEX(Composições!A:J,MATCH(Orçamentária!A567,Composições!A:A,0),8),2,0)</f>
        <v>9.8686000000000007</v>
      </c>
      <c r="F567" s="136">
        <f t="shared" ca="1" si="24"/>
        <v>0</v>
      </c>
      <c r="G567" s="137" t="e">
        <f>IF(A567&lt;&gt;"",IF(AND(#REF!="Padrão",$H$4=#REF!),BDI!$B$17,IF(AND(#REF!="Padrão",$H$4=#REF!),BDI!#REF!,IF(AND(#REF!="Diferenciado",$H$4=#REF!),BDI!$E$17,IF(AND(#REF!="Diferenciado",$H$4=#REF!),BDI!#REF!,IF(#REF!="ZERO",0))))),"")</f>
        <v>#REF!</v>
      </c>
      <c r="H567" s="138" t="e">
        <f t="shared" ca="1" si="25"/>
        <v>#REF!</v>
      </c>
      <c r="I567" s="136" t="e">
        <f t="shared" ca="1" si="26"/>
        <v>#REF!</v>
      </c>
    </row>
    <row r="568" spans="1:9" hidden="1" x14ac:dyDescent="0.25">
      <c r="A568" s="114" t="s">
        <v>782</v>
      </c>
      <c r="B568" s="115" t="s">
        <v>2260</v>
      </c>
      <c r="C568" s="116" t="s">
        <v>2261</v>
      </c>
      <c r="D568" s="116">
        <v>0</v>
      </c>
      <c r="E568" s="135">
        <f ca="1">OFFSET(INDEX(Composições!A:J,MATCH(Orçamentária!A568,Composições!A:A,0),8),2,0)</f>
        <v>17.48</v>
      </c>
      <c r="F568" s="136">
        <f t="shared" ca="1" si="24"/>
        <v>0</v>
      </c>
      <c r="G568" s="137" t="e">
        <f>IF(A568&lt;&gt;"",IF(AND(#REF!="Padrão",$H$4=#REF!),BDI!$B$17,IF(AND(#REF!="Padrão",$H$4=#REF!),BDI!#REF!,IF(AND(#REF!="Diferenciado",$H$4=#REF!),BDI!$E$17,IF(AND(#REF!="Diferenciado",$H$4=#REF!),BDI!#REF!,IF(#REF!="ZERO",0))))),"")</f>
        <v>#REF!</v>
      </c>
      <c r="H568" s="138" t="e">
        <f t="shared" ca="1" si="25"/>
        <v>#REF!</v>
      </c>
      <c r="I568" s="136" t="e">
        <f t="shared" ca="1" si="26"/>
        <v>#REF!</v>
      </c>
    </row>
    <row r="569" spans="1:9" hidden="1" x14ac:dyDescent="0.25">
      <c r="A569" s="114" t="s">
        <v>784</v>
      </c>
      <c r="B569" s="115" t="s">
        <v>2262</v>
      </c>
      <c r="C569" s="116" t="s">
        <v>2261</v>
      </c>
      <c r="D569" s="116">
        <v>0</v>
      </c>
      <c r="E569" s="135">
        <f ca="1">OFFSET(INDEX(Composições!A:J,MATCH(Orçamentária!A569,Composições!A:A,0),8),2,0)</f>
        <v>18.619999999999997</v>
      </c>
      <c r="F569" s="136">
        <f t="shared" ca="1" si="24"/>
        <v>0</v>
      </c>
      <c r="G569" s="137" t="e">
        <f>IF(A569&lt;&gt;"",IF(AND(#REF!="Padrão",$H$4=#REF!),BDI!$B$17,IF(AND(#REF!="Padrão",$H$4=#REF!),BDI!#REF!,IF(AND(#REF!="Diferenciado",$H$4=#REF!),BDI!$E$17,IF(AND(#REF!="Diferenciado",$H$4=#REF!),BDI!#REF!,IF(#REF!="ZERO",0))))),"")</f>
        <v>#REF!</v>
      </c>
      <c r="H569" s="138" t="e">
        <f t="shared" ca="1" si="25"/>
        <v>#REF!</v>
      </c>
      <c r="I569" s="136" t="e">
        <f t="shared" ca="1" si="26"/>
        <v>#REF!</v>
      </c>
    </row>
    <row r="570" spans="1:9" hidden="1" x14ac:dyDescent="0.25">
      <c r="A570" s="114" t="s">
        <v>786</v>
      </c>
      <c r="B570" s="115" t="s">
        <v>2263</v>
      </c>
      <c r="C570" s="116" t="s">
        <v>2264</v>
      </c>
      <c r="D570" s="116">
        <v>0</v>
      </c>
      <c r="E570" s="135">
        <f ca="1">OFFSET(INDEX(Composições!A:J,MATCH(Orçamentária!A570,Composições!A:A,0),8),2,0)</f>
        <v>26.125</v>
      </c>
      <c r="F570" s="136">
        <f t="shared" ca="1" si="24"/>
        <v>0</v>
      </c>
      <c r="G570" s="137" t="e">
        <f>IF(A570&lt;&gt;"",IF(AND(#REF!="Padrão",$H$4=#REF!),BDI!$B$17,IF(AND(#REF!="Padrão",$H$4=#REF!),BDI!#REF!,IF(AND(#REF!="Diferenciado",$H$4=#REF!),BDI!$E$17,IF(AND(#REF!="Diferenciado",$H$4=#REF!),BDI!#REF!,IF(#REF!="ZERO",0))))),"")</f>
        <v>#REF!</v>
      </c>
      <c r="H570" s="138" t="e">
        <f t="shared" ca="1" si="25"/>
        <v>#REF!</v>
      </c>
      <c r="I570" s="136" t="e">
        <f t="shared" ca="1" si="26"/>
        <v>#REF!</v>
      </c>
    </row>
    <row r="571" spans="1:9" hidden="1" x14ac:dyDescent="0.25">
      <c r="A571" s="114" t="s">
        <v>788</v>
      </c>
      <c r="B571" s="115" t="s">
        <v>2265</v>
      </c>
      <c r="C571" s="116" t="s">
        <v>2266</v>
      </c>
      <c r="D571" s="116">
        <v>0</v>
      </c>
      <c r="E571" s="135">
        <f ca="1">OFFSET(INDEX(Composições!A:J,MATCH(Orçamentária!A571,Composições!A:A,0),8),2,0)</f>
        <v>26.22</v>
      </c>
      <c r="F571" s="136">
        <f t="shared" ca="1" si="24"/>
        <v>0</v>
      </c>
      <c r="G571" s="137" t="e">
        <f>IF(A571&lt;&gt;"",IF(AND(#REF!="Padrão",$H$4=#REF!),BDI!$B$17,IF(AND(#REF!="Padrão",$H$4=#REF!),BDI!#REF!,IF(AND(#REF!="Diferenciado",$H$4=#REF!),BDI!$E$17,IF(AND(#REF!="Diferenciado",$H$4=#REF!),BDI!#REF!,IF(#REF!="ZERO",0))))),"")</f>
        <v>#REF!</v>
      </c>
      <c r="H571" s="138" t="e">
        <f t="shared" ca="1" si="25"/>
        <v>#REF!</v>
      </c>
      <c r="I571" s="136" t="e">
        <f t="shared" ca="1" si="26"/>
        <v>#REF!</v>
      </c>
    </row>
    <row r="572" spans="1:9" hidden="1" x14ac:dyDescent="0.25">
      <c r="A572" s="114" t="s">
        <v>789</v>
      </c>
      <c r="B572" s="115" t="s">
        <v>2267</v>
      </c>
      <c r="C572" s="116" t="s">
        <v>2261</v>
      </c>
      <c r="D572" s="116">
        <v>0</v>
      </c>
      <c r="E572" s="135">
        <f ca="1">OFFSET(INDEX(Composições!A:J,MATCH(Orçamentária!A572,Composições!A:A,0),8),2,0)</f>
        <v>14.82</v>
      </c>
      <c r="F572" s="136">
        <f t="shared" ca="1" si="24"/>
        <v>0</v>
      </c>
      <c r="G572" s="137" t="e">
        <f>IF(A572&lt;&gt;"",IF(AND(#REF!="Padrão",$H$4=#REF!),BDI!$B$17,IF(AND(#REF!="Padrão",$H$4=#REF!),BDI!#REF!,IF(AND(#REF!="Diferenciado",$H$4=#REF!),BDI!$E$17,IF(AND(#REF!="Diferenciado",$H$4=#REF!),BDI!#REF!,IF(#REF!="ZERO",0))))),"")</f>
        <v>#REF!</v>
      </c>
      <c r="H572" s="138" t="e">
        <f t="shared" ca="1" si="25"/>
        <v>#REF!</v>
      </c>
      <c r="I572" s="136" t="e">
        <f t="shared" ca="1" si="26"/>
        <v>#REF!</v>
      </c>
    </row>
    <row r="573" spans="1:9" hidden="1" x14ac:dyDescent="0.25">
      <c r="A573" s="114" t="s">
        <v>790</v>
      </c>
      <c r="B573" s="115" t="s">
        <v>2268</v>
      </c>
      <c r="C573" s="116" t="s">
        <v>110</v>
      </c>
      <c r="D573" s="116">
        <v>0</v>
      </c>
      <c r="E573" s="135">
        <f ca="1">OFFSET(INDEX(Composições!A:J,MATCH(Orçamentária!A573,Composições!A:A,0),8),2,0)</f>
        <v>118.2920943</v>
      </c>
      <c r="F573" s="136">
        <f t="shared" ca="1" si="24"/>
        <v>0</v>
      </c>
      <c r="G573" s="137" t="e">
        <f>IF(A573&lt;&gt;"",IF(AND(#REF!="Padrão",$H$4=#REF!),BDI!$B$17,IF(AND(#REF!="Padrão",$H$4=#REF!),BDI!#REF!,IF(AND(#REF!="Diferenciado",$H$4=#REF!),BDI!$E$17,IF(AND(#REF!="Diferenciado",$H$4=#REF!),BDI!#REF!,IF(#REF!="ZERO",0))))),"")</f>
        <v>#REF!</v>
      </c>
      <c r="H573" s="138" t="e">
        <f t="shared" ca="1" si="25"/>
        <v>#REF!</v>
      </c>
      <c r="I573" s="136" t="e">
        <f t="shared" ca="1" si="26"/>
        <v>#REF!</v>
      </c>
    </row>
    <row r="574" spans="1:9" hidden="1" x14ac:dyDescent="0.25">
      <c r="A574" s="114" t="s">
        <v>795</v>
      </c>
      <c r="B574" s="115" t="s">
        <v>2269</v>
      </c>
      <c r="C574" s="116" t="s">
        <v>110</v>
      </c>
      <c r="D574" s="116">
        <v>0</v>
      </c>
      <c r="E574" s="135">
        <f ca="1">OFFSET(INDEX(Composições!A:J,MATCH(Orçamentária!A574,Composições!A:A,0),8),2,0)</f>
        <v>177.08759429999998</v>
      </c>
      <c r="F574" s="136">
        <f t="shared" ca="1" si="24"/>
        <v>0</v>
      </c>
      <c r="G574" s="137" t="e">
        <f>IF(A574&lt;&gt;"",IF(AND(#REF!="Padrão",$H$4=#REF!),BDI!$B$17,IF(AND(#REF!="Padrão",$H$4=#REF!),BDI!#REF!,IF(AND(#REF!="Diferenciado",$H$4=#REF!),BDI!$E$17,IF(AND(#REF!="Diferenciado",$H$4=#REF!),BDI!#REF!,IF(#REF!="ZERO",0))))),"")</f>
        <v>#REF!</v>
      </c>
      <c r="H574" s="138" t="e">
        <f t="shared" ca="1" si="25"/>
        <v>#REF!</v>
      </c>
      <c r="I574" s="136" t="e">
        <f t="shared" ca="1" si="26"/>
        <v>#REF!</v>
      </c>
    </row>
    <row r="575" spans="1:9" hidden="1" x14ac:dyDescent="0.25">
      <c r="A575" s="114" t="s">
        <v>798</v>
      </c>
      <c r="B575" s="115" t="s">
        <v>2270</v>
      </c>
      <c r="C575" s="116" t="s">
        <v>110</v>
      </c>
      <c r="D575" s="116">
        <v>0</v>
      </c>
      <c r="E575" s="135">
        <f ca="1">OFFSET(INDEX(Composições!A:J,MATCH(Orçamentária!A575,Composições!A:A,0),8),2,0)</f>
        <v>157.7740943</v>
      </c>
      <c r="F575" s="136">
        <f t="shared" ca="1" si="24"/>
        <v>0</v>
      </c>
      <c r="G575" s="137" t="e">
        <f>IF(A575&lt;&gt;"",IF(AND(#REF!="Padrão",$H$4=#REF!),BDI!$B$17,IF(AND(#REF!="Padrão",$H$4=#REF!),BDI!#REF!,IF(AND(#REF!="Diferenciado",$H$4=#REF!),BDI!$E$17,IF(AND(#REF!="Diferenciado",$H$4=#REF!),BDI!#REF!,IF(#REF!="ZERO",0))))),"")</f>
        <v>#REF!</v>
      </c>
      <c r="H575" s="138" t="e">
        <f t="shared" ca="1" si="25"/>
        <v>#REF!</v>
      </c>
      <c r="I575" s="136" t="e">
        <f t="shared" ca="1" si="26"/>
        <v>#REF!</v>
      </c>
    </row>
    <row r="576" spans="1:9" hidden="1" x14ac:dyDescent="0.25">
      <c r="A576" s="114" t="s">
        <v>800</v>
      </c>
      <c r="B576" s="115" t="s">
        <v>2271</v>
      </c>
      <c r="C576" s="116" t="s">
        <v>20</v>
      </c>
      <c r="D576" s="116">
        <v>0</v>
      </c>
      <c r="E576" s="135">
        <f ca="1">OFFSET(INDEX(Composições!A:J,MATCH(Orçamentária!A576,Composições!A:A,0),8),2,0)</f>
        <v>0.77900000000000003</v>
      </c>
      <c r="F576" s="136">
        <f t="shared" ca="1" si="24"/>
        <v>0</v>
      </c>
      <c r="G576" s="137" t="e">
        <f>IF(A576&lt;&gt;"",IF(AND(#REF!="Padrão",$H$4=#REF!),BDI!$B$17,IF(AND(#REF!="Padrão",$H$4=#REF!),BDI!#REF!,IF(AND(#REF!="Diferenciado",$H$4=#REF!),BDI!$E$17,IF(AND(#REF!="Diferenciado",$H$4=#REF!),BDI!#REF!,IF(#REF!="ZERO",0))))),"")</f>
        <v>#REF!</v>
      </c>
      <c r="H576" s="138" t="e">
        <f t="shared" ca="1" si="25"/>
        <v>#REF!</v>
      </c>
      <c r="I576" s="136" t="e">
        <f t="shared" ca="1" si="26"/>
        <v>#REF!</v>
      </c>
    </row>
    <row r="577" spans="1:9" hidden="1" x14ac:dyDescent="0.25">
      <c r="A577" s="114" t="s">
        <v>801</v>
      </c>
      <c r="B577" s="115" t="s">
        <v>2272</v>
      </c>
      <c r="C577" s="116" t="s">
        <v>20</v>
      </c>
      <c r="D577" s="116">
        <v>0</v>
      </c>
      <c r="E577" s="135">
        <f ca="1">OFFSET(INDEX(Composições!A:J,MATCH(Orçamentária!A577,Composições!A:A,0),8),2,0)</f>
        <v>0.66499999999999992</v>
      </c>
      <c r="F577" s="136">
        <f t="shared" ca="1" si="24"/>
        <v>0</v>
      </c>
      <c r="G577" s="137" t="e">
        <f>IF(A577&lt;&gt;"",IF(AND(#REF!="Padrão",$H$4=#REF!),BDI!$B$17,IF(AND(#REF!="Padrão",$H$4=#REF!),BDI!#REF!,IF(AND(#REF!="Diferenciado",$H$4=#REF!),BDI!$E$17,IF(AND(#REF!="Diferenciado",$H$4=#REF!),BDI!#REF!,IF(#REF!="ZERO",0))))),"")</f>
        <v>#REF!</v>
      </c>
      <c r="H577" s="138" t="e">
        <f t="shared" ca="1" si="25"/>
        <v>#REF!</v>
      </c>
      <c r="I577" s="136" t="e">
        <f t="shared" ca="1" si="26"/>
        <v>#REF!</v>
      </c>
    </row>
    <row r="578" spans="1:9" hidden="1" x14ac:dyDescent="0.25">
      <c r="A578" s="114" t="s">
        <v>802</v>
      </c>
      <c r="B578" s="115" t="s">
        <v>2273</v>
      </c>
      <c r="C578" s="116" t="s">
        <v>20</v>
      </c>
      <c r="D578" s="116">
        <v>0</v>
      </c>
      <c r="E578" s="135">
        <f ca="1">OFFSET(INDEX(Composições!A:J,MATCH(Orçamentária!A578,Composições!A:A,0),8),2,0)</f>
        <v>2.2989999999999999</v>
      </c>
      <c r="F578" s="136">
        <f t="shared" ca="1" si="24"/>
        <v>0</v>
      </c>
      <c r="G578" s="137" t="e">
        <f>IF(A578&lt;&gt;"",IF(AND(#REF!="Padrão",$H$4=#REF!),BDI!$B$17,IF(AND(#REF!="Padrão",$H$4=#REF!),BDI!#REF!,IF(AND(#REF!="Diferenciado",$H$4=#REF!),BDI!$E$17,IF(AND(#REF!="Diferenciado",$H$4=#REF!),BDI!#REF!,IF(#REF!="ZERO",0))))),"")</f>
        <v>#REF!</v>
      </c>
      <c r="H578" s="138" t="e">
        <f t="shared" ca="1" si="25"/>
        <v>#REF!</v>
      </c>
      <c r="I578" s="136" t="e">
        <f t="shared" ca="1" si="26"/>
        <v>#REF!</v>
      </c>
    </row>
    <row r="579" spans="1:9" hidden="1" x14ac:dyDescent="0.25">
      <c r="A579" s="114" t="s">
        <v>803</v>
      </c>
      <c r="B579" s="115" t="s">
        <v>2274</v>
      </c>
      <c r="C579" s="116" t="s">
        <v>20</v>
      </c>
      <c r="D579" s="116">
        <v>0</v>
      </c>
      <c r="E579" s="135">
        <f ca="1">OFFSET(INDEX(Composições!A:J,MATCH(Orçamentária!A579,Composições!A:A,0),8),2,0)</f>
        <v>0</v>
      </c>
      <c r="F579" s="136">
        <f t="shared" ca="1" si="24"/>
        <v>0</v>
      </c>
      <c r="G579" s="137" t="e">
        <f>IF(A579&lt;&gt;"",IF(AND(#REF!="Padrão",$H$4=#REF!),BDI!$B$17,IF(AND(#REF!="Padrão",$H$4=#REF!),BDI!#REF!,IF(AND(#REF!="Diferenciado",$H$4=#REF!),BDI!$E$17,IF(AND(#REF!="Diferenciado",$H$4=#REF!),BDI!#REF!,IF(#REF!="ZERO",0))))),"")</f>
        <v>#REF!</v>
      </c>
      <c r="H579" s="138" t="e">
        <f t="shared" ca="1" si="25"/>
        <v>#REF!</v>
      </c>
      <c r="I579" s="136" t="e">
        <f t="shared" ca="1" si="26"/>
        <v>#REF!</v>
      </c>
    </row>
    <row r="580" spans="1:9" hidden="1" x14ac:dyDescent="0.25">
      <c r="A580" s="114" t="s">
        <v>804</v>
      </c>
      <c r="B580" s="115" t="s">
        <v>2275</v>
      </c>
      <c r="C580" s="116" t="s">
        <v>93</v>
      </c>
      <c r="D580" s="116">
        <v>0</v>
      </c>
      <c r="E580" s="135">
        <f ca="1">OFFSET(INDEX(Composições!A:J,MATCH(Orçamentária!A580,Composições!A:A,0),8),2,0)</f>
        <v>0.66499999999999992</v>
      </c>
      <c r="F580" s="136">
        <f t="shared" ca="1" si="24"/>
        <v>0</v>
      </c>
      <c r="G580" s="137" t="e">
        <f>IF(A580&lt;&gt;"",IF(AND(#REF!="Padrão",$H$4=#REF!),BDI!$B$17,IF(AND(#REF!="Padrão",$H$4=#REF!),BDI!#REF!,IF(AND(#REF!="Diferenciado",$H$4=#REF!),BDI!$E$17,IF(AND(#REF!="Diferenciado",$H$4=#REF!),BDI!#REF!,IF(#REF!="ZERO",0))))),"")</f>
        <v>#REF!</v>
      </c>
      <c r="H580" s="138" t="e">
        <f t="shared" ca="1" si="25"/>
        <v>#REF!</v>
      </c>
      <c r="I580" s="136" t="e">
        <f t="shared" ca="1" si="26"/>
        <v>#REF!</v>
      </c>
    </row>
    <row r="581" spans="1:9" hidden="1" x14ac:dyDescent="0.25">
      <c r="A581" s="114" t="s">
        <v>805</v>
      </c>
      <c r="B581" s="115" t="s">
        <v>2276</v>
      </c>
      <c r="C581" s="116" t="s">
        <v>93</v>
      </c>
      <c r="D581" s="116">
        <v>0</v>
      </c>
      <c r="E581" s="135">
        <f ca="1">OFFSET(INDEX(Composições!A:J,MATCH(Orçamentária!A581,Composições!A:A,0),8),2,0)</f>
        <v>2.9885099999999998</v>
      </c>
      <c r="F581" s="136">
        <f t="shared" ca="1" si="24"/>
        <v>0</v>
      </c>
      <c r="G581" s="137" t="e">
        <f>IF(A581&lt;&gt;"",IF(AND(#REF!="Padrão",$H$4=#REF!),BDI!$B$17,IF(AND(#REF!="Padrão",$H$4=#REF!),BDI!#REF!,IF(AND(#REF!="Diferenciado",$H$4=#REF!),BDI!$E$17,IF(AND(#REF!="Diferenciado",$H$4=#REF!),BDI!#REF!,IF(#REF!="ZERO",0))))),"")</f>
        <v>#REF!</v>
      </c>
      <c r="H581" s="138" t="e">
        <f t="shared" ca="1" si="25"/>
        <v>#REF!</v>
      </c>
      <c r="I581" s="136" t="e">
        <f t="shared" ca="1" si="26"/>
        <v>#REF!</v>
      </c>
    </row>
    <row r="582" spans="1:9" hidden="1" x14ac:dyDescent="0.25">
      <c r="A582" s="114" t="s">
        <v>807</v>
      </c>
      <c r="B582" s="115" t="s">
        <v>2277</v>
      </c>
      <c r="C582" s="116" t="s">
        <v>93</v>
      </c>
      <c r="D582" s="116">
        <v>0</v>
      </c>
      <c r="E582" s="135">
        <f ca="1">OFFSET(INDEX(Composições!A:J,MATCH(Orçamentária!A582,Composições!A:A,0),8),2,0)</f>
        <v>4.8444775</v>
      </c>
      <c r="F582" s="136">
        <f t="shared" ca="1" si="24"/>
        <v>0</v>
      </c>
      <c r="G582" s="137" t="e">
        <f>IF(A582&lt;&gt;"",IF(AND(#REF!="Padrão",$H$4=#REF!),BDI!$B$17,IF(AND(#REF!="Padrão",$H$4=#REF!),BDI!#REF!,IF(AND(#REF!="Diferenciado",$H$4=#REF!),BDI!$E$17,IF(AND(#REF!="Diferenciado",$H$4=#REF!),BDI!#REF!,IF(#REF!="ZERO",0))))),"")</f>
        <v>#REF!</v>
      </c>
      <c r="H582" s="138" t="e">
        <f t="shared" ca="1" si="25"/>
        <v>#REF!</v>
      </c>
      <c r="I582" s="136" t="e">
        <f t="shared" ca="1" si="26"/>
        <v>#REF!</v>
      </c>
    </row>
    <row r="583" spans="1:9" hidden="1" x14ac:dyDescent="0.25">
      <c r="A583" s="114" t="s">
        <v>809</v>
      </c>
      <c r="B583" s="115" t="s">
        <v>2278</v>
      </c>
      <c r="C583" s="116" t="s">
        <v>93</v>
      </c>
      <c r="D583" s="116">
        <v>0</v>
      </c>
      <c r="E583" s="135">
        <f ca="1">OFFSET(INDEX(Composições!A:J,MATCH(Orçamentária!A583,Composições!A:A,0),8),2,0)</f>
        <v>7.1334454999999988</v>
      </c>
      <c r="F583" s="136">
        <f t="shared" ref="F583:F646" ca="1" si="27">IF(ISNUMBER(E583),D583*E583,"")</f>
        <v>0</v>
      </c>
      <c r="G583" s="137" t="e">
        <f>IF(A583&lt;&gt;"",IF(AND(#REF!="Padrão",$H$4=#REF!),BDI!$B$17,IF(AND(#REF!="Padrão",$H$4=#REF!),BDI!#REF!,IF(AND(#REF!="Diferenciado",$H$4=#REF!),BDI!$E$17,IF(AND(#REF!="Diferenciado",$H$4=#REF!),BDI!#REF!,IF(#REF!="ZERO",0))))),"")</f>
        <v>#REF!</v>
      </c>
      <c r="H583" s="138" t="e">
        <f t="shared" ref="H583:H646" ca="1" si="28">IF(ISNUMBER(E583),ROUND(E583*(1+G583),2),"")</f>
        <v>#REF!</v>
      </c>
      <c r="I583" s="136" t="e">
        <f t="shared" ref="I583:I646" ca="1" si="29">IF(ISNUMBER(E583),ROUND(H583*D583,2),"")</f>
        <v>#REF!</v>
      </c>
    </row>
    <row r="584" spans="1:9" hidden="1" x14ac:dyDescent="0.25">
      <c r="A584" s="114" t="s">
        <v>811</v>
      </c>
      <c r="B584" s="115" t="s">
        <v>2279</v>
      </c>
      <c r="C584" s="116" t="s">
        <v>93</v>
      </c>
      <c r="D584" s="116">
        <v>0</v>
      </c>
      <c r="E584" s="135">
        <f ca="1">OFFSET(INDEX(Composições!A:J,MATCH(Orçamentária!A584,Composições!A:A,0),8),2,0)</f>
        <v>9.6425189999999983</v>
      </c>
      <c r="F584" s="136">
        <f t="shared" ca="1" si="27"/>
        <v>0</v>
      </c>
      <c r="G584" s="137" t="e">
        <f>IF(A584&lt;&gt;"",IF(AND(#REF!="Padrão",$H$4=#REF!),BDI!$B$17,IF(AND(#REF!="Padrão",$H$4=#REF!),BDI!#REF!,IF(AND(#REF!="Diferenciado",$H$4=#REF!),BDI!$E$17,IF(AND(#REF!="Diferenciado",$H$4=#REF!),BDI!#REF!,IF(#REF!="ZERO",0))))),"")</f>
        <v>#REF!</v>
      </c>
      <c r="H584" s="138" t="e">
        <f t="shared" ca="1" si="28"/>
        <v>#REF!</v>
      </c>
      <c r="I584" s="136" t="e">
        <f t="shared" ca="1" si="29"/>
        <v>#REF!</v>
      </c>
    </row>
    <row r="585" spans="1:9" hidden="1" x14ac:dyDescent="0.25">
      <c r="A585" s="114" t="s">
        <v>813</v>
      </c>
      <c r="B585" s="115" t="s">
        <v>2280</v>
      </c>
      <c r="C585" s="116" t="s">
        <v>42</v>
      </c>
      <c r="D585" s="116">
        <v>0</v>
      </c>
      <c r="E585" s="135">
        <f ca="1">OFFSET(INDEX(Composições!A:J,MATCH(Orçamentária!A585,Composições!A:A,0),8),2,0)</f>
        <v>21.754999999999999</v>
      </c>
      <c r="F585" s="136">
        <f t="shared" ca="1" si="27"/>
        <v>0</v>
      </c>
      <c r="G585" s="137" t="e">
        <f>IF(A585&lt;&gt;"",IF(AND(#REF!="Padrão",$H$4=#REF!),BDI!$B$17,IF(AND(#REF!="Padrão",$H$4=#REF!),BDI!#REF!,IF(AND(#REF!="Diferenciado",$H$4=#REF!),BDI!$E$17,IF(AND(#REF!="Diferenciado",$H$4=#REF!),BDI!#REF!,IF(#REF!="ZERO",0))))),"")</f>
        <v>#REF!</v>
      </c>
      <c r="H585" s="138" t="e">
        <f t="shared" ca="1" si="28"/>
        <v>#REF!</v>
      </c>
      <c r="I585" s="136" t="e">
        <f t="shared" ca="1" si="29"/>
        <v>#REF!</v>
      </c>
    </row>
    <row r="586" spans="1:9" hidden="1" x14ac:dyDescent="0.25">
      <c r="A586" s="114" t="s">
        <v>814</v>
      </c>
      <c r="B586" s="115" t="s">
        <v>2281</v>
      </c>
      <c r="C586" s="116" t="s">
        <v>42</v>
      </c>
      <c r="D586" s="116">
        <v>0</v>
      </c>
      <c r="E586" s="135">
        <f ca="1">OFFSET(INDEX(Composições!A:J,MATCH(Orçamentária!A586,Composições!A:A,0),8),2,0)</f>
        <v>47.243499999999997</v>
      </c>
      <c r="F586" s="136">
        <f t="shared" ca="1" si="27"/>
        <v>0</v>
      </c>
      <c r="G586" s="137" t="e">
        <f>IF(A586&lt;&gt;"",IF(AND(#REF!="Padrão",$H$4=#REF!),BDI!$B$17,IF(AND(#REF!="Padrão",$H$4=#REF!),BDI!#REF!,IF(AND(#REF!="Diferenciado",$H$4=#REF!),BDI!$E$17,IF(AND(#REF!="Diferenciado",$H$4=#REF!),BDI!#REF!,IF(#REF!="ZERO",0))))),"")</f>
        <v>#REF!</v>
      </c>
      <c r="H586" s="138" t="e">
        <f t="shared" ca="1" si="28"/>
        <v>#REF!</v>
      </c>
      <c r="I586" s="136" t="e">
        <f t="shared" ca="1" si="29"/>
        <v>#REF!</v>
      </c>
    </row>
    <row r="587" spans="1:9" hidden="1" x14ac:dyDescent="0.25">
      <c r="A587" s="114" t="s">
        <v>2282</v>
      </c>
      <c r="B587" s="115" t="s">
        <v>2283</v>
      </c>
      <c r="C587" s="116" t="s">
        <v>20</v>
      </c>
      <c r="D587" s="116">
        <v>0</v>
      </c>
      <c r="E587" s="135" t="s">
        <v>558</v>
      </c>
      <c r="F587" s="136" t="str">
        <f t="shared" si="27"/>
        <v/>
      </c>
      <c r="G587" s="137" t="e">
        <f>IF(A587&lt;&gt;"",IF(AND(#REF!="Padrão",$H$4=#REF!),BDI!$B$17,IF(AND(#REF!="Padrão",$H$4=#REF!),BDI!#REF!,IF(AND(#REF!="Diferenciado",$H$4=#REF!),BDI!$E$17,IF(AND(#REF!="Diferenciado",$H$4=#REF!),BDI!#REF!,IF(#REF!="ZERO",0))))),"")</f>
        <v>#REF!</v>
      </c>
      <c r="H587" s="138" t="str">
        <f t="shared" si="28"/>
        <v/>
      </c>
      <c r="I587" s="136" t="str">
        <f t="shared" si="29"/>
        <v/>
      </c>
    </row>
    <row r="588" spans="1:9" hidden="1" x14ac:dyDescent="0.25">
      <c r="A588" s="114" t="s">
        <v>2284</v>
      </c>
      <c r="B588" s="115" t="s">
        <v>2285</v>
      </c>
      <c r="C588" s="116" t="s">
        <v>20</v>
      </c>
      <c r="D588" s="116">
        <v>0</v>
      </c>
      <c r="E588" s="135">
        <f ca="1">OFFSET(INDEX(Composições!A:J,MATCH(Orçamentária!A588,Composições!A:A,0),8),2,0)</f>
        <v>20.196999999999999</v>
      </c>
      <c r="F588" s="136">
        <f t="shared" ca="1" si="27"/>
        <v>0</v>
      </c>
      <c r="G588" s="137" t="e">
        <f>IF(A588&lt;&gt;"",IF(AND(#REF!="Padrão",$H$4=#REF!),BDI!$B$17,IF(AND(#REF!="Padrão",$H$4=#REF!),BDI!#REF!,IF(AND(#REF!="Diferenciado",$H$4=#REF!),BDI!$E$17,IF(AND(#REF!="Diferenciado",$H$4=#REF!),BDI!#REF!,IF(#REF!="ZERO",0))))),"")</f>
        <v>#REF!</v>
      </c>
      <c r="H588" s="138" t="e">
        <f t="shared" ca="1" si="28"/>
        <v>#REF!</v>
      </c>
      <c r="I588" s="136" t="e">
        <f t="shared" ca="1" si="29"/>
        <v>#REF!</v>
      </c>
    </row>
    <row r="589" spans="1:9" hidden="1" x14ac:dyDescent="0.25">
      <c r="A589" s="114" t="s">
        <v>2286</v>
      </c>
      <c r="B589" s="115" t="s">
        <v>2287</v>
      </c>
      <c r="C589" s="116" t="s">
        <v>93</v>
      </c>
      <c r="D589" s="116">
        <v>0</v>
      </c>
      <c r="E589" s="135" t="s">
        <v>558</v>
      </c>
      <c r="F589" s="136" t="str">
        <f t="shared" si="27"/>
        <v/>
      </c>
      <c r="G589" s="137" t="e">
        <f>IF(A589&lt;&gt;"",IF(AND(#REF!="Padrão",$H$4=#REF!),BDI!$B$17,IF(AND(#REF!="Padrão",$H$4=#REF!),BDI!#REF!,IF(AND(#REF!="Diferenciado",$H$4=#REF!),BDI!$E$17,IF(AND(#REF!="Diferenciado",$H$4=#REF!),BDI!#REF!,IF(#REF!="ZERO",0))))),"")</f>
        <v>#REF!</v>
      </c>
      <c r="H589" s="138" t="str">
        <f t="shared" si="28"/>
        <v/>
      </c>
      <c r="I589" s="136" t="str">
        <f t="shared" si="29"/>
        <v/>
      </c>
    </row>
    <row r="590" spans="1:9" hidden="1" x14ac:dyDescent="0.25">
      <c r="A590" s="114" t="s">
        <v>2288</v>
      </c>
      <c r="B590" s="115" t="s">
        <v>2289</v>
      </c>
      <c r="C590" s="116" t="s">
        <v>93</v>
      </c>
      <c r="D590" s="116">
        <v>0</v>
      </c>
      <c r="E590" s="135" t="s">
        <v>558</v>
      </c>
      <c r="F590" s="136" t="str">
        <f t="shared" si="27"/>
        <v/>
      </c>
      <c r="G590" s="137" t="e">
        <f>IF(A590&lt;&gt;"",IF(AND(#REF!="Padrão",$H$4=#REF!),BDI!$B$17,IF(AND(#REF!="Padrão",$H$4=#REF!),BDI!#REF!,IF(AND(#REF!="Diferenciado",$H$4=#REF!),BDI!$E$17,IF(AND(#REF!="Diferenciado",$H$4=#REF!),BDI!#REF!,IF(#REF!="ZERO",0))))),"")</f>
        <v>#REF!</v>
      </c>
      <c r="H590" s="138" t="str">
        <f t="shared" si="28"/>
        <v/>
      </c>
      <c r="I590" s="136" t="str">
        <f t="shared" si="29"/>
        <v/>
      </c>
    </row>
    <row r="591" spans="1:9" hidden="1" x14ac:dyDescent="0.25">
      <c r="A591" s="114" t="s">
        <v>2290</v>
      </c>
      <c r="B591" s="115" t="s">
        <v>2291</v>
      </c>
      <c r="C591" s="116" t="s">
        <v>42</v>
      </c>
      <c r="D591" s="116">
        <v>0</v>
      </c>
      <c r="E591" s="135" t="s">
        <v>558</v>
      </c>
      <c r="F591" s="136" t="str">
        <f t="shared" si="27"/>
        <v/>
      </c>
      <c r="G591" s="137" t="e">
        <f>IF(A591&lt;&gt;"",IF(AND(#REF!="Padrão",$H$4=#REF!),BDI!$B$17,IF(AND(#REF!="Padrão",$H$4=#REF!),BDI!#REF!,IF(AND(#REF!="Diferenciado",$H$4=#REF!),BDI!$E$17,IF(AND(#REF!="Diferenciado",$H$4=#REF!),BDI!#REF!,IF(#REF!="ZERO",0))))),"")</f>
        <v>#REF!</v>
      </c>
      <c r="H591" s="138" t="str">
        <f t="shared" si="28"/>
        <v/>
      </c>
      <c r="I591" s="136" t="str">
        <f t="shared" si="29"/>
        <v/>
      </c>
    </row>
    <row r="592" spans="1:9" hidden="1" x14ac:dyDescent="0.25">
      <c r="A592" s="114" t="s">
        <v>2292</v>
      </c>
      <c r="B592" s="115" t="s">
        <v>2293</v>
      </c>
      <c r="C592" s="116" t="s">
        <v>103</v>
      </c>
      <c r="D592" s="116">
        <v>0</v>
      </c>
      <c r="E592" s="135" t="s">
        <v>558</v>
      </c>
      <c r="F592" s="136" t="str">
        <f t="shared" si="27"/>
        <v/>
      </c>
      <c r="G592" s="137" t="e">
        <f>IF(A592&lt;&gt;"",IF(AND(#REF!="Padrão",$H$4=#REF!),BDI!$B$17,IF(AND(#REF!="Padrão",$H$4=#REF!),BDI!#REF!,IF(AND(#REF!="Diferenciado",$H$4=#REF!),BDI!$E$17,IF(AND(#REF!="Diferenciado",$H$4=#REF!),BDI!#REF!,IF(#REF!="ZERO",0))))),"")</f>
        <v>#REF!</v>
      </c>
      <c r="H592" s="138" t="str">
        <f t="shared" si="28"/>
        <v/>
      </c>
      <c r="I592" s="136" t="str">
        <f t="shared" si="29"/>
        <v/>
      </c>
    </row>
    <row r="593" spans="1:9" hidden="1" x14ac:dyDescent="0.25">
      <c r="A593" s="114" t="s">
        <v>816</v>
      </c>
      <c r="B593" s="115" t="s">
        <v>2294</v>
      </c>
      <c r="C593" s="116" t="s">
        <v>103</v>
      </c>
      <c r="D593" s="116">
        <v>0</v>
      </c>
      <c r="E593" s="135">
        <f ca="1">OFFSET(INDEX(Composições!A:J,MATCH(Orçamentária!A593,Composições!A:A,0),8),2,0)</f>
        <v>6.3744999999999994</v>
      </c>
      <c r="F593" s="136">
        <f t="shared" ca="1" si="27"/>
        <v>0</v>
      </c>
      <c r="G593" s="137" t="e">
        <f>IF(A593&lt;&gt;"",IF(AND(#REF!="Padrão",$H$4=#REF!),BDI!$B$17,IF(AND(#REF!="Padrão",$H$4=#REF!),BDI!#REF!,IF(AND(#REF!="Diferenciado",$H$4=#REF!),BDI!$E$17,IF(AND(#REF!="Diferenciado",$H$4=#REF!),BDI!#REF!,IF(#REF!="ZERO",0))))),"")</f>
        <v>#REF!</v>
      </c>
      <c r="H593" s="138" t="e">
        <f t="shared" ca="1" si="28"/>
        <v>#REF!</v>
      </c>
      <c r="I593" s="136" t="e">
        <f t="shared" ca="1" si="29"/>
        <v>#REF!</v>
      </c>
    </row>
    <row r="594" spans="1:9" hidden="1" x14ac:dyDescent="0.25">
      <c r="A594" s="114" t="s">
        <v>2295</v>
      </c>
      <c r="B594" s="115" t="s">
        <v>2296</v>
      </c>
      <c r="C594" s="116" t="s">
        <v>103</v>
      </c>
      <c r="D594" s="116">
        <v>0</v>
      </c>
      <c r="E594" s="135" t="s">
        <v>558</v>
      </c>
      <c r="F594" s="136" t="str">
        <f t="shared" si="27"/>
        <v/>
      </c>
      <c r="G594" s="137" t="e">
        <f>IF(A594&lt;&gt;"",IF(AND(#REF!="Padrão",$H$4=#REF!),BDI!$B$17,IF(AND(#REF!="Padrão",$H$4=#REF!),BDI!#REF!,IF(AND(#REF!="Diferenciado",$H$4=#REF!),BDI!$E$17,IF(AND(#REF!="Diferenciado",$H$4=#REF!),BDI!#REF!,IF(#REF!="ZERO",0))))),"")</f>
        <v>#REF!</v>
      </c>
      <c r="H594" s="138" t="str">
        <f t="shared" si="28"/>
        <v/>
      </c>
      <c r="I594" s="136" t="str">
        <f t="shared" si="29"/>
        <v/>
      </c>
    </row>
    <row r="595" spans="1:9" hidden="1" x14ac:dyDescent="0.25">
      <c r="A595" s="114" t="s">
        <v>2297</v>
      </c>
      <c r="B595" s="115" t="s">
        <v>2298</v>
      </c>
      <c r="C595" s="116" t="s">
        <v>93</v>
      </c>
      <c r="D595" s="116">
        <v>0</v>
      </c>
      <c r="E595" s="135" t="s">
        <v>558</v>
      </c>
      <c r="F595" s="136" t="str">
        <f t="shared" si="27"/>
        <v/>
      </c>
      <c r="G595" s="137" t="e">
        <f>IF(A595&lt;&gt;"",IF(AND(#REF!="Padrão",$H$4=#REF!),BDI!$B$17,IF(AND(#REF!="Padrão",$H$4=#REF!),BDI!#REF!,IF(AND(#REF!="Diferenciado",$H$4=#REF!),BDI!$E$17,IF(AND(#REF!="Diferenciado",$H$4=#REF!),BDI!#REF!,IF(#REF!="ZERO",0))))),"")</f>
        <v>#REF!</v>
      </c>
      <c r="H595" s="138" t="str">
        <f t="shared" si="28"/>
        <v/>
      </c>
      <c r="I595" s="136" t="str">
        <f t="shared" si="29"/>
        <v/>
      </c>
    </row>
    <row r="596" spans="1:9" hidden="1" x14ac:dyDescent="0.25">
      <c r="A596" s="114" t="s">
        <v>2299</v>
      </c>
      <c r="B596" s="115" t="s">
        <v>2300</v>
      </c>
      <c r="C596" s="116" t="s">
        <v>93</v>
      </c>
      <c r="D596" s="116">
        <v>0</v>
      </c>
      <c r="E596" s="135" t="s">
        <v>558</v>
      </c>
      <c r="F596" s="136" t="str">
        <f t="shared" si="27"/>
        <v/>
      </c>
      <c r="G596" s="137" t="e">
        <f>IF(A596&lt;&gt;"",IF(AND(#REF!="Padrão",$H$4=#REF!),BDI!$B$17,IF(AND(#REF!="Padrão",$H$4=#REF!),BDI!#REF!,IF(AND(#REF!="Diferenciado",$H$4=#REF!),BDI!$E$17,IF(AND(#REF!="Diferenciado",$H$4=#REF!),BDI!#REF!,IF(#REF!="ZERO",0))))),"")</f>
        <v>#REF!</v>
      </c>
      <c r="H596" s="138" t="str">
        <f t="shared" si="28"/>
        <v/>
      </c>
      <c r="I596" s="136" t="str">
        <f t="shared" si="29"/>
        <v/>
      </c>
    </row>
    <row r="597" spans="1:9" hidden="1" x14ac:dyDescent="0.25">
      <c r="A597" s="114" t="s">
        <v>2301</v>
      </c>
      <c r="B597" s="115" t="s">
        <v>2302</v>
      </c>
      <c r="C597" s="116" t="s">
        <v>95</v>
      </c>
      <c r="D597" s="116">
        <v>0</v>
      </c>
      <c r="E597" s="135">
        <f ca="1">OFFSET(INDEX(Composições!A:J,MATCH(Orçamentária!A597,Composições!A:A,0),8),2,0)</f>
        <v>1.159</v>
      </c>
      <c r="F597" s="136">
        <f t="shared" ca="1" si="27"/>
        <v>0</v>
      </c>
      <c r="G597" s="137" t="e">
        <f>IF(A597&lt;&gt;"",IF(AND(#REF!="Padrão",$H$4=#REF!),BDI!$B$17,IF(AND(#REF!="Padrão",$H$4=#REF!),BDI!#REF!,IF(AND(#REF!="Diferenciado",$H$4=#REF!),BDI!$E$17,IF(AND(#REF!="Diferenciado",$H$4=#REF!),BDI!#REF!,IF(#REF!="ZERO",0))))),"")</f>
        <v>#REF!</v>
      </c>
      <c r="H597" s="138" t="e">
        <f t="shared" ca="1" si="28"/>
        <v>#REF!</v>
      </c>
      <c r="I597" s="136" t="e">
        <f t="shared" ca="1" si="29"/>
        <v>#REF!</v>
      </c>
    </row>
    <row r="598" spans="1:9" hidden="1" x14ac:dyDescent="0.25">
      <c r="A598" s="114" t="s">
        <v>2303</v>
      </c>
      <c r="B598" s="115" t="s">
        <v>2304</v>
      </c>
      <c r="C598" s="116" t="s">
        <v>20</v>
      </c>
      <c r="D598" s="116">
        <v>0</v>
      </c>
      <c r="E598" s="135" t="s">
        <v>558</v>
      </c>
      <c r="F598" s="136" t="str">
        <f t="shared" si="27"/>
        <v/>
      </c>
      <c r="G598" s="137" t="e">
        <f>IF(A598&lt;&gt;"",IF(AND(#REF!="Padrão",$H$4=#REF!),BDI!$B$17,IF(AND(#REF!="Padrão",$H$4=#REF!),BDI!#REF!,IF(AND(#REF!="Diferenciado",$H$4=#REF!),BDI!$E$17,IF(AND(#REF!="Diferenciado",$H$4=#REF!),BDI!#REF!,IF(#REF!="ZERO",0))))),"")</f>
        <v>#REF!</v>
      </c>
      <c r="H598" s="138" t="str">
        <f t="shared" si="28"/>
        <v/>
      </c>
      <c r="I598" s="136" t="str">
        <f t="shared" si="29"/>
        <v/>
      </c>
    </row>
    <row r="599" spans="1:9" hidden="1" x14ac:dyDescent="0.25">
      <c r="A599" s="114" t="s">
        <v>2305</v>
      </c>
      <c r="B599" s="115" t="s">
        <v>2306</v>
      </c>
      <c r="C599" s="116" t="s">
        <v>20</v>
      </c>
      <c r="D599" s="116">
        <v>0</v>
      </c>
      <c r="E599" s="135" t="s">
        <v>558</v>
      </c>
      <c r="F599" s="136" t="str">
        <f t="shared" si="27"/>
        <v/>
      </c>
      <c r="G599" s="137" t="e">
        <f>IF(A599&lt;&gt;"",IF(AND(#REF!="Padrão",$H$4=#REF!),BDI!$B$17,IF(AND(#REF!="Padrão",$H$4=#REF!),BDI!#REF!,IF(AND(#REF!="Diferenciado",$H$4=#REF!),BDI!$E$17,IF(AND(#REF!="Diferenciado",$H$4=#REF!),BDI!#REF!,IF(#REF!="ZERO",0))))),"")</f>
        <v>#REF!</v>
      </c>
      <c r="H599" s="138" t="str">
        <f t="shared" si="28"/>
        <v/>
      </c>
      <c r="I599" s="136" t="str">
        <f t="shared" si="29"/>
        <v/>
      </c>
    </row>
    <row r="600" spans="1:9" hidden="1" x14ac:dyDescent="0.25">
      <c r="A600" s="114" t="s">
        <v>2307</v>
      </c>
      <c r="B600" s="115" t="s">
        <v>2308</v>
      </c>
      <c r="C600" s="116" t="s">
        <v>20</v>
      </c>
      <c r="D600" s="116">
        <v>0</v>
      </c>
      <c r="E600" s="135" t="s">
        <v>558</v>
      </c>
      <c r="F600" s="136" t="str">
        <f t="shared" si="27"/>
        <v/>
      </c>
      <c r="G600" s="137" t="e">
        <f>IF(A600&lt;&gt;"",IF(AND(#REF!="Padrão",$H$4=#REF!),BDI!$B$17,IF(AND(#REF!="Padrão",$H$4=#REF!),BDI!#REF!,IF(AND(#REF!="Diferenciado",$H$4=#REF!),BDI!$E$17,IF(AND(#REF!="Diferenciado",$H$4=#REF!),BDI!#REF!,IF(#REF!="ZERO",0))))),"")</f>
        <v>#REF!</v>
      </c>
      <c r="H600" s="138" t="str">
        <f t="shared" si="28"/>
        <v/>
      </c>
      <c r="I600" s="136" t="str">
        <f t="shared" si="29"/>
        <v/>
      </c>
    </row>
    <row r="601" spans="1:9" hidden="1" x14ac:dyDescent="0.25">
      <c r="A601" s="114" t="s">
        <v>2309</v>
      </c>
      <c r="B601" s="115" t="s">
        <v>2310</v>
      </c>
      <c r="C601" s="116" t="s">
        <v>20</v>
      </c>
      <c r="D601" s="116">
        <v>0</v>
      </c>
      <c r="E601" s="135" t="s">
        <v>558</v>
      </c>
      <c r="F601" s="136" t="str">
        <f t="shared" si="27"/>
        <v/>
      </c>
      <c r="G601" s="137" t="e">
        <f>IF(A601&lt;&gt;"",IF(AND(#REF!="Padrão",$H$4=#REF!),BDI!$B$17,IF(AND(#REF!="Padrão",$H$4=#REF!),BDI!#REF!,IF(AND(#REF!="Diferenciado",$H$4=#REF!),BDI!$E$17,IF(AND(#REF!="Diferenciado",$H$4=#REF!),BDI!#REF!,IF(#REF!="ZERO",0))))),"")</f>
        <v>#REF!</v>
      </c>
      <c r="H601" s="138" t="str">
        <f t="shared" si="28"/>
        <v/>
      </c>
      <c r="I601" s="136" t="str">
        <f t="shared" si="29"/>
        <v/>
      </c>
    </row>
    <row r="602" spans="1:9" hidden="1" x14ac:dyDescent="0.25">
      <c r="A602" s="114" t="s">
        <v>2311</v>
      </c>
      <c r="B602" s="115" t="s">
        <v>2312</v>
      </c>
      <c r="C602" s="116" t="s">
        <v>20</v>
      </c>
      <c r="D602" s="116">
        <v>0</v>
      </c>
      <c r="E602" s="135" t="s">
        <v>558</v>
      </c>
      <c r="F602" s="136" t="str">
        <f t="shared" si="27"/>
        <v/>
      </c>
      <c r="G602" s="137" t="e">
        <f>IF(A602&lt;&gt;"",IF(AND(#REF!="Padrão",$H$4=#REF!),BDI!$B$17,IF(AND(#REF!="Padrão",$H$4=#REF!),BDI!#REF!,IF(AND(#REF!="Diferenciado",$H$4=#REF!),BDI!$E$17,IF(AND(#REF!="Diferenciado",$H$4=#REF!),BDI!#REF!,IF(#REF!="ZERO",0))))),"")</f>
        <v>#REF!</v>
      </c>
      <c r="H602" s="138" t="str">
        <f t="shared" si="28"/>
        <v/>
      </c>
      <c r="I602" s="136" t="str">
        <f t="shared" si="29"/>
        <v/>
      </c>
    </row>
    <row r="603" spans="1:9" hidden="1" x14ac:dyDescent="0.25">
      <c r="A603" s="114" t="s">
        <v>2313</v>
      </c>
      <c r="B603" s="115" t="s">
        <v>2314</v>
      </c>
      <c r="C603" s="116" t="s">
        <v>20</v>
      </c>
      <c r="D603" s="116">
        <v>0</v>
      </c>
      <c r="E603" s="135" t="s">
        <v>558</v>
      </c>
      <c r="F603" s="136" t="str">
        <f t="shared" si="27"/>
        <v/>
      </c>
      <c r="G603" s="137" t="e">
        <f>IF(A603&lt;&gt;"",IF(AND(#REF!="Padrão",$H$4=#REF!),BDI!$B$17,IF(AND(#REF!="Padrão",$H$4=#REF!),BDI!#REF!,IF(AND(#REF!="Diferenciado",$H$4=#REF!),BDI!$E$17,IF(AND(#REF!="Diferenciado",$H$4=#REF!),BDI!#REF!,IF(#REF!="ZERO",0))))),"")</f>
        <v>#REF!</v>
      </c>
      <c r="H603" s="138" t="str">
        <f t="shared" si="28"/>
        <v/>
      </c>
      <c r="I603" s="136" t="str">
        <f t="shared" si="29"/>
        <v/>
      </c>
    </row>
    <row r="604" spans="1:9" hidden="1" x14ac:dyDescent="0.25">
      <c r="A604" s="114" t="s">
        <v>2315</v>
      </c>
      <c r="B604" s="115" t="s">
        <v>2316</v>
      </c>
      <c r="C604" s="116" t="s">
        <v>20</v>
      </c>
      <c r="D604" s="116">
        <v>0</v>
      </c>
      <c r="E604" s="135" t="s">
        <v>558</v>
      </c>
      <c r="F604" s="136" t="str">
        <f t="shared" si="27"/>
        <v/>
      </c>
      <c r="G604" s="137" t="e">
        <f>IF(A604&lt;&gt;"",IF(AND(#REF!="Padrão",$H$4=#REF!),BDI!$B$17,IF(AND(#REF!="Padrão",$H$4=#REF!),BDI!#REF!,IF(AND(#REF!="Diferenciado",$H$4=#REF!),BDI!$E$17,IF(AND(#REF!="Diferenciado",$H$4=#REF!),BDI!#REF!,IF(#REF!="ZERO",0))))),"")</f>
        <v>#REF!</v>
      </c>
      <c r="H604" s="138" t="str">
        <f t="shared" si="28"/>
        <v/>
      </c>
      <c r="I604" s="136" t="str">
        <f t="shared" si="29"/>
        <v/>
      </c>
    </row>
    <row r="605" spans="1:9" hidden="1" x14ac:dyDescent="0.25">
      <c r="A605" s="114" t="s">
        <v>2317</v>
      </c>
      <c r="B605" s="115" t="s">
        <v>2318</v>
      </c>
      <c r="C605" s="116" t="s">
        <v>20</v>
      </c>
      <c r="D605" s="116">
        <v>0</v>
      </c>
      <c r="E605" s="135" t="s">
        <v>558</v>
      </c>
      <c r="F605" s="136" t="str">
        <f t="shared" si="27"/>
        <v/>
      </c>
      <c r="G605" s="137" t="e">
        <f>IF(A605&lt;&gt;"",IF(AND(#REF!="Padrão",$H$4=#REF!),BDI!$B$17,IF(AND(#REF!="Padrão",$H$4=#REF!),BDI!#REF!,IF(AND(#REF!="Diferenciado",$H$4=#REF!),BDI!$E$17,IF(AND(#REF!="Diferenciado",$H$4=#REF!),BDI!#REF!,IF(#REF!="ZERO",0))))),"")</f>
        <v>#REF!</v>
      </c>
      <c r="H605" s="138" t="str">
        <f t="shared" si="28"/>
        <v/>
      </c>
      <c r="I605" s="136" t="str">
        <f t="shared" si="29"/>
        <v/>
      </c>
    </row>
    <row r="606" spans="1:9" hidden="1" x14ac:dyDescent="0.25">
      <c r="A606" s="114" t="s">
        <v>2319</v>
      </c>
      <c r="B606" s="115" t="s">
        <v>2320</v>
      </c>
      <c r="C606" s="116" t="s">
        <v>20</v>
      </c>
      <c r="D606" s="116">
        <v>0</v>
      </c>
      <c r="E606" s="135" t="s">
        <v>558</v>
      </c>
      <c r="F606" s="136" t="str">
        <f t="shared" si="27"/>
        <v/>
      </c>
      <c r="G606" s="137" t="e">
        <f>IF(A606&lt;&gt;"",IF(AND(#REF!="Padrão",$H$4=#REF!),BDI!$B$17,IF(AND(#REF!="Padrão",$H$4=#REF!),BDI!#REF!,IF(AND(#REF!="Diferenciado",$H$4=#REF!),BDI!$E$17,IF(AND(#REF!="Diferenciado",$H$4=#REF!),BDI!#REF!,IF(#REF!="ZERO",0))))),"")</f>
        <v>#REF!</v>
      </c>
      <c r="H606" s="138" t="str">
        <f t="shared" si="28"/>
        <v/>
      </c>
      <c r="I606" s="136" t="str">
        <f t="shared" si="29"/>
        <v/>
      </c>
    </row>
    <row r="607" spans="1:9" hidden="1" x14ac:dyDescent="0.25">
      <c r="A607" s="114" t="s">
        <v>2321</v>
      </c>
      <c r="B607" s="115" t="s">
        <v>2322</v>
      </c>
      <c r="C607" s="116" t="s">
        <v>20</v>
      </c>
      <c r="D607" s="116">
        <v>0</v>
      </c>
      <c r="E607" s="135" t="s">
        <v>558</v>
      </c>
      <c r="F607" s="136" t="str">
        <f t="shared" si="27"/>
        <v/>
      </c>
      <c r="G607" s="137" t="e">
        <f>IF(A607&lt;&gt;"",IF(AND(#REF!="Padrão",$H$4=#REF!),BDI!$B$17,IF(AND(#REF!="Padrão",$H$4=#REF!),BDI!#REF!,IF(AND(#REF!="Diferenciado",$H$4=#REF!),BDI!$E$17,IF(AND(#REF!="Diferenciado",$H$4=#REF!),BDI!#REF!,IF(#REF!="ZERO",0))))),"")</f>
        <v>#REF!</v>
      </c>
      <c r="H607" s="138" t="str">
        <f t="shared" si="28"/>
        <v/>
      </c>
      <c r="I607" s="136" t="str">
        <f t="shared" si="29"/>
        <v/>
      </c>
    </row>
    <row r="608" spans="1:9" hidden="1" x14ac:dyDescent="0.25">
      <c r="A608" s="114" t="s">
        <v>2323</v>
      </c>
      <c r="B608" s="115" t="s">
        <v>2324</v>
      </c>
      <c r="C608" s="116" t="s">
        <v>20</v>
      </c>
      <c r="D608" s="116">
        <v>0</v>
      </c>
      <c r="E608" s="135" t="s">
        <v>558</v>
      </c>
      <c r="F608" s="136" t="str">
        <f t="shared" si="27"/>
        <v/>
      </c>
      <c r="G608" s="137" t="e">
        <f>IF(A608&lt;&gt;"",IF(AND(#REF!="Padrão",$H$4=#REF!),BDI!$B$17,IF(AND(#REF!="Padrão",$H$4=#REF!),BDI!#REF!,IF(AND(#REF!="Diferenciado",$H$4=#REF!),BDI!$E$17,IF(AND(#REF!="Diferenciado",$H$4=#REF!),BDI!#REF!,IF(#REF!="ZERO",0))))),"")</f>
        <v>#REF!</v>
      </c>
      <c r="H608" s="138" t="str">
        <f t="shared" si="28"/>
        <v/>
      </c>
      <c r="I608" s="136" t="str">
        <f t="shared" si="29"/>
        <v/>
      </c>
    </row>
    <row r="609" spans="1:9" hidden="1" x14ac:dyDescent="0.25">
      <c r="A609" s="114" t="s">
        <v>2325</v>
      </c>
      <c r="B609" s="115" t="s">
        <v>2326</v>
      </c>
      <c r="C609" s="116" t="s">
        <v>20</v>
      </c>
      <c r="D609" s="116">
        <v>0</v>
      </c>
      <c r="E609" s="135" t="s">
        <v>558</v>
      </c>
      <c r="F609" s="136" t="str">
        <f t="shared" si="27"/>
        <v/>
      </c>
      <c r="G609" s="137" t="e">
        <f>IF(A609&lt;&gt;"",IF(AND(#REF!="Padrão",$H$4=#REF!),BDI!$B$17,IF(AND(#REF!="Padrão",$H$4=#REF!),BDI!#REF!,IF(AND(#REF!="Diferenciado",$H$4=#REF!),BDI!$E$17,IF(AND(#REF!="Diferenciado",$H$4=#REF!),BDI!#REF!,IF(#REF!="ZERO",0))))),"")</f>
        <v>#REF!</v>
      </c>
      <c r="H609" s="138" t="str">
        <f t="shared" si="28"/>
        <v/>
      </c>
      <c r="I609" s="136" t="str">
        <f t="shared" si="29"/>
        <v/>
      </c>
    </row>
    <row r="610" spans="1:9" hidden="1" x14ac:dyDescent="0.25">
      <c r="A610" s="114" t="s">
        <v>2327</v>
      </c>
      <c r="B610" s="115" t="s">
        <v>2328</v>
      </c>
      <c r="C610" s="116" t="s">
        <v>20</v>
      </c>
      <c r="D610" s="116">
        <v>0</v>
      </c>
      <c r="E610" s="135" t="s">
        <v>558</v>
      </c>
      <c r="F610" s="136" t="str">
        <f t="shared" si="27"/>
        <v/>
      </c>
      <c r="G610" s="137" t="e">
        <f>IF(A610&lt;&gt;"",IF(AND(#REF!="Padrão",$H$4=#REF!),BDI!$B$17,IF(AND(#REF!="Padrão",$H$4=#REF!),BDI!#REF!,IF(AND(#REF!="Diferenciado",$H$4=#REF!),BDI!$E$17,IF(AND(#REF!="Diferenciado",$H$4=#REF!),BDI!#REF!,IF(#REF!="ZERO",0))))),"")</f>
        <v>#REF!</v>
      </c>
      <c r="H610" s="138" t="str">
        <f t="shared" si="28"/>
        <v/>
      </c>
      <c r="I610" s="136" t="str">
        <f t="shared" si="29"/>
        <v/>
      </c>
    </row>
    <row r="611" spans="1:9" hidden="1" x14ac:dyDescent="0.25">
      <c r="A611" s="114" t="s">
        <v>2329</v>
      </c>
      <c r="B611" s="115" t="s">
        <v>2330</v>
      </c>
      <c r="C611" s="116" t="s">
        <v>20</v>
      </c>
      <c r="D611" s="116">
        <v>0</v>
      </c>
      <c r="E611" s="135" t="s">
        <v>558</v>
      </c>
      <c r="F611" s="136" t="str">
        <f t="shared" si="27"/>
        <v/>
      </c>
      <c r="G611" s="137" t="e">
        <f>IF(A611&lt;&gt;"",IF(AND(#REF!="Padrão",$H$4=#REF!),BDI!$B$17,IF(AND(#REF!="Padrão",$H$4=#REF!),BDI!#REF!,IF(AND(#REF!="Diferenciado",$H$4=#REF!),BDI!$E$17,IF(AND(#REF!="Diferenciado",$H$4=#REF!),BDI!#REF!,IF(#REF!="ZERO",0))))),"")</f>
        <v>#REF!</v>
      </c>
      <c r="H611" s="138" t="str">
        <f t="shared" si="28"/>
        <v/>
      </c>
      <c r="I611" s="136" t="str">
        <f t="shared" si="29"/>
        <v/>
      </c>
    </row>
    <row r="612" spans="1:9" hidden="1" x14ac:dyDescent="0.25">
      <c r="A612" s="114" t="s">
        <v>2331</v>
      </c>
      <c r="B612" s="115" t="s">
        <v>2332</v>
      </c>
      <c r="C612" s="116" t="s">
        <v>20</v>
      </c>
      <c r="D612" s="116">
        <v>0</v>
      </c>
      <c r="E612" s="135" t="s">
        <v>558</v>
      </c>
      <c r="F612" s="136" t="str">
        <f t="shared" si="27"/>
        <v/>
      </c>
      <c r="G612" s="137" t="e">
        <f>IF(A612&lt;&gt;"",IF(AND(#REF!="Padrão",$H$4=#REF!),BDI!$B$17,IF(AND(#REF!="Padrão",$H$4=#REF!),BDI!#REF!,IF(AND(#REF!="Diferenciado",$H$4=#REF!),BDI!$E$17,IF(AND(#REF!="Diferenciado",$H$4=#REF!),BDI!#REF!,IF(#REF!="ZERO",0))))),"")</f>
        <v>#REF!</v>
      </c>
      <c r="H612" s="138" t="str">
        <f t="shared" si="28"/>
        <v/>
      </c>
      <c r="I612" s="136" t="str">
        <f t="shared" si="29"/>
        <v/>
      </c>
    </row>
    <row r="613" spans="1:9" hidden="1" x14ac:dyDescent="0.25">
      <c r="A613" s="114" t="s">
        <v>2333</v>
      </c>
      <c r="B613" s="115" t="s">
        <v>2334</v>
      </c>
      <c r="C613" s="116" t="s">
        <v>20</v>
      </c>
      <c r="D613" s="116">
        <v>0</v>
      </c>
      <c r="E613" s="135" t="s">
        <v>558</v>
      </c>
      <c r="F613" s="136" t="str">
        <f t="shared" si="27"/>
        <v/>
      </c>
      <c r="G613" s="137" t="e">
        <f>IF(A613&lt;&gt;"",IF(AND(#REF!="Padrão",$H$4=#REF!),BDI!$B$17,IF(AND(#REF!="Padrão",$H$4=#REF!),BDI!#REF!,IF(AND(#REF!="Diferenciado",$H$4=#REF!),BDI!$E$17,IF(AND(#REF!="Diferenciado",$H$4=#REF!),BDI!#REF!,IF(#REF!="ZERO",0))))),"")</f>
        <v>#REF!</v>
      </c>
      <c r="H613" s="138" t="str">
        <f t="shared" si="28"/>
        <v/>
      </c>
      <c r="I613" s="136" t="str">
        <f t="shared" si="29"/>
        <v/>
      </c>
    </row>
    <row r="614" spans="1:9" hidden="1" x14ac:dyDescent="0.25">
      <c r="A614" s="114" t="s">
        <v>2335</v>
      </c>
      <c r="B614" s="115" t="s">
        <v>2336</v>
      </c>
      <c r="C614" s="116" t="s">
        <v>20</v>
      </c>
      <c r="D614" s="116">
        <v>0</v>
      </c>
      <c r="E614" s="135" t="s">
        <v>558</v>
      </c>
      <c r="F614" s="136" t="str">
        <f t="shared" si="27"/>
        <v/>
      </c>
      <c r="G614" s="137" t="e">
        <f>IF(A614&lt;&gt;"",IF(AND(#REF!="Padrão",$H$4=#REF!),BDI!$B$17,IF(AND(#REF!="Padrão",$H$4=#REF!),BDI!#REF!,IF(AND(#REF!="Diferenciado",$H$4=#REF!),BDI!$E$17,IF(AND(#REF!="Diferenciado",$H$4=#REF!),BDI!#REF!,IF(#REF!="ZERO",0))))),"")</f>
        <v>#REF!</v>
      </c>
      <c r="H614" s="138" t="str">
        <f t="shared" si="28"/>
        <v/>
      </c>
      <c r="I614" s="136" t="str">
        <f t="shared" si="29"/>
        <v/>
      </c>
    </row>
    <row r="615" spans="1:9" hidden="1" x14ac:dyDescent="0.25">
      <c r="A615" s="114" t="s">
        <v>2337</v>
      </c>
      <c r="B615" s="115" t="s">
        <v>2338</v>
      </c>
      <c r="C615" s="116" t="s">
        <v>20</v>
      </c>
      <c r="D615" s="116">
        <v>0</v>
      </c>
      <c r="E615" s="135" t="s">
        <v>558</v>
      </c>
      <c r="F615" s="136" t="str">
        <f t="shared" si="27"/>
        <v/>
      </c>
      <c r="G615" s="137" t="e">
        <f>IF(A615&lt;&gt;"",IF(AND(#REF!="Padrão",$H$4=#REF!),BDI!$B$17,IF(AND(#REF!="Padrão",$H$4=#REF!),BDI!#REF!,IF(AND(#REF!="Diferenciado",$H$4=#REF!),BDI!$E$17,IF(AND(#REF!="Diferenciado",$H$4=#REF!),BDI!#REF!,IF(#REF!="ZERO",0))))),"")</f>
        <v>#REF!</v>
      </c>
      <c r="H615" s="138" t="str">
        <f t="shared" si="28"/>
        <v/>
      </c>
      <c r="I615" s="136" t="str">
        <f t="shared" si="29"/>
        <v/>
      </c>
    </row>
    <row r="616" spans="1:9" hidden="1" x14ac:dyDescent="0.25">
      <c r="A616" s="114" t="s">
        <v>2339</v>
      </c>
      <c r="B616" s="115" t="s">
        <v>2340</v>
      </c>
      <c r="C616" s="116" t="s">
        <v>20</v>
      </c>
      <c r="D616" s="116">
        <v>0</v>
      </c>
      <c r="E616" s="135" t="s">
        <v>558</v>
      </c>
      <c r="F616" s="136" t="str">
        <f t="shared" si="27"/>
        <v/>
      </c>
      <c r="G616" s="137" t="e">
        <f>IF(A616&lt;&gt;"",IF(AND(#REF!="Padrão",$H$4=#REF!),BDI!$B$17,IF(AND(#REF!="Padrão",$H$4=#REF!),BDI!#REF!,IF(AND(#REF!="Diferenciado",$H$4=#REF!),BDI!$E$17,IF(AND(#REF!="Diferenciado",$H$4=#REF!),BDI!#REF!,IF(#REF!="ZERO",0))))),"")</f>
        <v>#REF!</v>
      </c>
      <c r="H616" s="138" t="str">
        <f t="shared" si="28"/>
        <v/>
      </c>
      <c r="I616" s="136" t="str">
        <f t="shared" si="29"/>
        <v/>
      </c>
    </row>
    <row r="617" spans="1:9" hidden="1" x14ac:dyDescent="0.25">
      <c r="A617" s="114" t="s">
        <v>2341</v>
      </c>
      <c r="B617" s="115" t="s">
        <v>2342</v>
      </c>
      <c r="C617" s="116" t="s">
        <v>20</v>
      </c>
      <c r="D617" s="116">
        <v>0</v>
      </c>
      <c r="E617" s="135" t="s">
        <v>558</v>
      </c>
      <c r="F617" s="136" t="str">
        <f t="shared" si="27"/>
        <v/>
      </c>
      <c r="G617" s="137" t="e">
        <f>IF(A617&lt;&gt;"",IF(AND(#REF!="Padrão",$H$4=#REF!),BDI!$B$17,IF(AND(#REF!="Padrão",$H$4=#REF!),BDI!#REF!,IF(AND(#REF!="Diferenciado",$H$4=#REF!),BDI!$E$17,IF(AND(#REF!="Diferenciado",$H$4=#REF!),BDI!#REF!,IF(#REF!="ZERO",0))))),"")</f>
        <v>#REF!</v>
      </c>
      <c r="H617" s="138" t="str">
        <f t="shared" si="28"/>
        <v/>
      </c>
      <c r="I617" s="136" t="str">
        <f t="shared" si="29"/>
        <v/>
      </c>
    </row>
    <row r="618" spans="1:9" hidden="1" x14ac:dyDescent="0.25">
      <c r="A618" s="114" t="s">
        <v>2343</v>
      </c>
      <c r="B618" s="115" t="s">
        <v>2344</v>
      </c>
      <c r="C618" s="116" t="s">
        <v>20</v>
      </c>
      <c r="D618" s="116">
        <v>0</v>
      </c>
      <c r="E618" s="135" t="s">
        <v>558</v>
      </c>
      <c r="F618" s="136" t="str">
        <f t="shared" si="27"/>
        <v/>
      </c>
      <c r="G618" s="137" t="e">
        <f>IF(A618&lt;&gt;"",IF(AND(#REF!="Padrão",$H$4=#REF!),BDI!$B$17,IF(AND(#REF!="Padrão",$H$4=#REF!),BDI!#REF!,IF(AND(#REF!="Diferenciado",$H$4=#REF!),BDI!$E$17,IF(AND(#REF!="Diferenciado",$H$4=#REF!),BDI!#REF!,IF(#REF!="ZERO",0))))),"")</f>
        <v>#REF!</v>
      </c>
      <c r="H618" s="138" t="str">
        <f t="shared" si="28"/>
        <v/>
      </c>
      <c r="I618" s="136" t="str">
        <f t="shared" si="29"/>
        <v/>
      </c>
    </row>
    <row r="619" spans="1:9" hidden="1" x14ac:dyDescent="0.25">
      <c r="A619" s="114" t="s">
        <v>2345</v>
      </c>
      <c r="B619" s="115" t="s">
        <v>2346</v>
      </c>
      <c r="C619" s="116" t="s">
        <v>20</v>
      </c>
      <c r="D619" s="116">
        <v>0</v>
      </c>
      <c r="E619" s="135" t="s">
        <v>558</v>
      </c>
      <c r="F619" s="136" t="str">
        <f t="shared" si="27"/>
        <v/>
      </c>
      <c r="G619" s="137" t="e">
        <f>IF(A619&lt;&gt;"",IF(AND(#REF!="Padrão",$H$4=#REF!),BDI!$B$17,IF(AND(#REF!="Padrão",$H$4=#REF!),BDI!#REF!,IF(AND(#REF!="Diferenciado",$H$4=#REF!),BDI!$E$17,IF(AND(#REF!="Diferenciado",$H$4=#REF!),BDI!#REF!,IF(#REF!="ZERO",0))))),"")</f>
        <v>#REF!</v>
      </c>
      <c r="H619" s="138" t="str">
        <f t="shared" si="28"/>
        <v/>
      </c>
      <c r="I619" s="136" t="str">
        <f t="shared" si="29"/>
        <v/>
      </c>
    </row>
    <row r="620" spans="1:9" hidden="1" x14ac:dyDescent="0.25">
      <c r="A620" s="114" t="s">
        <v>2347</v>
      </c>
      <c r="B620" s="115" t="s">
        <v>2348</v>
      </c>
      <c r="C620" s="116" t="s">
        <v>20</v>
      </c>
      <c r="D620" s="116">
        <v>0</v>
      </c>
      <c r="E620" s="135" t="s">
        <v>558</v>
      </c>
      <c r="F620" s="136" t="str">
        <f t="shared" si="27"/>
        <v/>
      </c>
      <c r="G620" s="137" t="e">
        <f>IF(A620&lt;&gt;"",IF(AND(#REF!="Padrão",$H$4=#REF!),BDI!$B$17,IF(AND(#REF!="Padrão",$H$4=#REF!),BDI!#REF!,IF(AND(#REF!="Diferenciado",$H$4=#REF!),BDI!$E$17,IF(AND(#REF!="Diferenciado",$H$4=#REF!),BDI!#REF!,IF(#REF!="ZERO",0))))),"")</f>
        <v>#REF!</v>
      </c>
      <c r="H620" s="138" t="str">
        <f t="shared" si="28"/>
        <v/>
      </c>
      <c r="I620" s="136" t="str">
        <f t="shared" si="29"/>
        <v/>
      </c>
    </row>
    <row r="621" spans="1:9" hidden="1" x14ac:dyDescent="0.25">
      <c r="A621" s="114" t="s">
        <v>2349</v>
      </c>
      <c r="B621" s="115" t="s">
        <v>2350</v>
      </c>
      <c r="C621" s="116" t="s">
        <v>20</v>
      </c>
      <c r="D621" s="116">
        <v>0</v>
      </c>
      <c r="E621" s="135" t="s">
        <v>558</v>
      </c>
      <c r="F621" s="136" t="str">
        <f t="shared" si="27"/>
        <v/>
      </c>
      <c r="G621" s="137" t="e">
        <f>IF(A621&lt;&gt;"",IF(AND(#REF!="Padrão",$H$4=#REF!),BDI!$B$17,IF(AND(#REF!="Padrão",$H$4=#REF!),BDI!#REF!,IF(AND(#REF!="Diferenciado",$H$4=#REF!),BDI!$E$17,IF(AND(#REF!="Diferenciado",$H$4=#REF!),BDI!#REF!,IF(#REF!="ZERO",0))))),"")</f>
        <v>#REF!</v>
      </c>
      <c r="H621" s="138" t="str">
        <f t="shared" si="28"/>
        <v/>
      </c>
      <c r="I621" s="136" t="str">
        <f t="shared" si="29"/>
        <v/>
      </c>
    </row>
    <row r="622" spans="1:9" hidden="1" x14ac:dyDescent="0.25">
      <c r="A622" s="114" t="s">
        <v>2351</v>
      </c>
      <c r="B622" s="115" t="s">
        <v>2352</v>
      </c>
      <c r="C622" s="116" t="s">
        <v>20</v>
      </c>
      <c r="D622" s="116">
        <v>0</v>
      </c>
      <c r="E622" s="135" t="s">
        <v>558</v>
      </c>
      <c r="F622" s="136" t="str">
        <f t="shared" si="27"/>
        <v/>
      </c>
      <c r="G622" s="137" t="e">
        <f>IF(A622&lt;&gt;"",IF(AND(#REF!="Padrão",$H$4=#REF!),BDI!$B$17,IF(AND(#REF!="Padrão",$H$4=#REF!),BDI!#REF!,IF(AND(#REF!="Diferenciado",$H$4=#REF!),BDI!$E$17,IF(AND(#REF!="Diferenciado",$H$4=#REF!),BDI!#REF!,IF(#REF!="ZERO",0))))),"")</f>
        <v>#REF!</v>
      </c>
      <c r="H622" s="138" t="str">
        <f t="shared" si="28"/>
        <v/>
      </c>
      <c r="I622" s="136" t="str">
        <f t="shared" si="29"/>
        <v/>
      </c>
    </row>
    <row r="623" spans="1:9" hidden="1" x14ac:dyDescent="0.25">
      <c r="A623" s="114" t="s">
        <v>2353</v>
      </c>
      <c r="B623" s="115" t="s">
        <v>2354</v>
      </c>
      <c r="C623" s="116" t="s">
        <v>20</v>
      </c>
      <c r="D623" s="116">
        <v>0</v>
      </c>
      <c r="E623" s="135" t="s">
        <v>558</v>
      </c>
      <c r="F623" s="136" t="str">
        <f t="shared" si="27"/>
        <v/>
      </c>
      <c r="G623" s="137" t="e">
        <f>IF(A623&lt;&gt;"",IF(AND(#REF!="Padrão",$H$4=#REF!),BDI!$B$17,IF(AND(#REF!="Padrão",$H$4=#REF!),BDI!#REF!,IF(AND(#REF!="Diferenciado",$H$4=#REF!),BDI!$E$17,IF(AND(#REF!="Diferenciado",$H$4=#REF!),BDI!#REF!,IF(#REF!="ZERO",0))))),"")</f>
        <v>#REF!</v>
      </c>
      <c r="H623" s="138" t="str">
        <f t="shared" si="28"/>
        <v/>
      </c>
      <c r="I623" s="136" t="str">
        <f t="shared" si="29"/>
        <v/>
      </c>
    </row>
    <row r="624" spans="1:9" hidden="1" x14ac:dyDescent="0.25">
      <c r="A624" s="114" t="s">
        <v>2355</v>
      </c>
      <c r="B624" s="115" t="s">
        <v>2356</v>
      </c>
      <c r="C624" s="116" t="s">
        <v>20</v>
      </c>
      <c r="D624" s="116">
        <v>0</v>
      </c>
      <c r="E624" s="135" t="s">
        <v>558</v>
      </c>
      <c r="F624" s="136" t="str">
        <f t="shared" si="27"/>
        <v/>
      </c>
      <c r="G624" s="137" t="e">
        <f>IF(A624&lt;&gt;"",IF(AND(#REF!="Padrão",$H$4=#REF!),BDI!$B$17,IF(AND(#REF!="Padrão",$H$4=#REF!),BDI!#REF!,IF(AND(#REF!="Diferenciado",$H$4=#REF!),BDI!$E$17,IF(AND(#REF!="Diferenciado",$H$4=#REF!),BDI!#REF!,IF(#REF!="ZERO",0))))),"")</f>
        <v>#REF!</v>
      </c>
      <c r="H624" s="138" t="str">
        <f t="shared" si="28"/>
        <v/>
      </c>
      <c r="I624" s="136" t="str">
        <f t="shared" si="29"/>
        <v/>
      </c>
    </row>
    <row r="625" spans="1:9" hidden="1" x14ac:dyDescent="0.25">
      <c r="A625" s="114" t="s">
        <v>2357</v>
      </c>
      <c r="B625" s="115" t="s">
        <v>2358</v>
      </c>
      <c r="C625" s="116" t="s">
        <v>20</v>
      </c>
      <c r="D625" s="116">
        <v>0</v>
      </c>
      <c r="E625" s="135" t="s">
        <v>558</v>
      </c>
      <c r="F625" s="136" t="str">
        <f t="shared" si="27"/>
        <v/>
      </c>
      <c r="G625" s="137" t="e">
        <f>IF(A625&lt;&gt;"",IF(AND(#REF!="Padrão",$H$4=#REF!),BDI!$B$17,IF(AND(#REF!="Padrão",$H$4=#REF!),BDI!#REF!,IF(AND(#REF!="Diferenciado",$H$4=#REF!),BDI!$E$17,IF(AND(#REF!="Diferenciado",$H$4=#REF!),BDI!#REF!,IF(#REF!="ZERO",0))))),"")</f>
        <v>#REF!</v>
      </c>
      <c r="H625" s="138" t="str">
        <f t="shared" si="28"/>
        <v/>
      </c>
      <c r="I625" s="136" t="str">
        <f t="shared" si="29"/>
        <v/>
      </c>
    </row>
    <row r="626" spans="1:9" hidden="1" x14ac:dyDescent="0.25">
      <c r="A626" s="114" t="s">
        <v>2359</v>
      </c>
      <c r="B626" s="115" t="s">
        <v>2360</v>
      </c>
      <c r="C626" s="116" t="s">
        <v>20</v>
      </c>
      <c r="D626" s="116">
        <v>0</v>
      </c>
      <c r="E626" s="135" t="s">
        <v>558</v>
      </c>
      <c r="F626" s="136" t="str">
        <f t="shared" si="27"/>
        <v/>
      </c>
      <c r="G626" s="137" t="e">
        <f>IF(A626&lt;&gt;"",IF(AND(#REF!="Padrão",$H$4=#REF!),BDI!$B$17,IF(AND(#REF!="Padrão",$H$4=#REF!),BDI!#REF!,IF(AND(#REF!="Diferenciado",$H$4=#REF!),BDI!$E$17,IF(AND(#REF!="Diferenciado",$H$4=#REF!),BDI!#REF!,IF(#REF!="ZERO",0))))),"")</f>
        <v>#REF!</v>
      </c>
      <c r="H626" s="138" t="str">
        <f t="shared" si="28"/>
        <v/>
      </c>
      <c r="I626" s="136" t="str">
        <f t="shared" si="29"/>
        <v/>
      </c>
    </row>
    <row r="627" spans="1:9" hidden="1" x14ac:dyDescent="0.25">
      <c r="A627" s="114" t="s">
        <v>2361</v>
      </c>
      <c r="B627" s="115" t="s">
        <v>2362</v>
      </c>
      <c r="C627" s="116" t="s">
        <v>20</v>
      </c>
      <c r="D627" s="116">
        <v>0</v>
      </c>
      <c r="E627" s="135" t="s">
        <v>558</v>
      </c>
      <c r="F627" s="136" t="str">
        <f t="shared" si="27"/>
        <v/>
      </c>
      <c r="G627" s="137" t="e">
        <f>IF(A627&lt;&gt;"",IF(AND(#REF!="Padrão",$H$4=#REF!),BDI!$B$17,IF(AND(#REF!="Padrão",$H$4=#REF!),BDI!#REF!,IF(AND(#REF!="Diferenciado",$H$4=#REF!),BDI!$E$17,IF(AND(#REF!="Diferenciado",$H$4=#REF!),BDI!#REF!,IF(#REF!="ZERO",0))))),"")</f>
        <v>#REF!</v>
      </c>
      <c r="H627" s="138" t="str">
        <f t="shared" si="28"/>
        <v/>
      </c>
      <c r="I627" s="136" t="str">
        <f t="shared" si="29"/>
        <v/>
      </c>
    </row>
    <row r="628" spans="1:9" hidden="1" x14ac:dyDescent="0.25">
      <c r="A628" s="114" t="s">
        <v>2363</v>
      </c>
      <c r="B628" s="115" t="s">
        <v>2364</v>
      </c>
      <c r="C628" s="116" t="s">
        <v>20</v>
      </c>
      <c r="D628" s="116">
        <v>0</v>
      </c>
      <c r="E628" s="135" t="s">
        <v>558</v>
      </c>
      <c r="F628" s="136" t="str">
        <f t="shared" si="27"/>
        <v/>
      </c>
      <c r="G628" s="137" t="e">
        <f>IF(A628&lt;&gt;"",IF(AND(#REF!="Padrão",$H$4=#REF!),BDI!$B$17,IF(AND(#REF!="Padrão",$H$4=#REF!),BDI!#REF!,IF(AND(#REF!="Diferenciado",$H$4=#REF!),BDI!$E$17,IF(AND(#REF!="Diferenciado",$H$4=#REF!),BDI!#REF!,IF(#REF!="ZERO",0))))),"")</f>
        <v>#REF!</v>
      </c>
      <c r="H628" s="138" t="str">
        <f t="shared" si="28"/>
        <v/>
      </c>
      <c r="I628" s="136" t="str">
        <f t="shared" si="29"/>
        <v/>
      </c>
    </row>
    <row r="629" spans="1:9" hidden="1" x14ac:dyDescent="0.25">
      <c r="A629" s="114" t="s">
        <v>2365</v>
      </c>
      <c r="B629" s="115" t="s">
        <v>2366</v>
      </c>
      <c r="C629" s="116" t="s">
        <v>20</v>
      </c>
      <c r="D629" s="116">
        <v>0</v>
      </c>
      <c r="E629" s="135" t="s">
        <v>558</v>
      </c>
      <c r="F629" s="136" t="str">
        <f t="shared" si="27"/>
        <v/>
      </c>
      <c r="G629" s="137" t="e">
        <f>IF(A629&lt;&gt;"",IF(AND(#REF!="Padrão",$H$4=#REF!),BDI!$B$17,IF(AND(#REF!="Padrão",$H$4=#REF!),BDI!#REF!,IF(AND(#REF!="Diferenciado",$H$4=#REF!),BDI!$E$17,IF(AND(#REF!="Diferenciado",$H$4=#REF!),BDI!#REF!,IF(#REF!="ZERO",0))))),"")</f>
        <v>#REF!</v>
      </c>
      <c r="H629" s="138" t="str">
        <f t="shared" si="28"/>
        <v/>
      </c>
      <c r="I629" s="136" t="str">
        <f t="shared" si="29"/>
        <v/>
      </c>
    </row>
    <row r="630" spans="1:9" hidden="1" x14ac:dyDescent="0.25">
      <c r="A630" s="114" t="s">
        <v>2367</v>
      </c>
      <c r="B630" s="115" t="s">
        <v>2368</v>
      </c>
      <c r="C630" s="116" t="s">
        <v>20</v>
      </c>
      <c r="D630" s="116">
        <v>0</v>
      </c>
      <c r="E630" s="135" t="s">
        <v>558</v>
      </c>
      <c r="F630" s="136" t="str">
        <f t="shared" si="27"/>
        <v/>
      </c>
      <c r="G630" s="137" t="e">
        <f>IF(A630&lt;&gt;"",IF(AND(#REF!="Padrão",$H$4=#REF!),BDI!$B$17,IF(AND(#REF!="Padrão",$H$4=#REF!),BDI!#REF!,IF(AND(#REF!="Diferenciado",$H$4=#REF!),BDI!$E$17,IF(AND(#REF!="Diferenciado",$H$4=#REF!),BDI!#REF!,IF(#REF!="ZERO",0))))),"")</f>
        <v>#REF!</v>
      </c>
      <c r="H630" s="138" t="str">
        <f t="shared" si="28"/>
        <v/>
      </c>
      <c r="I630" s="136" t="str">
        <f t="shared" si="29"/>
        <v/>
      </c>
    </row>
    <row r="631" spans="1:9" hidden="1" x14ac:dyDescent="0.25">
      <c r="A631" s="114" t="s">
        <v>2369</v>
      </c>
      <c r="B631" s="115" t="s">
        <v>2370</v>
      </c>
      <c r="C631" s="116" t="s">
        <v>20</v>
      </c>
      <c r="D631" s="116">
        <v>0</v>
      </c>
      <c r="E631" s="135" t="s">
        <v>558</v>
      </c>
      <c r="F631" s="136" t="str">
        <f t="shared" si="27"/>
        <v/>
      </c>
      <c r="G631" s="137" t="e">
        <f>IF(A631&lt;&gt;"",IF(AND(#REF!="Padrão",$H$4=#REF!),BDI!$B$17,IF(AND(#REF!="Padrão",$H$4=#REF!),BDI!#REF!,IF(AND(#REF!="Diferenciado",$H$4=#REF!),BDI!$E$17,IF(AND(#REF!="Diferenciado",$H$4=#REF!),BDI!#REF!,IF(#REF!="ZERO",0))))),"")</f>
        <v>#REF!</v>
      </c>
      <c r="H631" s="138" t="str">
        <f t="shared" si="28"/>
        <v/>
      </c>
      <c r="I631" s="136" t="str">
        <f t="shared" si="29"/>
        <v/>
      </c>
    </row>
    <row r="632" spans="1:9" hidden="1" x14ac:dyDescent="0.25">
      <c r="A632" s="114" t="s">
        <v>2371</v>
      </c>
      <c r="B632" s="115" t="s">
        <v>2372</v>
      </c>
      <c r="C632" s="116" t="s">
        <v>20</v>
      </c>
      <c r="D632" s="116">
        <v>0</v>
      </c>
      <c r="E632" s="135" t="s">
        <v>558</v>
      </c>
      <c r="F632" s="136" t="str">
        <f t="shared" si="27"/>
        <v/>
      </c>
      <c r="G632" s="137" t="e">
        <f>IF(A632&lt;&gt;"",IF(AND(#REF!="Padrão",$H$4=#REF!),BDI!$B$17,IF(AND(#REF!="Padrão",$H$4=#REF!),BDI!#REF!,IF(AND(#REF!="Diferenciado",$H$4=#REF!),BDI!$E$17,IF(AND(#REF!="Diferenciado",$H$4=#REF!),BDI!#REF!,IF(#REF!="ZERO",0))))),"")</f>
        <v>#REF!</v>
      </c>
      <c r="H632" s="138" t="str">
        <f t="shared" si="28"/>
        <v/>
      </c>
      <c r="I632" s="136" t="str">
        <f t="shared" si="29"/>
        <v/>
      </c>
    </row>
    <row r="633" spans="1:9" hidden="1" x14ac:dyDescent="0.25">
      <c r="A633" s="114" t="s">
        <v>2373</v>
      </c>
      <c r="B633" s="115" t="s">
        <v>2374</v>
      </c>
      <c r="C633" s="116" t="s">
        <v>20</v>
      </c>
      <c r="D633" s="116">
        <v>0</v>
      </c>
      <c r="E633" s="135" t="s">
        <v>558</v>
      </c>
      <c r="F633" s="136" t="str">
        <f t="shared" si="27"/>
        <v/>
      </c>
      <c r="G633" s="137" t="e">
        <f>IF(A633&lt;&gt;"",IF(AND(#REF!="Padrão",$H$4=#REF!),BDI!$B$17,IF(AND(#REF!="Padrão",$H$4=#REF!),BDI!#REF!,IF(AND(#REF!="Diferenciado",$H$4=#REF!),BDI!$E$17,IF(AND(#REF!="Diferenciado",$H$4=#REF!),BDI!#REF!,IF(#REF!="ZERO",0))))),"")</f>
        <v>#REF!</v>
      </c>
      <c r="H633" s="138" t="str">
        <f t="shared" si="28"/>
        <v/>
      </c>
      <c r="I633" s="136" t="str">
        <f t="shared" si="29"/>
        <v/>
      </c>
    </row>
    <row r="634" spans="1:9" hidden="1" x14ac:dyDescent="0.25">
      <c r="A634" s="114" t="s">
        <v>2375</v>
      </c>
      <c r="B634" s="115" t="s">
        <v>2376</v>
      </c>
      <c r="C634" s="116" t="s">
        <v>20</v>
      </c>
      <c r="D634" s="116">
        <v>0</v>
      </c>
      <c r="E634" s="135" t="s">
        <v>558</v>
      </c>
      <c r="F634" s="136" t="str">
        <f t="shared" si="27"/>
        <v/>
      </c>
      <c r="G634" s="137" t="e">
        <f>IF(A634&lt;&gt;"",IF(AND(#REF!="Padrão",$H$4=#REF!),BDI!$B$17,IF(AND(#REF!="Padrão",$H$4=#REF!),BDI!#REF!,IF(AND(#REF!="Diferenciado",$H$4=#REF!),BDI!$E$17,IF(AND(#REF!="Diferenciado",$H$4=#REF!),BDI!#REF!,IF(#REF!="ZERO",0))))),"")</f>
        <v>#REF!</v>
      </c>
      <c r="H634" s="138" t="str">
        <f t="shared" si="28"/>
        <v/>
      </c>
      <c r="I634" s="136" t="str">
        <f t="shared" si="29"/>
        <v/>
      </c>
    </row>
    <row r="635" spans="1:9" hidden="1" x14ac:dyDescent="0.25">
      <c r="A635" s="114" t="s">
        <v>2377</v>
      </c>
      <c r="B635" s="115" t="s">
        <v>2378</v>
      </c>
      <c r="C635" s="116" t="s">
        <v>20</v>
      </c>
      <c r="D635" s="116">
        <v>0</v>
      </c>
      <c r="E635" s="135" t="s">
        <v>558</v>
      </c>
      <c r="F635" s="136" t="str">
        <f t="shared" si="27"/>
        <v/>
      </c>
      <c r="G635" s="137" t="e">
        <f>IF(A635&lt;&gt;"",IF(AND(#REF!="Padrão",$H$4=#REF!),BDI!$B$17,IF(AND(#REF!="Padrão",$H$4=#REF!),BDI!#REF!,IF(AND(#REF!="Diferenciado",$H$4=#REF!),BDI!$E$17,IF(AND(#REF!="Diferenciado",$H$4=#REF!),BDI!#REF!,IF(#REF!="ZERO",0))))),"")</f>
        <v>#REF!</v>
      </c>
      <c r="H635" s="138" t="str">
        <f t="shared" si="28"/>
        <v/>
      </c>
      <c r="I635" s="136" t="str">
        <f t="shared" si="29"/>
        <v/>
      </c>
    </row>
    <row r="636" spans="1:9" hidden="1" x14ac:dyDescent="0.25">
      <c r="A636" s="114" t="s">
        <v>2379</v>
      </c>
      <c r="B636" s="115" t="s">
        <v>2380</v>
      </c>
      <c r="C636" s="116" t="s">
        <v>20</v>
      </c>
      <c r="D636" s="116">
        <v>0</v>
      </c>
      <c r="E636" s="135" t="s">
        <v>558</v>
      </c>
      <c r="F636" s="136" t="str">
        <f t="shared" si="27"/>
        <v/>
      </c>
      <c r="G636" s="137" t="e">
        <f>IF(A636&lt;&gt;"",IF(AND(#REF!="Padrão",$H$4=#REF!),BDI!$B$17,IF(AND(#REF!="Padrão",$H$4=#REF!),BDI!#REF!,IF(AND(#REF!="Diferenciado",$H$4=#REF!),BDI!$E$17,IF(AND(#REF!="Diferenciado",$H$4=#REF!),BDI!#REF!,IF(#REF!="ZERO",0))))),"")</f>
        <v>#REF!</v>
      </c>
      <c r="H636" s="138" t="str">
        <f t="shared" si="28"/>
        <v/>
      </c>
      <c r="I636" s="136" t="str">
        <f t="shared" si="29"/>
        <v/>
      </c>
    </row>
    <row r="637" spans="1:9" hidden="1" x14ac:dyDescent="0.25">
      <c r="A637" s="114" t="s">
        <v>2381</v>
      </c>
      <c r="B637" s="115" t="s">
        <v>2382</v>
      </c>
      <c r="C637" s="116" t="s">
        <v>20</v>
      </c>
      <c r="D637" s="116">
        <v>0</v>
      </c>
      <c r="E637" s="135" t="s">
        <v>558</v>
      </c>
      <c r="F637" s="136" t="str">
        <f t="shared" si="27"/>
        <v/>
      </c>
      <c r="G637" s="137" t="e">
        <f>IF(A637&lt;&gt;"",IF(AND(#REF!="Padrão",$H$4=#REF!),BDI!$B$17,IF(AND(#REF!="Padrão",$H$4=#REF!),BDI!#REF!,IF(AND(#REF!="Diferenciado",$H$4=#REF!),BDI!$E$17,IF(AND(#REF!="Diferenciado",$H$4=#REF!),BDI!#REF!,IF(#REF!="ZERO",0))))),"")</f>
        <v>#REF!</v>
      </c>
      <c r="H637" s="138" t="str">
        <f t="shared" si="28"/>
        <v/>
      </c>
      <c r="I637" s="136" t="str">
        <f t="shared" si="29"/>
        <v/>
      </c>
    </row>
    <row r="638" spans="1:9" hidden="1" x14ac:dyDescent="0.25">
      <c r="A638" s="114" t="s">
        <v>2383</v>
      </c>
      <c r="B638" s="115" t="s">
        <v>2384</v>
      </c>
      <c r="C638" s="116" t="s">
        <v>20</v>
      </c>
      <c r="D638" s="116">
        <v>0</v>
      </c>
      <c r="E638" s="135" t="s">
        <v>558</v>
      </c>
      <c r="F638" s="136" t="str">
        <f t="shared" si="27"/>
        <v/>
      </c>
      <c r="G638" s="137" t="e">
        <f>IF(A638&lt;&gt;"",IF(AND(#REF!="Padrão",$H$4=#REF!),BDI!$B$17,IF(AND(#REF!="Padrão",$H$4=#REF!),BDI!#REF!,IF(AND(#REF!="Diferenciado",$H$4=#REF!),BDI!$E$17,IF(AND(#REF!="Diferenciado",$H$4=#REF!),BDI!#REF!,IF(#REF!="ZERO",0))))),"")</f>
        <v>#REF!</v>
      </c>
      <c r="H638" s="138" t="str">
        <f t="shared" si="28"/>
        <v/>
      </c>
      <c r="I638" s="136" t="str">
        <f t="shared" si="29"/>
        <v/>
      </c>
    </row>
    <row r="639" spans="1:9" hidden="1" x14ac:dyDescent="0.25">
      <c r="A639" s="114" t="s">
        <v>2385</v>
      </c>
      <c r="B639" s="115" t="s">
        <v>2386</v>
      </c>
      <c r="C639" s="116" t="s">
        <v>20</v>
      </c>
      <c r="D639" s="116">
        <v>0</v>
      </c>
      <c r="E639" s="135" t="s">
        <v>558</v>
      </c>
      <c r="F639" s="136" t="str">
        <f t="shared" si="27"/>
        <v/>
      </c>
      <c r="G639" s="137" t="e">
        <f>IF(A639&lt;&gt;"",IF(AND(#REF!="Padrão",$H$4=#REF!),BDI!$B$17,IF(AND(#REF!="Padrão",$H$4=#REF!),BDI!#REF!,IF(AND(#REF!="Diferenciado",$H$4=#REF!),BDI!$E$17,IF(AND(#REF!="Diferenciado",$H$4=#REF!),BDI!#REF!,IF(#REF!="ZERO",0))))),"")</f>
        <v>#REF!</v>
      </c>
      <c r="H639" s="138" t="str">
        <f t="shared" si="28"/>
        <v/>
      </c>
      <c r="I639" s="136" t="str">
        <f t="shared" si="29"/>
        <v/>
      </c>
    </row>
    <row r="640" spans="1:9" hidden="1" x14ac:dyDescent="0.25">
      <c r="A640" s="114" t="s">
        <v>2387</v>
      </c>
      <c r="B640" s="115" t="s">
        <v>2388</v>
      </c>
      <c r="C640" s="116" t="s">
        <v>20</v>
      </c>
      <c r="D640" s="116">
        <v>0</v>
      </c>
      <c r="E640" s="135" t="s">
        <v>558</v>
      </c>
      <c r="F640" s="136" t="str">
        <f t="shared" si="27"/>
        <v/>
      </c>
      <c r="G640" s="137" t="e">
        <f>IF(A640&lt;&gt;"",IF(AND(#REF!="Padrão",$H$4=#REF!),BDI!$B$17,IF(AND(#REF!="Padrão",$H$4=#REF!),BDI!#REF!,IF(AND(#REF!="Diferenciado",$H$4=#REF!),BDI!$E$17,IF(AND(#REF!="Diferenciado",$H$4=#REF!),BDI!#REF!,IF(#REF!="ZERO",0))))),"")</f>
        <v>#REF!</v>
      </c>
      <c r="H640" s="138" t="str">
        <f t="shared" si="28"/>
        <v/>
      </c>
      <c r="I640" s="136" t="str">
        <f t="shared" si="29"/>
        <v/>
      </c>
    </row>
    <row r="641" spans="1:9" hidden="1" x14ac:dyDescent="0.25">
      <c r="A641" s="114" t="s">
        <v>2389</v>
      </c>
      <c r="B641" s="115" t="s">
        <v>2390</v>
      </c>
      <c r="C641" s="116" t="s">
        <v>20</v>
      </c>
      <c r="D641" s="116">
        <v>0</v>
      </c>
      <c r="E641" s="135" t="s">
        <v>558</v>
      </c>
      <c r="F641" s="136" t="str">
        <f t="shared" si="27"/>
        <v/>
      </c>
      <c r="G641" s="137" t="e">
        <f>IF(A641&lt;&gt;"",IF(AND(#REF!="Padrão",$H$4=#REF!),BDI!$B$17,IF(AND(#REF!="Padrão",$H$4=#REF!),BDI!#REF!,IF(AND(#REF!="Diferenciado",$H$4=#REF!),BDI!$E$17,IF(AND(#REF!="Diferenciado",$H$4=#REF!),BDI!#REF!,IF(#REF!="ZERO",0))))),"")</f>
        <v>#REF!</v>
      </c>
      <c r="H641" s="138" t="str">
        <f t="shared" si="28"/>
        <v/>
      </c>
      <c r="I641" s="136" t="str">
        <f t="shared" si="29"/>
        <v/>
      </c>
    </row>
    <row r="642" spans="1:9" hidden="1" x14ac:dyDescent="0.25">
      <c r="A642" s="114" t="s">
        <v>2391</v>
      </c>
      <c r="B642" s="115" t="s">
        <v>2392</v>
      </c>
      <c r="C642" s="116" t="s">
        <v>20</v>
      </c>
      <c r="D642" s="116">
        <v>0</v>
      </c>
      <c r="E642" s="135" t="s">
        <v>558</v>
      </c>
      <c r="F642" s="136" t="str">
        <f t="shared" si="27"/>
        <v/>
      </c>
      <c r="G642" s="137" t="e">
        <f>IF(A642&lt;&gt;"",IF(AND(#REF!="Padrão",$H$4=#REF!),BDI!$B$17,IF(AND(#REF!="Padrão",$H$4=#REF!),BDI!#REF!,IF(AND(#REF!="Diferenciado",$H$4=#REF!),BDI!$E$17,IF(AND(#REF!="Diferenciado",$H$4=#REF!),BDI!#REF!,IF(#REF!="ZERO",0))))),"")</f>
        <v>#REF!</v>
      </c>
      <c r="H642" s="138" t="str">
        <f t="shared" si="28"/>
        <v/>
      </c>
      <c r="I642" s="136" t="str">
        <f t="shared" si="29"/>
        <v/>
      </c>
    </row>
    <row r="643" spans="1:9" hidden="1" x14ac:dyDescent="0.25">
      <c r="A643" s="114" t="s">
        <v>2393</v>
      </c>
      <c r="B643" s="115" t="s">
        <v>2394</v>
      </c>
      <c r="C643" s="116" t="s">
        <v>20</v>
      </c>
      <c r="D643" s="116">
        <v>0</v>
      </c>
      <c r="E643" s="135" t="s">
        <v>558</v>
      </c>
      <c r="F643" s="136" t="str">
        <f t="shared" si="27"/>
        <v/>
      </c>
      <c r="G643" s="137" t="e">
        <f>IF(A643&lt;&gt;"",IF(AND(#REF!="Padrão",$H$4=#REF!),BDI!$B$17,IF(AND(#REF!="Padrão",$H$4=#REF!),BDI!#REF!,IF(AND(#REF!="Diferenciado",$H$4=#REF!),BDI!$E$17,IF(AND(#REF!="Diferenciado",$H$4=#REF!),BDI!#REF!,IF(#REF!="ZERO",0))))),"")</f>
        <v>#REF!</v>
      </c>
      <c r="H643" s="138" t="str">
        <f t="shared" si="28"/>
        <v/>
      </c>
      <c r="I643" s="136" t="str">
        <f t="shared" si="29"/>
        <v/>
      </c>
    </row>
    <row r="644" spans="1:9" hidden="1" x14ac:dyDescent="0.25">
      <c r="A644" s="114" t="s">
        <v>2395</v>
      </c>
      <c r="B644" s="115" t="s">
        <v>2396</v>
      </c>
      <c r="C644" s="116" t="s">
        <v>20</v>
      </c>
      <c r="D644" s="116">
        <v>0</v>
      </c>
      <c r="E644" s="135" t="s">
        <v>558</v>
      </c>
      <c r="F644" s="136" t="str">
        <f t="shared" si="27"/>
        <v/>
      </c>
      <c r="G644" s="137" t="e">
        <f>IF(A644&lt;&gt;"",IF(AND(#REF!="Padrão",$H$4=#REF!),BDI!$B$17,IF(AND(#REF!="Padrão",$H$4=#REF!),BDI!#REF!,IF(AND(#REF!="Diferenciado",$H$4=#REF!),BDI!$E$17,IF(AND(#REF!="Diferenciado",$H$4=#REF!),BDI!#REF!,IF(#REF!="ZERO",0))))),"")</f>
        <v>#REF!</v>
      </c>
      <c r="H644" s="138" t="str">
        <f t="shared" si="28"/>
        <v/>
      </c>
      <c r="I644" s="136" t="str">
        <f t="shared" si="29"/>
        <v/>
      </c>
    </row>
    <row r="645" spans="1:9" hidden="1" x14ac:dyDescent="0.25">
      <c r="A645" s="114" t="s">
        <v>2397</v>
      </c>
      <c r="B645" s="115" t="s">
        <v>2398</v>
      </c>
      <c r="C645" s="116" t="s">
        <v>20</v>
      </c>
      <c r="D645" s="116">
        <v>0</v>
      </c>
      <c r="E645" s="135" t="s">
        <v>558</v>
      </c>
      <c r="F645" s="136" t="str">
        <f t="shared" si="27"/>
        <v/>
      </c>
      <c r="G645" s="137" t="e">
        <f>IF(A645&lt;&gt;"",IF(AND(#REF!="Padrão",$H$4=#REF!),BDI!$B$17,IF(AND(#REF!="Padrão",$H$4=#REF!),BDI!#REF!,IF(AND(#REF!="Diferenciado",$H$4=#REF!),BDI!$E$17,IF(AND(#REF!="Diferenciado",$H$4=#REF!),BDI!#REF!,IF(#REF!="ZERO",0))))),"")</f>
        <v>#REF!</v>
      </c>
      <c r="H645" s="138" t="str">
        <f t="shared" si="28"/>
        <v/>
      </c>
      <c r="I645" s="136" t="str">
        <f t="shared" si="29"/>
        <v/>
      </c>
    </row>
    <row r="646" spans="1:9" hidden="1" x14ac:dyDescent="0.25">
      <c r="A646" s="114" t="s">
        <v>2399</v>
      </c>
      <c r="B646" s="115" t="s">
        <v>2400</v>
      </c>
      <c r="C646" s="116" t="s">
        <v>20</v>
      </c>
      <c r="D646" s="116">
        <v>0</v>
      </c>
      <c r="E646" s="135" t="s">
        <v>558</v>
      </c>
      <c r="F646" s="136" t="str">
        <f t="shared" si="27"/>
        <v/>
      </c>
      <c r="G646" s="137" t="e">
        <f>IF(A646&lt;&gt;"",IF(AND(#REF!="Padrão",$H$4=#REF!),BDI!$B$17,IF(AND(#REF!="Padrão",$H$4=#REF!),BDI!#REF!,IF(AND(#REF!="Diferenciado",$H$4=#REF!),BDI!$E$17,IF(AND(#REF!="Diferenciado",$H$4=#REF!),BDI!#REF!,IF(#REF!="ZERO",0))))),"")</f>
        <v>#REF!</v>
      </c>
      <c r="H646" s="138" t="str">
        <f t="shared" si="28"/>
        <v/>
      </c>
      <c r="I646" s="136" t="str">
        <f t="shared" si="29"/>
        <v/>
      </c>
    </row>
    <row r="647" spans="1:9" hidden="1" x14ac:dyDescent="0.25">
      <c r="A647" s="114" t="s">
        <v>2401</v>
      </c>
      <c r="B647" s="115" t="s">
        <v>2402</v>
      </c>
      <c r="C647" s="116" t="s">
        <v>20</v>
      </c>
      <c r="D647" s="116">
        <v>0</v>
      </c>
      <c r="E647" s="135" t="s">
        <v>558</v>
      </c>
      <c r="F647" s="136" t="str">
        <f t="shared" ref="F647:F710" si="30">IF(ISNUMBER(E647),D647*E647,"")</f>
        <v/>
      </c>
      <c r="G647" s="137" t="e">
        <f>IF(A647&lt;&gt;"",IF(AND(#REF!="Padrão",$H$4=#REF!),BDI!$B$17,IF(AND(#REF!="Padrão",$H$4=#REF!),BDI!#REF!,IF(AND(#REF!="Diferenciado",$H$4=#REF!),BDI!$E$17,IF(AND(#REF!="Diferenciado",$H$4=#REF!),BDI!#REF!,IF(#REF!="ZERO",0))))),"")</f>
        <v>#REF!</v>
      </c>
      <c r="H647" s="138" t="str">
        <f t="shared" ref="H647:H710" si="31">IF(ISNUMBER(E647),ROUND(E647*(1+G647),2),"")</f>
        <v/>
      </c>
      <c r="I647" s="136" t="str">
        <f t="shared" ref="I647:I710" si="32">IF(ISNUMBER(E647),ROUND(H647*D647,2),"")</f>
        <v/>
      </c>
    </row>
    <row r="648" spans="1:9" hidden="1" x14ac:dyDescent="0.25">
      <c r="A648" s="114" t="s">
        <v>2403</v>
      </c>
      <c r="B648" s="115" t="s">
        <v>2404</v>
      </c>
      <c r="C648" s="116" t="s">
        <v>20</v>
      </c>
      <c r="D648" s="116">
        <v>0</v>
      </c>
      <c r="E648" s="135" t="s">
        <v>558</v>
      </c>
      <c r="F648" s="136" t="str">
        <f t="shared" si="30"/>
        <v/>
      </c>
      <c r="G648" s="137" t="e">
        <f>IF(A648&lt;&gt;"",IF(AND(#REF!="Padrão",$H$4=#REF!),BDI!$B$17,IF(AND(#REF!="Padrão",$H$4=#REF!),BDI!#REF!,IF(AND(#REF!="Diferenciado",$H$4=#REF!),BDI!$E$17,IF(AND(#REF!="Diferenciado",$H$4=#REF!),BDI!#REF!,IF(#REF!="ZERO",0))))),"")</f>
        <v>#REF!</v>
      </c>
      <c r="H648" s="138" t="str">
        <f t="shared" si="31"/>
        <v/>
      </c>
      <c r="I648" s="136" t="str">
        <f t="shared" si="32"/>
        <v/>
      </c>
    </row>
    <row r="649" spans="1:9" hidden="1" x14ac:dyDescent="0.25">
      <c r="A649" s="114" t="s">
        <v>2405</v>
      </c>
      <c r="B649" s="115" t="s">
        <v>2406</v>
      </c>
      <c r="C649" s="116" t="s">
        <v>42</v>
      </c>
      <c r="D649" s="116">
        <v>0</v>
      </c>
      <c r="E649" s="135" t="s">
        <v>558</v>
      </c>
      <c r="F649" s="136" t="str">
        <f t="shared" si="30"/>
        <v/>
      </c>
      <c r="G649" s="137" t="e">
        <f>IF(A649&lt;&gt;"",IF(AND(#REF!="Padrão",$H$4=#REF!),BDI!$B$17,IF(AND(#REF!="Padrão",$H$4=#REF!),BDI!#REF!,IF(AND(#REF!="Diferenciado",$H$4=#REF!),BDI!$E$17,IF(AND(#REF!="Diferenciado",$H$4=#REF!),BDI!#REF!,IF(#REF!="ZERO",0))))),"")</f>
        <v>#REF!</v>
      </c>
      <c r="H649" s="138" t="str">
        <f t="shared" si="31"/>
        <v/>
      </c>
      <c r="I649" s="136" t="str">
        <f t="shared" si="32"/>
        <v/>
      </c>
    </row>
    <row r="650" spans="1:9" hidden="1" x14ac:dyDescent="0.25">
      <c r="A650" s="114" t="s">
        <v>2407</v>
      </c>
      <c r="B650" s="115" t="s">
        <v>2408</v>
      </c>
      <c r="C650" s="116" t="s">
        <v>103</v>
      </c>
      <c r="D650" s="116">
        <v>0</v>
      </c>
      <c r="E650" s="135" t="s">
        <v>558</v>
      </c>
      <c r="F650" s="136" t="str">
        <f t="shared" si="30"/>
        <v/>
      </c>
      <c r="G650" s="137" t="e">
        <f>IF(A650&lt;&gt;"",IF(AND(#REF!="Padrão",$H$4=#REF!),BDI!$B$17,IF(AND(#REF!="Padrão",$H$4=#REF!),BDI!#REF!,IF(AND(#REF!="Diferenciado",$H$4=#REF!),BDI!$E$17,IF(AND(#REF!="Diferenciado",$H$4=#REF!),BDI!#REF!,IF(#REF!="ZERO",0))))),"")</f>
        <v>#REF!</v>
      </c>
      <c r="H650" s="138" t="str">
        <f t="shared" si="31"/>
        <v/>
      </c>
      <c r="I650" s="136" t="str">
        <f t="shared" si="32"/>
        <v/>
      </c>
    </row>
    <row r="651" spans="1:9" hidden="1" x14ac:dyDescent="0.25">
      <c r="A651" s="114" t="s">
        <v>2409</v>
      </c>
      <c r="B651" s="115" t="s">
        <v>2410</v>
      </c>
      <c r="C651" s="116" t="s">
        <v>103</v>
      </c>
      <c r="D651" s="116">
        <v>0</v>
      </c>
      <c r="E651" s="135" t="s">
        <v>558</v>
      </c>
      <c r="F651" s="136" t="str">
        <f t="shared" si="30"/>
        <v/>
      </c>
      <c r="G651" s="137" t="e">
        <f>IF(A651&lt;&gt;"",IF(AND(#REF!="Padrão",$H$4=#REF!),BDI!$B$17,IF(AND(#REF!="Padrão",$H$4=#REF!),BDI!#REF!,IF(AND(#REF!="Diferenciado",$H$4=#REF!),BDI!$E$17,IF(AND(#REF!="Diferenciado",$H$4=#REF!),BDI!#REF!,IF(#REF!="ZERO",0))))),"")</f>
        <v>#REF!</v>
      </c>
      <c r="H651" s="138" t="str">
        <f t="shared" si="31"/>
        <v/>
      </c>
      <c r="I651" s="136" t="str">
        <f t="shared" si="32"/>
        <v/>
      </c>
    </row>
    <row r="652" spans="1:9" hidden="1" x14ac:dyDescent="0.25">
      <c r="A652" s="114" t="s">
        <v>2411</v>
      </c>
      <c r="B652" s="115" t="s">
        <v>2412</v>
      </c>
      <c r="C652" s="116" t="s">
        <v>103</v>
      </c>
      <c r="D652" s="116">
        <v>0</v>
      </c>
      <c r="E652" s="135" t="s">
        <v>558</v>
      </c>
      <c r="F652" s="136" t="str">
        <f t="shared" si="30"/>
        <v/>
      </c>
      <c r="G652" s="137" t="e">
        <f>IF(A652&lt;&gt;"",IF(AND(#REF!="Padrão",$H$4=#REF!),BDI!$B$17,IF(AND(#REF!="Padrão",$H$4=#REF!),BDI!#REF!,IF(AND(#REF!="Diferenciado",$H$4=#REF!),BDI!$E$17,IF(AND(#REF!="Diferenciado",$H$4=#REF!),BDI!#REF!,IF(#REF!="ZERO",0))))),"")</f>
        <v>#REF!</v>
      </c>
      <c r="H652" s="138" t="str">
        <f t="shared" si="31"/>
        <v/>
      </c>
      <c r="I652" s="136" t="str">
        <f t="shared" si="32"/>
        <v/>
      </c>
    </row>
    <row r="653" spans="1:9" hidden="1" x14ac:dyDescent="0.25">
      <c r="A653" s="114" t="s">
        <v>2413</v>
      </c>
      <c r="B653" s="115" t="s">
        <v>2414</v>
      </c>
      <c r="C653" s="116" t="s">
        <v>103</v>
      </c>
      <c r="D653" s="116">
        <v>0</v>
      </c>
      <c r="E653" s="135" t="s">
        <v>558</v>
      </c>
      <c r="F653" s="136" t="str">
        <f t="shared" si="30"/>
        <v/>
      </c>
      <c r="G653" s="137" t="e">
        <f>IF(A653&lt;&gt;"",IF(AND(#REF!="Padrão",$H$4=#REF!),BDI!$B$17,IF(AND(#REF!="Padrão",$H$4=#REF!),BDI!#REF!,IF(AND(#REF!="Diferenciado",$H$4=#REF!),BDI!$E$17,IF(AND(#REF!="Diferenciado",$H$4=#REF!),BDI!#REF!,IF(#REF!="ZERO",0))))),"")</f>
        <v>#REF!</v>
      </c>
      <c r="H653" s="138" t="str">
        <f t="shared" si="31"/>
        <v/>
      </c>
      <c r="I653" s="136" t="str">
        <f t="shared" si="32"/>
        <v/>
      </c>
    </row>
    <row r="654" spans="1:9" hidden="1" x14ac:dyDescent="0.25">
      <c r="A654" s="114" t="s">
        <v>2415</v>
      </c>
      <c r="B654" s="115" t="s">
        <v>2416</v>
      </c>
      <c r="C654" s="116" t="s">
        <v>103</v>
      </c>
      <c r="D654" s="116">
        <v>0</v>
      </c>
      <c r="E654" s="135" t="s">
        <v>558</v>
      </c>
      <c r="F654" s="136" t="str">
        <f t="shared" si="30"/>
        <v/>
      </c>
      <c r="G654" s="137" t="e">
        <f>IF(A654&lt;&gt;"",IF(AND(#REF!="Padrão",$H$4=#REF!),BDI!$B$17,IF(AND(#REF!="Padrão",$H$4=#REF!),BDI!#REF!,IF(AND(#REF!="Diferenciado",$H$4=#REF!),BDI!$E$17,IF(AND(#REF!="Diferenciado",$H$4=#REF!),BDI!#REF!,IF(#REF!="ZERO",0))))),"")</f>
        <v>#REF!</v>
      </c>
      <c r="H654" s="138" t="str">
        <f t="shared" si="31"/>
        <v/>
      </c>
      <c r="I654" s="136" t="str">
        <f t="shared" si="32"/>
        <v/>
      </c>
    </row>
    <row r="655" spans="1:9" hidden="1" x14ac:dyDescent="0.25">
      <c r="A655" s="114" t="s">
        <v>2417</v>
      </c>
      <c r="B655" s="115" t="s">
        <v>6448</v>
      </c>
      <c r="C655" s="116" t="s">
        <v>20</v>
      </c>
      <c r="D655" s="116">
        <v>0</v>
      </c>
      <c r="E655" s="135" t="s">
        <v>558</v>
      </c>
      <c r="F655" s="136" t="str">
        <f t="shared" si="30"/>
        <v/>
      </c>
      <c r="G655" s="137" t="e">
        <f>IF(A655&lt;&gt;"",IF(AND(#REF!="Padrão",$H$4=#REF!),BDI!$B$17,IF(AND(#REF!="Padrão",$H$4=#REF!),BDI!#REF!,IF(AND(#REF!="Diferenciado",$H$4=#REF!),BDI!$E$17,IF(AND(#REF!="Diferenciado",$H$4=#REF!),BDI!#REF!,IF(#REF!="ZERO",0))))),"")</f>
        <v>#REF!</v>
      </c>
      <c r="H655" s="138" t="str">
        <f t="shared" si="31"/>
        <v/>
      </c>
      <c r="I655" s="136" t="str">
        <f t="shared" si="32"/>
        <v/>
      </c>
    </row>
    <row r="656" spans="1:9" hidden="1" x14ac:dyDescent="0.25">
      <c r="A656" s="114" t="s">
        <v>2418</v>
      </c>
      <c r="B656" s="115" t="s">
        <v>2419</v>
      </c>
      <c r="C656" s="116" t="s">
        <v>42</v>
      </c>
      <c r="D656" s="116">
        <v>0</v>
      </c>
      <c r="E656" s="135" t="s">
        <v>558</v>
      </c>
      <c r="F656" s="136" t="str">
        <f t="shared" si="30"/>
        <v/>
      </c>
      <c r="G656" s="137" t="e">
        <f>IF(A656&lt;&gt;"",IF(AND(#REF!="Padrão",$H$4=#REF!),BDI!$B$17,IF(AND(#REF!="Padrão",$H$4=#REF!),BDI!#REF!,IF(AND(#REF!="Diferenciado",$H$4=#REF!),BDI!$E$17,IF(AND(#REF!="Diferenciado",$H$4=#REF!),BDI!#REF!,IF(#REF!="ZERO",0))))),"")</f>
        <v>#REF!</v>
      </c>
      <c r="H656" s="138" t="str">
        <f t="shared" si="31"/>
        <v/>
      </c>
      <c r="I656" s="136" t="str">
        <f t="shared" si="32"/>
        <v/>
      </c>
    </row>
    <row r="657" spans="1:9" hidden="1" x14ac:dyDescent="0.25">
      <c r="A657" s="114" t="s">
        <v>2420</v>
      </c>
      <c r="B657" s="115" t="s">
        <v>2421</v>
      </c>
      <c r="C657" s="116" t="s">
        <v>20</v>
      </c>
      <c r="D657" s="116">
        <v>0</v>
      </c>
      <c r="E657" s="135" t="s">
        <v>558</v>
      </c>
      <c r="F657" s="136" t="str">
        <f t="shared" si="30"/>
        <v/>
      </c>
      <c r="G657" s="137" t="e">
        <f>IF(A657&lt;&gt;"",IF(AND(#REF!="Padrão",$H$4=#REF!),BDI!$B$17,IF(AND(#REF!="Padrão",$H$4=#REF!),BDI!#REF!,IF(AND(#REF!="Diferenciado",$H$4=#REF!),BDI!$E$17,IF(AND(#REF!="Diferenciado",$H$4=#REF!),BDI!#REF!,IF(#REF!="ZERO",0))))),"")</f>
        <v>#REF!</v>
      </c>
      <c r="H657" s="138" t="str">
        <f t="shared" si="31"/>
        <v/>
      </c>
      <c r="I657" s="136" t="str">
        <f t="shared" si="32"/>
        <v/>
      </c>
    </row>
    <row r="658" spans="1:9" hidden="1" x14ac:dyDescent="0.25">
      <c r="A658" s="114" t="s">
        <v>2422</v>
      </c>
      <c r="B658" s="115" t="s">
        <v>2423</v>
      </c>
      <c r="C658" s="116" t="s">
        <v>20</v>
      </c>
      <c r="D658" s="116">
        <v>0</v>
      </c>
      <c r="E658" s="135" t="s">
        <v>558</v>
      </c>
      <c r="F658" s="136" t="str">
        <f t="shared" si="30"/>
        <v/>
      </c>
      <c r="G658" s="137" t="e">
        <f>IF(A658&lt;&gt;"",IF(AND(#REF!="Padrão",$H$4=#REF!),BDI!$B$17,IF(AND(#REF!="Padrão",$H$4=#REF!),BDI!#REF!,IF(AND(#REF!="Diferenciado",$H$4=#REF!),BDI!$E$17,IF(AND(#REF!="Diferenciado",$H$4=#REF!),BDI!#REF!,IF(#REF!="ZERO",0))))),"")</f>
        <v>#REF!</v>
      </c>
      <c r="H658" s="138" t="str">
        <f t="shared" si="31"/>
        <v/>
      </c>
      <c r="I658" s="136" t="str">
        <f t="shared" si="32"/>
        <v/>
      </c>
    </row>
    <row r="659" spans="1:9" hidden="1" x14ac:dyDescent="0.25">
      <c r="A659" s="114" t="s">
        <v>2424</v>
      </c>
      <c r="B659" s="115" t="s">
        <v>2425</v>
      </c>
      <c r="C659" s="116" t="s">
        <v>20</v>
      </c>
      <c r="D659" s="116">
        <v>0</v>
      </c>
      <c r="E659" s="135" t="s">
        <v>558</v>
      </c>
      <c r="F659" s="136" t="str">
        <f t="shared" si="30"/>
        <v/>
      </c>
      <c r="G659" s="137" t="e">
        <f>IF(A659&lt;&gt;"",IF(AND(#REF!="Padrão",$H$4=#REF!),BDI!$B$17,IF(AND(#REF!="Padrão",$H$4=#REF!),BDI!#REF!,IF(AND(#REF!="Diferenciado",$H$4=#REF!),BDI!$E$17,IF(AND(#REF!="Diferenciado",$H$4=#REF!),BDI!#REF!,IF(#REF!="ZERO",0))))),"")</f>
        <v>#REF!</v>
      </c>
      <c r="H659" s="138" t="str">
        <f t="shared" si="31"/>
        <v/>
      </c>
      <c r="I659" s="136" t="str">
        <f t="shared" si="32"/>
        <v/>
      </c>
    </row>
    <row r="660" spans="1:9" hidden="1" x14ac:dyDescent="0.25">
      <c r="A660" s="114" t="s">
        <v>2426</v>
      </c>
      <c r="B660" s="115" t="s">
        <v>2427</v>
      </c>
      <c r="C660" s="116" t="s">
        <v>20</v>
      </c>
      <c r="D660" s="116">
        <v>0</v>
      </c>
      <c r="E660" s="135" t="s">
        <v>558</v>
      </c>
      <c r="F660" s="136" t="str">
        <f t="shared" si="30"/>
        <v/>
      </c>
      <c r="G660" s="137" t="e">
        <f>IF(A660&lt;&gt;"",IF(AND(#REF!="Padrão",$H$4=#REF!),BDI!$B$17,IF(AND(#REF!="Padrão",$H$4=#REF!),BDI!#REF!,IF(AND(#REF!="Diferenciado",$H$4=#REF!),BDI!$E$17,IF(AND(#REF!="Diferenciado",$H$4=#REF!),BDI!#REF!,IF(#REF!="ZERO",0))))),"")</f>
        <v>#REF!</v>
      </c>
      <c r="H660" s="138" t="str">
        <f t="shared" si="31"/>
        <v/>
      </c>
      <c r="I660" s="136" t="str">
        <f t="shared" si="32"/>
        <v/>
      </c>
    </row>
    <row r="661" spans="1:9" hidden="1" x14ac:dyDescent="0.25">
      <c r="A661" s="114" t="s">
        <v>2428</v>
      </c>
      <c r="B661" s="115" t="s">
        <v>2429</v>
      </c>
      <c r="C661" s="116" t="s">
        <v>20</v>
      </c>
      <c r="D661" s="116">
        <v>0</v>
      </c>
      <c r="E661" s="135" t="s">
        <v>558</v>
      </c>
      <c r="F661" s="136" t="str">
        <f t="shared" si="30"/>
        <v/>
      </c>
      <c r="G661" s="137" t="e">
        <f>IF(A661&lt;&gt;"",IF(AND(#REF!="Padrão",$H$4=#REF!),BDI!$B$17,IF(AND(#REF!="Padrão",$H$4=#REF!),BDI!#REF!,IF(AND(#REF!="Diferenciado",$H$4=#REF!),BDI!$E$17,IF(AND(#REF!="Diferenciado",$H$4=#REF!),BDI!#REF!,IF(#REF!="ZERO",0))))),"")</f>
        <v>#REF!</v>
      </c>
      <c r="H661" s="138" t="str">
        <f t="shared" si="31"/>
        <v/>
      </c>
      <c r="I661" s="136" t="str">
        <f t="shared" si="32"/>
        <v/>
      </c>
    </row>
    <row r="662" spans="1:9" hidden="1" x14ac:dyDescent="0.25">
      <c r="A662" s="114" t="s">
        <v>2430</v>
      </c>
      <c r="B662" s="115" t="s">
        <v>2431</v>
      </c>
      <c r="C662" s="116" t="s">
        <v>20</v>
      </c>
      <c r="D662" s="116">
        <v>0</v>
      </c>
      <c r="E662" s="135" t="s">
        <v>558</v>
      </c>
      <c r="F662" s="136" t="str">
        <f t="shared" si="30"/>
        <v/>
      </c>
      <c r="G662" s="137" t="e">
        <f>IF(A662&lt;&gt;"",IF(AND(#REF!="Padrão",$H$4=#REF!),BDI!$B$17,IF(AND(#REF!="Padrão",$H$4=#REF!),BDI!#REF!,IF(AND(#REF!="Diferenciado",$H$4=#REF!),BDI!$E$17,IF(AND(#REF!="Diferenciado",$H$4=#REF!),BDI!#REF!,IF(#REF!="ZERO",0))))),"")</f>
        <v>#REF!</v>
      </c>
      <c r="H662" s="138" t="str">
        <f t="shared" si="31"/>
        <v/>
      </c>
      <c r="I662" s="136" t="str">
        <f t="shared" si="32"/>
        <v/>
      </c>
    </row>
    <row r="663" spans="1:9" hidden="1" x14ac:dyDescent="0.25">
      <c r="A663" s="114" t="s">
        <v>2432</v>
      </c>
      <c r="B663" s="115" t="s">
        <v>2433</v>
      </c>
      <c r="C663" s="116" t="s">
        <v>20</v>
      </c>
      <c r="D663" s="116">
        <v>0</v>
      </c>
      <c r="E663" s="135" t="s">
        <v>558</v>
      </c>
      <c r="F663" s="136" t="str">
        <f t="shared" si="30"/>
        <v/>
      </c>
      <c r="G663" s="137" t="e">
        <f>IF(A663&lt;&gt;"",IF(AND(#REF!="Padrão",$H$4=#REF!),BDI!$B$17,IF(AND(#REF!="Padrão",$H$4=#REF!),BDI!#REF!,IF(AND(#REF!="Diferenciado",$H$4=#REF!),BDI!$E$17,IF(AND(#REF!="Diferenciado",$H$4=#REF!),BDI!#REF!,IF(#REF!="ZERO",0))))),"")</f>
        <v>#REF!</v>
      </c>
      <c r="H663" s="138" t="str">
        <f t="shared" si="31"/>
        <v/>
      </c>
      <c r="I663" s="136" t="str">
        <f t="shared" si="32"/>
        <v/>
      </c>
    </row>
    <row r="664" spans="1:9" hidden="1" x14ac:dyDescent="0.25">
      <c r="A664" s="114" t="s">
        <v>2434</v>
      </c>
      <c r="B664" s="115" t="s">
        <v>2435</v>
      </c>
      <c r="C664" s="116" t="s">
        <v>20</v>
      </c>
      <c r="D664" s="116">
        <v>0</v>
      </c>
      <c r="E664" s="135" t="s">
        <v>558</v>
      </c>
      <c r="F664" s="136" t="str">
        <f t="shared" si="30"/>
        <v/>
      </c>
      <c r="G664" s="137" t="e">
        <f>IF(A664&lt;&gt;"",IF(AND(#REF!="Padrão",$H$4=#REF!),BDI!$B$17,IF(AND(#REF!="Padrão",$H$4=#REF!),BDI!#REF!,IF(AND(#REF!="Diferenciado",$H$4=#REF!),BDI!$E$17,IF(AND(#REF!="Diferenciado",$H$4=#REF!),BDI!#REF!,IF(#REF!="ZERO",0))))),"")</f>
        <v>#REF!</v>
      </c>
      <c r="H664" s="138" t="str">
        <f t="shared" si="31"/>
        <v/>
      </c>
      <c r="I664" s="136" t="str">
        <f t="shared" si="32"/>
        <v/>
      </c>
    </row>
    <row r="665" spans="1:9" hidden="1" x14ac:dyDescent="0.25">
      <c r="A665" s="114" t="s">
        <v>2436</v>
      </c>
      <c r="B665" s="115" t="s">
        <v>2437</v>
      </c>
      <c r="C665" s="116" t="s">
        <v>20</v>
      </c>
      <c r="D665" s="116">
        <v>0</v>
      </c>
      <c r="E665" s="135" t="s">
        <v>558</v>
      </c>
      <c r="F665" s="136" t="str">
        <f t="shared" si="30"/>
        <v/>
      </c>
      <c r="G665" s="137" t="e">
        <f>IF(A665&lt;&gt;"",IF(AND(#REF!="Padrão",$H$4=#REF!),BDI!$B$17,IF(AND(#REF!="Padrão",$H$4=#REF!),BDI!#REF!,IF(AND(#REF!="Diferenciado",$H$4=#REF!),BDI!$E$17,IF(AND(#REF!="Diferenciado",$H$4=#REF!),BDI!#REF!,IF(#REF!="ZERO",0))))),"")</f>
        <v>#REF!</v>
      </c>
      <c r="H665" s="138" t="str">
        <f t="shared" si="31"/>
        <v/>
      </c>
      <c r="I665" s="136" t="str">
        <f t="shared" si="32"/>
        <v/>
      </c>
    </row>
    <row r="666" spans="1:9" hidden="1" x14ac:dyDescent="0.25">
      <c r="A666" s="114" t="s">
        <v>2438</v>
      </c>
      <c r="B666" s="115" t="s">
        <v>2439</v>
      </c>
      <c r="C666" s="116" t="s">
        <v>20</v>
      </c>
      <c r="D666" s="116">
        <v>0</v>
      </c>
      <c r="E666" s="135" t="s">
        <v>558</v>
      </c>
      <c r="F666" s="136" t="str">
        <f t="shared" si="30"/>
        <v/>
      </c>
      <c r="G666" s="137" t="e">
        <f>IF(A666&lt;&gt;"",IF(AND(#REF!="Padrão",$H$4=#REF!),BDI!$B$17,IF(AND(#REF!="Padrão",$H$4=#REF!),BDI!#REF!,IF(AND(#REF!="Diferenciado",$H$4=#REF!),BDI!$E$17,IF(AND(#REF!="Diferenciado",$H$4=#REF!),BDI!#REF!,IF(#REF!="ZERO",0))))),"")</f>
        <v>#REF!</v>
      </c>
      <c r="H666" s="138" t="str">
        <f t="shared" si="31"/>
        <v/>
      </c>
      <c r="I666" s="136" t="str">
        <f t="shared" si="32"/>
        <v/>
      </c>
    </row>
    <row r="667" spans="1:9" hidden="1" x14ac:dyDescent="0.25">
      <c r="A667" s="114" t="s">
        <v>2440</v>
      </c>
      <c r="B667" s="115" t="s">
        <v>2441</v>
      </c>
      <c r="C667" s="116" t="s">
        <v>20</v>
      </c>
      <c r="D667" s="116">
        <v>0</v>
      </c>
      <c r="E667" s="135" t="s">
        <v>558</v>
      </c>
      <c r="F667" s="136" t="str">
        <f t="shared" si="30"/>
        <v/>
      </c>
      <c r="G667" s="137" t="e">
        <f>IF(A667&lt;&gt;"",IF(AND(#REF!="Padrão",$H$4=#REF!),BDI!$B$17,IF(AND(#REF!="Padrão",$H$4=#REF!),BDI!#REF!,IF(AND(#REF!="Diferenciado",$H$4=#REF!),BDI!$E$17,IF(AND(#REF!="Diferenciado",$H$4=#REF!),BDI!#REF!,IF(#REF!="ZERO",0))))),"")</f>
        <v>#REF!</v>
      </c>
      <c r="H667" s="138" t="str">
        <f t="shared" si="31"/>
        <v/>
      </c>
      <c r="I667" s="136" t="str">
        <f t="shared" si="32"/>
        <v/>
      </c>
    </row>
    <row r="668" spans="1:9" hidden="1" x14ac:dyDescent="0.25">
      <c r="A668" s="114" t="s">
        <v>2442</v>
      </c>
      <c r="B668" s="115" t="s">
        <v>2443</v>
      </c>
      <c r="C668" s="116" t="s">
        <v>20</v>
      </c>
      <c r="D668" s="116">
        <v>0</v>
      </c>
      <c r="E668" s="135" t="s">
        <v>558</v>
      </c>
      <c r="F668" s="136" t="str">
        <f t="shared" si="30"/>
        <v/>
      </c>
      <c r="G668" s="137" t="e">
        <f>IF(A668&lt;&gt;"",IF(AND(#REF!="Padrão",$H$4=#REF!),BDI!$B$17,IF(AND(#REF!="Padrão",$H$4=#REF!),BDI!#REF!,IF(AND(#REF!="Diferenciado",$H$4=#REF!),BDI!$E$17,IF(AND(#REF!="Diferenciado",$H$4=#REF!),BDI!#REF!,IF(#REF!="ZERO",0))))),"")</f>
        <v>#REF!</v>
      </c>
      <c r="H668" s="138" t="str">
        <f t="shared" si="31"/>
        <v/>
      </c>
      <c r="I668" s="136" t="str">
        <f t="shared" si="32"/>
        <v/>
      </c>
    </row>
    <row r="669" spans="1:9" hidden="1" x14ac:dyDescent="0.25">
      <c r="A669" s="114" t="s">
        <v>2444</v>
      </c>
      <c r="B669" s="115" t="s">
        <v>2445</v>
      </c>
      <c r="C669" s="116" t="s">
        <v>20</v>
      </c>
      <c r="D669" s="116">
        <v>0</v>
      </c>
      <c r="E669" s="135" t="s">
        <v>558</v>
      </c>
      <c r="F669" s="136" t="str">
        <f t="shared" si="30"/>
        <v/>
      </c>
      <c r="G669" s="137" t="e">
        <f>IF(A669&lt;&gt;"",IF(AND(#REF!="Padrão",$H$4=#REF!),BDI!$B$17,IF(AND(#REF!="Padrão",$H$4=#REF!),BDI!#REF!,IF(AND(#REF!="Diferenciado",$H$4=#REF!),BDI!$E$17,IF(AND(#REF!="Diferenciado",$H$4=#REF!),BDI!#REF!,IF(#REF!="ZERO",0))))),"")</f>
        <v>#REF!</v>
      </c>
      <c r="H669" s="138" t="str">
        <f t="shared" si="31"/>
        <v/>
      </c>
      <c r="I669" s="136" t="str">
        <f t="shared" si="32"/>
        <v/>
      </c>
    </row>
    <row r="670" spans="1:9" hidden="1" x14ac:dyDescent="0.25">
      <c r="A670" s="114" t="s">
        <v>2446</v>
      </c>
      <c r="B670" s="115" t="s">
        <v>2447</v>
      </c>
      <c r="C670" s="116" t="s">
        <v>20</v>
      </c>
      <c r="D670" s="116">
        <v>0</v>
      </c>
      <c r="E670" s="135" t="s">
        <v>558</v>
      </c>
      <c r="F670" s="136" t="str">
        <f t="shared" si="30"/>
        <v/>
      </c>
      <c r="G670" s="137" t="e">
        <f>IF(A670&lt;&gt;"",IF(AND(#REF!="Padrão",$H$4=#REF!),BDI!$B$17,IF(AND(#REF!="Padrão",$H$4=#REF!),BDI!#REF!,IF(AND(#REF!="Diferenciado",$H$4=#REF!),BDI!$E$17,IF(AND(#REF!="Diferenciado",$H$4=#REF!),BDI!#REF!,IF(#REF!="ZERO",0))))),"")</f>
        <v>#REF!</v>
      </c>
      <c r="H670" s="138" t="str">
        <f t="shared" si="31"/>
        <v/>
      </c>
      <c r="I670" s="136" t="str">
        <f t="shared" si="32"/>
        <v/>
      </c>
    </row>
    <row r="671" spans="1:9" hidden="1" x14ac:dyDescent="0.25">
      <c r="A671" s="114" t="s">
        <v>2448</v>
      </c>
      <c r="B671" s="115" t="s">
        <v>2449</v>
      </c>
      <c r="C671" s="116" t="s">
        <v>103</v>
      </c>
      <c r="D671" s="116">
        <v>0</v>
      </c>
      <c r="E671" s="135" t="s">
        <v>558</v>
      </c>
      <c r="F671" s="136" t="str">
        <f t="shared" si="30"/>
        <v/>
      </c>
      <c r="G671" s="137" t="e">
        <f>IF(A671&lt;&gt;"",IF(AND(#REF!="Padrão",$H$4=#REF!),BDI!$B$17,IF(AND(#REF!="Padrão",$H$4=#REF!),BDI!#REF!,IF(AND(#REF!="Diferenciado",$H$4=#REF!),BDI!$E$17,IF(AND(#REF!="Diferenciado",$H$4=#REF!),BDI!#REF!,IF(#REF!="ZERO",0))))),"")</f>
        <v>#REF!</v>
      </c>
      <c r="H671" s="138" t="str">
        <f t="shared" si="31"/>
        <v/>
      </c>
      <c r="I671" s="136" t="str">
        <f t="shared" si="32"/>
        <v/>
      </c>
    </row>
    <row r="672" spans="1:9" hidden="1" x14ac:dyDescent="0.25">
      <c r="A672" s="114" t="s">
        <v>2450</v>
      </c>
      <c r="B672" s="115" t="s">
        <v>2451</v>
      </c>
      <c r="C672" s="116" t="s">
        <v>20</v>
      </c>
      <c r="D672" s="116">
        <v>0</v>
      </c>
      <c r="E672" s="135" t="s">
        <v>558</v>
      </c>
      <c r="F672" s="136" t="str">
        <f t="shared" si="30"/>
        <v/>
      </c>
      <c r="G672" s="137" t="e">
        <f>IF(A672&lt;&gt;"",IF(AND(#REF!="Padrão",$H$4=#REF!),BDI!$B$17,IF(AND(#REF!="Padrão",$H$4=#REF!),BDI!#REF!,IF(AND(#REF!="Diferenciado",$H$4=#REF!),BDI!$E$17,IF(AND(#REF!="Diferenciado",$H$4=#REF!),BDI!#REF!,IF(#REF!="ZERO",0))))),"")</f>
        <v>#REF!</v>
      </c>
      <c r="H672" s="138" t="str">
        <f t="shared" si="31"/>
        <v/>
      </c>
      <c r="I672" s="136" t="str">
        <f t="shared" si="32"/>
        <v/>
      </c>
    </row>
    <row r="673" spans="1:9" hidden="1" x14ac:dyDescent="0.25">
      <c r="A673" s="114" t="s">
        <v>2452</v>
      </c>
      <c r="B673" s="115" t="s">
        <v>2453</v>
      </c>
      <c r="C673" s="116" t="s">
        <v>20</v>
      </c>
      <c r="D673" s="116">
        <v>0</v>
      </c>
      <c r="E673" s="135" t="s">
        <v>558</v>
      </c>
      <c r="F673" s="136" t="str">
        <f t="shared" si="30"/>
        <v/>
      </c>
      <c r="G673" s="137" t="e">
        <f>IF(A673&lt;&gt;"",IF(AND(#REF!="Padrão",$H$4=#REF!),BDI!$B$17,IF(AND(#REF!="Padrão",$H$4=#REF!),BDI!#REF!,IF(AND(#REF!="Diferenciado",$H$4=#REF!),BDI!$E$17,IF(AND(#REF!="Diferenciado",$H$4=#REF!),BDI!#REF!,IF(#REF!="ZERO",0))))),"")</f>
        <v>#REF!</v>
      </c>
      <c r="H673" s="138" t="str">
        <f t="shared" si="31"/>
        <v/>
      </c>
      <c r="I673" s="136" t="str">
        <f t="shared" si="32"/>
        <v/>
      </c>
    </row>
    <row r="674" spans="1:9" hidden="1" x14ac:dyDescent="0.25">
      <c r="A674" s="114" t="s">
        <v>2454</v>
      </c>
      <c r="B674" s="115" t="s">
        <v>2455</v>
      </c>
      <c r="C674" s="116" t="s">
        <v>20</v>
      </c>
      <c r="D674" s="116">
        <v>0</v>
      </c>
      <c r="E674" s="135" t="s">
        <v>558</v>
      </c>
      <c r="F674" s="136" t="str">
        <f t="shared" si="30"/>
        <v/>
      </c>
      <c r="G674" s="137" t="e">
        <f>IF(A674&lt;&gt;"",IF(AND(#REF!="Padrão",$H$4=#REF!),BDI!$B$17,IF(AND(#REF!="Padrão",$H$4=#REF!),BDI!#REF!,IF(AND(#REF!="Diferenciado",$H$4=#REF!),BDI!$E$17,IF(AND(#REF!="Diferenciado",$H$4=#REF!),BDI!#REF!,IF(#REF!="ZERO",0))))),"")</f>
        <v>#REF!</v>
      </c>
      <c r="H674" s="138" t="str">
        <f t="shared" si="31"/>
        <v/>
      </c>
      <c r="I674" s="136" t="str">
        <f t="shared" si="32"/>
        <v/>
      </c>
    </row>
    <row r="675" spans="1:9" hidden="1" x14ac:dyDescent="0.25">
      <c r="A675" s="114" t="s">
        <v>2456</v>
      </c>
      <c r="B675" s="115" t="s">
        <v>2457</v>
      </c>
      <c r="C675" s="116" t="s">
        <v>20</v>
      </c>
      <c r="D675" s="116">
        <v>0</v>
      </c>
      <c r="E675" s="135" t="s">
        <v>558</v>
      </c>
      <c r="F675" s="136" t="str">
        <f t="shared" si="30"/>
        <v/>
      </c>
      <c r="G675" s="137" t="e">
        <f>IF(A675&lt;&gt;"",IF(AND(#REF!="Padrão",$H$4=#REF!),BDI!$B$17,IF(AND(#REF!="Padrão",$H$4=#REF!),BDI!#REF!,IF(AND(#REF!="Diferenciado",$H$4=#REF!),BDI!$E$17,IF(AND(#REF!="Diferenciado",$H$4=#REF!),BDI!#REF!,IF(#REF!="ZERO",0))))),"")</f>
        <v>#REF!</v>
      </c>
      <c r="H675" s="138" t="str">
        <f t="shared" si="31"/>
        <v/>
      </c>
      <c r="I675" s="136" t="str">
        <f t="shared" si="32"/>
        <v/>
      </c>
    </row>
    <row r="676" spans="1:9" hidden="1" x14ac:dyDescent="0.25">
      <c r="A676" s="114" t="s">
        <v>2458</v>
      </c>
      <c r="B676" s="115" t="s">
        <v>2459</v>
      </c>
      <c r="C676" s="116" t="s">
        <v>20</v>
      </c>
      <c r="D676" s="116">
        <v>0</v>
      </c>
      <c r="E676" s="135" t="s">
        <v>558</v>
      </c>
      <c r="F676" s="136" t="str">
        <f t="shared" si="30"/>
        <v/>
      </c>
      <c r="G676" s="137" t="e">
        <f>IF(A676&lt;&gt;"",IF(AND(#REF!="Padrão",$H$4=#REF!),BDI!$B$17,IF(AND(#REF!="Padrão",$H$4=#REF!),BDI!#REF!,IF(AND(#REF!="Diferenciado",$H$4=#REF!),BDI!$E$17,IF(AND(#REF!="Diferenciado",$H$4=#REF!),BDI!#REF!,IF(#REF!="ZERO",0))))),"")</f>
        <v>#REF!</v>
      </c>
      <c r="H676" s="138" t="str">
        <f t="shared" si="31"/>
        <v/>
      </c>
      <c r="I676" s="136" t="str">
        <f t="shared" si="32"/>
        <v/>
      </c>
    </row>
    <row r="677" spans="1:9" hidden="1" x14ac:dyDescent="0.25">
      <c r="A677" s="114" t="s">
        <v>2460</v>
      </c>
      <c r="B677" s="115" t="s">
        <v>2461</v>
      </c>
      <c r="C677" s="116" t="s">
        <v>20</v>
      </c>
      <c r="D677" s="116">
        <v>0</v>
      </c>
      <c r="E677" s="135" t="s">
        <v>558</v>
      </c>
      <c r="F677" s="136" t="str">
        <f t="shared" si="30"/>
        <v/>
      </c>
      <c r="G677" s="137" t="e">
        <f>IF(A677&lt;&gt;"",IF(AND(#REF!="Padrão",$H$4=#REF!),BDI!$B$17,IF(AND(#REF!="Padrão",$H$4=#REF!),BDI!#REF!,IF(AND(#REF!="Diferenciado",$H$4=#REF!),BDI!$E$17,IF(AND(#REF!="Diferenciado",$H$4=#REF!),BDI!#REF!,IF(#REF!="ZERO",0))))),"")</f>
        <v>#REF!</v>
      </c>
      <c r="H677" s="138" t="str">
        <f t="shared" si="31"/>
        <v/>
      </c>
      <c r="I677" s="136" t="str">
        <f t="shared" si="32"/>
        <v/>
      </c>
    </row>
    <row r="678" spans="1:9" hidden="1" x14ac:dyDescent="0.25">
      <c r="A678" s="114" t="s">
        <v>2462</v>
      </c>
      <c r="B678" s="115" t="s">
        <v>2463</v>
      </c>
      <c r="C678" s="116" t="s">
        <v>20</v>
      </c>
      <c r="D678" s="116">
        <v>0</v>
      </c>
      <c r="E678" s="135" t="s">
        <v>558</v>
      </c>
      <c r="F678" s="136" t="str">
        <f t="shared" si="30"/>
        <v/>
      </c>
      <c r="G678" s="137" t="e">
        <f>IF(A678&lt;&gt;"",IF(AND(#REF!="Padrão",$H$4=#REF!),BDI!$B$17,IF(AND(#REF!="Padrão",$H$4=#REF!),BDI!#REF!,IF(AND(#REF!="Diferenciado",$H$4=#REF!),BDI!$E$17,IF(AND(#REF!="Diferenciado",$H$4=#REF!),BDI!#REF!,IF(#REF!="ZERO",0))))),"")</f>
        <v>#REF!</v>
      </c>
      <c r="H678" s="138" t="str">
        <f t="shared" si="31"/>
        <v/>
      </c>
      <c r="I678" s="136" t="str">
        <f t="shared" si="32"/>
        <v/>
      </c>
    </row>
    <row r="679" spans="1:9" hidden="1" x14ac:dyDescent="0.25">
      <c r="A679" s="114" t="s">
        <v>2464</v>
      </c>
      <c r="B679" s="115" t="s">
        <v>2465</v>
      </c>
      <c r="C679" s="116" t="s">
        <v>20</v>
      </c>
      <c r="D679" s="116">
        <v>0</v>
      </c>
      <c r="E679" s="135" t="s">
        <v>558</v>
      </c>
      <c r="F679" s="136" t="str">
        <f t="shared" si="30"/>
        <v/>
      </c>
      <c r="G679" s="137" t="e">
        <f>IF(A679&lt;&gt;"",IF(AND(#REF!="Padrão",$H$4=#REF!),BDI!$B$17,IF(AND(#REF!="Padrão",$H$4=#REF!),BDI!#REF!,IF(AND(#REF!="Diferenciado",$H$4=#REF!),BDI!$E$17,IF(AND(#REF!="Diferenciado",$H$4=#REF!),BDI!#REF!,IF(#REF!="ZERO",0))))),"")</f>
        <v>#REF!</v>
      </c>
      <c r="H679" s="138" t="str">
        <f t="shared" si="31"/>
        <v/>
      </c>
      <c r="I679" s="136" t="str">
        <f t="shared" si="32"/>
        <v/>
      </c>
    </row>
    <row r="680" spans="1:9" hidden="1" x14ac:dyDescent="0.25">
      <c r="A680" s="114" t="s">
        <v>2466</v>
      </c>
      <c r="B680" s="115" t="s">
        <v>2467</v>
      </c>
      <c r="C680" s="116" t="s">
        <v>20</v>
      </c>
      <c r="D680" s="116">
        <v>0</v>
      </c>
      <c r="E680" s="135" t="s">
        <v>558</v>
      </c>
      <c r="F680" s="136" t="str">
        <f t="shared" si="30"/>
        <v/>
      </c>
      <c r="G680" s="137" t="e">
        <f>IF(A680&lt;&gt;"",IF(AND(#REF!="Padrão",$H$4=#REF!),BDI!$B$17,IF(AND(#REF!="Padrão",$H$4=#REF!),BDI!#REF!,IF(AND(#REF!="Diferenciado",$H$4=#REF!),BDI!$E$17,IF(AND(#REF!="Diferenciado",$H$4=#REF!),BDI!#REF!,IF(#REF!="ZERO",0))))),"")</f>
        <v>#REF!</v>
      </c>
      <c r="H680" s="138" t="str">
        <f t="shared" si="31"/>
        <v/>
      </c>
      <c r="I680" s="136" t="str">
        <f t="shared" si="32"/>
        <v/>
      </c>
    </row>
    <row r="681" spans="1:9" hidden="1" x14ac:dyDescent="0.25">
      <c r="A681" s="114" t="s">
        <v>2468</v>
      </c>
      <c r="B681" s="115" t="s">
        <v>2469</v>
      </c>
      <c r="C681" s="116" t="s">
        <v>20</v>
      </c>
      <c r="D681" s="116">
        <v>0</v>
      </c>
      <c r="E681" s="135" t="s">
        <v>558</v>
      </c>
      <c r="F681" s="136" t="str">
        <f t="shared" si="30"/>
        <v/>
      </c>
      <c r="G681" s="137" t="e">
        <f>IF(A681&lt;&gt;"",IF(AND(#REF!="Padrão",$H$4=#REF!),BDI!$B$17,IF(AND(#REF!="Padrão",$H$4=#REF!),BDI!#REF!,IF(AND(#REF!="Diferenciado",$H$4=#REF!),BDI!$E$17,IF(AND(#REF!="Diferenciado",$H$4=#REF!),BDI!#REF!,IF(#REF!="ZERO",0))))),"")</f>
        <v>#REF!</v>
      </c>
      <c r="H681" s="138" t="str">
        <f t="shared" si="31"/>
        <v/>
      </c>
      <c r="I681" s="136" t="str">
        <f t="shared" si="32"/>
        <v/>
      </c>
    </row>
    <row r="682" spans="1:9" hidden="1" x14ac:dyDescent="0.25">
      <c r="A682" s="114" t="s">
        <v>2470</v>
      </c>
      <c r="B682" s="115" t="s">
        <v>2471</v>
      </c>
      <c r="C682" s="116" t="s">
        <v>20</v>
      </c>
      <c r="D682" s="116">
        <v>0</v>
      </c>
      <c r="E682" s="135" t="s">
        <v>558</v>
      </c>
      <c r="F682" s="136" t="str">
        <f t="shared" si="30"/>
        <v/>
      </c>
      <c r="G682" s="137" t="e">
        <f>IF(A682&lt;&gt;"",IF(AND(#REF!="Padrão",$H$4=#REF!),BDI!$B$17,IF(AND(#REF!="Padrão",$H$4=#REF!),BDI!#REF!,IF(AND(#REF!="Diferenciado",$H$4=#REF!),BDI!$E$17,IF(AND(#REF!="Diferenciado",$H$4=#REF!),BDI!#REF!,IF(#REF!="ZERO",0))))),"")</f>
        <v>#REF!</v>
      </c>
      <c r="H682" s="138" t="str">
        <f t="shared" si="31"/>
        <v/>
      </c>
      <c r="I682" s="136" t="str">
        <f t="shared" si="32"/>
        <v/>
      </c>
    </row>
    <row r="683" spans="1:9" hidden="1" x14ac:dyDescent="0.25">
      <c r="A683" s="114" t="s">
        <v>2472</v>
      </c>
      <c r="B683" s="115" t="s">
        <v>2473</v>
      </c>
      <c r="C683" s="116" t="s">
        <v>20</v>
      </c>
      <c r="D683" s="116">
        <v>0</v>
      </c>
      <c r="E683" s="135" t="s">
        <v>558</v>
      </c>
      <c r="F683" s="136" t="str">
        <f t="shared" si="30"/>
        <v/>
      </c>
      <c r="G683" s="137" t="e">
        <f>IF(A683&lt;&gt;"",IF(AND(#REF!="Padrão",$H$4=#REF!),BDI!$B$17,IF(AND(#REF!="Padrão",$H$4=#REF!),BDI!#REF!,IF(AND(#REF!="Diferenciado",$H$4=#REF!),BDI!$E$17,IF(AND(#REF!="Diferenciado",$H$4=#REF!),BDI!#REF!,IF(#REF!="ZERO",0))))),"")</f>
        <v>#REF!</v>
      </c>
      <c r="H683" s="138" t="str">
        <f t="shared" si="31"/>
        <v/>
      </c>
      <c r="I683" s="136" t="str">
        <f t="shared" si="32"/>
        <v/>
      </c>
    </row>
    <row r="684" spans="1:9" hidden="1" x14ac:dyDescent="0.25">
      <c r="A684" s="114" t="s">
        <v>2474</v>
      </c>
      <c r="B684" s="115" t="s">
        <v>2475</v>
      </c>
      <c r="C684" s="116" t="s">
        <v>20</v>
      </c>
      <c r="D684" s="116">
        <v>0</v>
      </c>
      <c r="E684" s="135" t="s">
        <v>558</v>
      </c>
      <c r="F684" s="136" t="str">
        <f t="shared" si="30"/>
        <v/>
      </c>
      <c r="G684" s="137" t="e">
        <f>IF(A684&lt;&gt;"",IF(AND(#REF!="Padrão",$H$4=#REF!),BDI!$B$17,IF(AND(#REF!="Padrão",$H$4=#REF!),BDI!#REF!,IF(AND(#REF!="Diferenciado",$H$4=#REF!),BDI!$E$17,IF(AND(#REF!="Diferenciado",$H$4=#REF!),BDI!#REF!,IF(#REF!="ZERO",0))))),"")</f>
        <v>#REF!</v>
      </c>
      <c r="H684" s="138" t="str">
        <f t="shared" si="31"/>
        <v/>
      </c>
      <c r="I684" s="136" t="str">
        <f t="shared" si="32"/>
        <v/>
      </c>
    </row>
    <row r="685" spans="1:9" hidden="1" x14ac:dyDescent="0.25">
      <c r="A685" s="114" t="s">
        <v>2476</v>
      </c>
      <c r="B685" s="115" t="s">
        <v>2477</v>
      </c>
      <c r="C685" s="116" t="s">
        <v>20</v>
      </c>
      <c r="D685" s="116">
        <v>0</v>
      </c>
      <c r="E685" s="135" t="s">
        <v>558</v>
      </c>
      <c r="F685" s="136" t="str">
        <f t="shared" si="30"/>
        <v/>
      </c>
      <c r="G685" s="137" t="e">
        <f>IF(A685&lt;&gt;"",IF(AND(#REF!="Padrão",$H$4=#REF!),BDI!$B$17,IF(AND(#REF!="Padrão",$H$4=#REF!),BDI!#REF!,IF(AND(#REF!="Diferenciado",$H$4=#REF!),BDI!$E$17,IF(AND(#REF!="Diferenciado",$H$4=#REF!),BDI!#REF!,IF(#REF!="ZERO",0))))),"")</f>
        <v>#REF!</v>
      </c>
      <c r="H685" s="138" t="str">
        <f t="shared" si="31"/>
        <v/>
      </c>
      <c r="I685" s="136" t="str">
        <f t="shared" si="32"/>
        <v/>
      </c>
    </row>
    <row r="686" spans="1:9" hidden="1" x14ac:dyDescent="0.25">
      <c r="A686" s="114" t="s">
        <v>2478</v>
      </c>
      <c r="B686" s="115" t="s">
        <v>2479</v>
      </c>
      <c r="C686" s="116" t="s">
        <v>20</v>
      </c>
      <c r="D686" s="116">
        <v>0</v>
      </c>
      <c r="E686" s="135" t="s">
        <v>558</v>
      </c>
      <c r="F686" s="136" t="str">
        <f t="shared" si="30"/>
        <v/>
      </c>
      <c r="G686" s="137" t="e">
        <f>IF(A686&lt;&gt;"",IF(AND(#REF!="Padrão",$H$4=#REF!),BDI!$B$17,IF(AND(#REF!="Padrão",$H$4=#REF!),BDI!#REF!,IF(AND(#REF!="Diferenciado",$H$4=#REF!),BDI!$E$17,IF(AND(#REF!="Diferenciado",$H$4=#REF!),BDI!#REF!,IF(#REF!="ZERO",0))))),"")</f>
        <v>#REF!</v>
      </c>
      <c r="H686" s="138" t="str">
        <f t="shared" si="31"/>
        <v/>
      </c>
      <c r="I686" s="136" t="str">
        <f t="shared" si="32"/>
        <v/>
      </c>
    </row>
    <row r="687" spans="1:9" hidden="1" x14ac:dyDescent="0.25">
      <c r="A687" s="114" t="s">
        <v>2480</v>
      </c>
      <c r="B687" s="115" t="s">
        <v>2481</v>
      </c>
      <c r="C687" s="116" t="s">
        <v>20</v>
      </c>
      <c r="D687" s="116">
        <v>0</v>
      </c>
      <c r="E687" s="135" t="s">
        <v>558</v>
      </c>
      <c r="F687" s="136" t="str">
        <f t="shared" si="30"/>
        <v/>
      </c>
      <c r="G687" s="137" t="e">
        <f>IF(A687&lt;&gt;"",IF(AND(#REF!="Padrão",$H$4=#REF!),BDI!$B$17,IF(AND(#REF!="Padrão",$H$4=#REF!),BDI!#REF!,IF(AND(#REF!="Diferenciado",$H$4=#REF!),BDI!$E$17,IF(AND(#REF!="Diferenciado",$H$4=#REF!),BDI!#REF!,IF(#REF!="ZERO",0))))),"")</f>
        <v>#REF!</v>
      </c>
      <c r="H687" s="138" t="str">
        <f t="shared" si="31"/>
        <v/>
      </c>
      <c r="I687" s="136" t="str">
        <f t="shared" si="32"/>
        <v/>
      </c>
    </row>
    <row r="688" spans="1:9" hidden="1" x14ac:dyDescent="0.25">
      <c r="A688" s="114" t="s">
        <v>2482</v>
      </c>
      <c r="B688" s="115" t="s">
        <v>2483</v>
      </c>
      <c r="C688" s="116" t="s">
        <v>20</v>
      </c>
      <c r="D688" s="116">
        <v>0</v>
      </c>
      <c r="E688" s="135" t="s">
        <v>558</v>
      </c>
      <c r="F688" s="136" t="str">
        <f t="shared" si="30"/>
        <v/>
      </c>
      <c r="G688" s="137" t="e">
        <f>IF(A688&lt;&gt;"",IF(AND(#REF!="Padrão",$H$4=#REF!),BDI!$B$17,IF(AND(#REF!="Padrão",$H$4=#REF!),BDI!#REF!,IF(AND(#REF!="Diferenciado",$H$4=#REF!),BDI!$E$17,IF(AND(#REF!="Diferenciado",$H$4=#REF!),BDI!#REF!,IF(#REF!="ZERO",0))))),"")</f>
        <v>#REF!</v>
      </c>
      <c r="H688" s="138" t="str">
        <f t="shared" si="31"/>
        <v/>
      </c>
      <c r="I688" s="136" t="str">
        <f t="shared" si="32"/>
        <v/>
      </c>
    </row>
    <row r="689" spans="1:9" hidden="1" x14ac:dyDescent="0.25">
      <c r="A689" s="114" t="s">
        <v>2484</v>
      </c>
      <c r="B689" s="115" t="s">
        <v>2485</v>
      </c>
      <c r="C689" s="116" t="s">
        <v>20</v>
      </c>
      <c r="D689" s="116">
        <v>0</v>
      </c>
      <c r="E689" s="135" t="s">
        <v>558</v>
      </c>
      <c r="F689" s="136" t="str">
        <f t="shared" si="30"/>
        <v/>
      </c>
      <c r="G689" s="137" t="e">
        <f>IF(A689&lt;&gt;"",IF(AND(#REF!="Padrão",$H$4=#REF!),BDI!$B$17,IF(AND(#REF!="Padrão",$H$4=#REF!),BDI!#REF!,IF(AND(#REF!="Diferenciado",$H$4=#REF!),BDI!$E$17,IF(AND(#REF!="Diferenciado",$H$4=#REF!),BDI!#REF!,IF(#REF!="ZERO",0))))),"")</f>
        <v>#REF!</v>
      </c>
      <c r="H689" s="138" t="str">
        <f t="shared" si="31"/>
        <v/>
      </c>
      <c r="I689" s="136" t="str">
        <f t="shared" si="32"/>
        <v/>
      </c>
    </row>
    <row r="690" spans="1:9" hidden="1" x14ac:dyDescent="0.25">
      <c r="A690" s="114" t="s">
        <v>2486</v>
      </c>
      <c r="B690" s="115" t="s">
        <v>2487</v>
      </c>
      <c r="C690" s="116" t="s">
        <v>20</v>
      </c>
      <c r="D690" s="116">
        <v>0</v>
      </c>
      <c r="E690" s="135" t="s">
        <v>558</v>
      </c>
      <c r="F690" s="136" t="str">
        <f t="shared" si="30"/>
        <v/>
      </c>
      <c r="G690" s="137" t="e">
        <f>IF(A690&lt;&gt;"",IF(AND(#REF!="Padrão",$H$4=#REF!),BDI!$B$17,IF(AND(#REF!="Padrão",$H$4=#REF!),BDI!#REF!,IF(AND(#REF!="Diferenciado",$H$4=#REF!),BDI!$E$17,IF(AND(#REF!="Diferenciado",$H$4=#REF!),BDI!#REF!,IF(#REF!="ZERO",0))))),"")</f>
        <v>#REF!</v>
      </c>
      <c r="H690" s="138" t="str">
        <f t="shared" si="31"/>
        <v/>
      </c>
      <c r="I690" s="136" t="str">
        <f t="shared" si="32"/>
        <v/>
      </c>
    </row>
    <row r="691" spans="1:9" hidden="1" x14ac:dyDescent="0.25">
      <c r="A691" s="114" t="s">
        <v>2488</v>
      </c>
      <c r="B691" s="115" t="s">
        <v>2489</v>
      </c>
      <c r="C691" s="116" t="s">
        <v>20</v>
      </c>
      <c r="D691" s="116">
        <v>0</v>
      </c>
      <c r="E691" s="135" t="s">
        <v>558</v>
      </c>
      <c r="F691" s="136" t="str">
        <f t="shared" si="30"/>
        <v/>
      </c>
      <c r="G691" s="137" t="e">
        <f>IF(A691&lt;&gt;"",IF(AND(#REF!="Padrão",$H$4=#REF!),BDI!$B$17,IF(AND(#REF!="Padrão",$H$4=#REF!),BDI!#REF!,IF(AND(#REF!="Diferenciado",$H$4=#REF!),BDI!$E$17,IF(AND(#REF!="Diferenciado",$H$4=#REF!),BDI!#REF!,IF(#REF!="ZERO",0))))),"")</f>
        <v>#REF!</v>
      </c>
      <c r="H691" s="138" t="str">
        <f t="shared" si="31"/>
        <v/>
      </c>
      <c r="I691" s="136" t="str">
        <f t="shared" si="32"/>
        <v/>
      </c>
    </row>
    <row r="692" spans="1:9" hidden="1" x14ac:dyDescent="0.25">
      <c r="A692" s="114" t="s">
        <v>2490</v>
      </c>
      <c r="B692" s="115" t="s">
        <v>2491</v>
      </c>
      <c r="C692" s="116" t="s">
        <v>20</v>
      </c>
      <c r="D692" s="116">
        <v>0</v>
      </c>
      <c r="E692" s="135" t="s">
        <v>558</v>
      </c>
      <c r="F692" s="136" t="str">
        <f t="shared" si="30"/>
        <v/>
      </c>
      <c r="G692" s="137" t="e">
        <f>IF(A692&lt;&gt;"",IF(AND(#REF!="Padrão",$H$4=#REF!),BDI!$B$17,IF(AND(#REF!="Padrão",$H$4=#REF!),BDI!#REF!,IF(AND(#REF!="Diferenciado",$H$4=#REF!),BDI!$E$17,IF(AND(#REF!="Diferenciado",$H$4=#REF!),BDI!#REF!,IF(#REF!="ZERO",0))))),"")</f>
        <v>#REF!</v>
      </c>
      <c r="H692" s="138" t="str">
        <f t="shared" si="31"/>
        <v/>
      </c>
      <c r="I692" s="136" t="str">
        <f t="shared" si="32"/>
        <v/>
      </c>
    </row>
    <row r="693" spans="1:9" hidden="1" x14ac:dyDescent="0.25">
      <c r="A693" s="114" t="s">
        <v>2492</v>
      </c>
      <c r="B693" s="115" t="s">
        <v>2493</v>
      </c>
      <c r="C693" s="116" t="s">
        <v>20</v>
      </c>
      <c r="D693" s="116">
        <v>0</v>
      </c>
      <c r="E693" s="135" t="s">
        <v>558</v>
      </c>
      <c r="F693" s="136" t="str">
        <f t="shared" si="30"/>
        <v/>
      </c>
      <c r="G693" s="137" t="e">
        <f>IF(A693&lt;&gt;"",IF(AND(#REF!="Padrão",$H$4=#REF!),BDI!$B$17,IF(AND(#REF!="Padrão",$H$4=#REF!),BDI!#REF!,IF(AND(#REF!="Diferenciado",$H$4=#REF!),BDI!$E$17,IF(AND(#REF!="Diferenciado",$H$4=#REF!),BDI!#REF!,IF(#REF!="ZERO",0))))),"")</f>
        <v>#REF!</v>
      </c>
      <c r="H693" s="138" t="str">
        <f t="shared" si="31"/>
        <v/>
      </c>
      <c r="I693" s="136" t="str">
        <f t="shared" si="32"/>
        <v/>
      </c>
    </row>
    <row r="694" spans="1:9" hidden="1" x14ac:dyDescent="0.25">
      <c r="A694" s="114" t="s">
        <v>2494</v>
      </c>
      <c r="B694" s="115" t="s">
        <v>2495</v>
      </c>
      <c r="C694" s="116" t="s">
        <v>20</v>
      </c>
      <c r="D694" s="116">
        <v>0</v>
      </c>
      <c r="E694" s="135" t="s">
        <v>558</v>
      </c>
      <c r="F694" s="136" t="str">
        <f t="shared" si="30"/>
        <v/>
      </c>
      <c r="G694" s="137" t="e">
        <f>IF(A694&lt;&gt;"",IF(AND(#REF!="Padrão",$H$4=#REF!),BDI!$B$17,IF(AND(#REF!="Padrão",$H$4=#REF!),BDI!#REF!,IF(AND(#REF!="Diferenciado",$H$4=#REF!),BDI!$E$17,IF(AND(#REF!="Diferenciado",$H$4=#REF!),BDI!#REF!,IF(#REF!="ZERO",0))))),"")</f>
        <v>#REF!</v>
      </c>
      <c r="H694" s="138" t="str">
        <f t="shared" si="31"/>
        <v/>
      </c>
      <c r="I694" s="136" t="str">
        <f t="shared" si="32"/>
        <v/>
      </c>
    </row>
    <row r="695" spans="1:9" hidden="1" x14ac:dyDescent="0.25">
      <c r="A695" s="114" t="s">
        <v>2496</v>
      </c>
      <c r="B695" s="115" t="s">
        <v>2497</v>
      </c>
      <c r="C695" s="116" t="s">
        <v>20</v>
      </c>
      <c r="D695" s="116">
        <v>0</v>
      </c>
      <c r="E695" s="135" t="s">
        <v>558</v>
      </c>
      <c r="F695" s="136" t="str">
        <f t="shared" si="30"/>
        <v/>
      </c>
      <c r="G695" s="137" t="e">
        <f>IF(A695&lt;&gt;"",IF(AND(#REF!="Padrão",$H$4=#REF!),BDI!$B$17,IF(AND(#REF!="Padrão",$H$4=#REF!),BDI!#REF!,IF(AND(#REF!="Diferenciado",$H$4=#REF!),BDI!$E$17,IF(AND(#REF!="Diferenciado",$H$4=#REF!),BDI!#REF!,IF(#REF!="ZERO",0))))),"")</f>
        <v>#REF!</v>
      </c>
      <c r="H695" s="138" t="str">
        <f t="shared" si="31"/>
        <v/>
      </c>
      <c r="I695" s="136" t="str">
        <f t="shared" si="32"/>
        <v/>
      </c>
    </row>
    <row r="696" spans="1:9" hidden="1" x14ac:dyDescent="0.25">
      <c r="A696" s="114" t="s">
        <v>2498</v>
      </c>
      <c r="B696" s="115" t="s">
        <v>2499</v>
      </c>
      <c r="C696" s="116" t="s">
        <v>20</v>
      </c>
      <c r="D696" s="116">
        <v>0</v>
      </c>
      <c r="E696" s="135" t="s">
        <v>558</v>
      </c>
      <c r="F696" s="136" t="str">
        <f t="shared" si="30"/>
        <v/>
      </c>
      <c r="G696" s="137" t="e">
        <f>IF(A696&lt;&gt;"",IF(AND(#REF!="Padrão",$H$4=#REF!),BDI!$B$17,IF(AND(#REF!="Padrão",$H$4=#REF!),BDI!#REF!,IF(AND(#REF!="Diferenciado",$H$4=#REF!),BDI!$E$17,IF(AND(#REF!="Diferenciado",$H$4=#REF!),BDI!#REF!,IF(#REF!="ZERO",0))))),"")</f>
        <v>#REF!</v>
      </c>
      <c r="H696" s="138" t="str">
        <f t="shared" si="31"/>
        <v/>
      </c>
      <c r="I696" s="136" t="str">
        <f t="shared" si="32"/>
        <v/>
      </c>
    </row>
    <row r="697" spans="1:9" hidden="1" x14ac:dyDescent="0.25">
      <c r="A697" s="114" t="s">
        <v>2500</v>
      </c>
      <c r="B697" s="115" t="s">
        <v>2501</v>
      </c>
      <c r="C697" s="116" t="s">
        <v>20</v>
      </c>
      <c r="D697" s="116">
        <v>0</v>
      </c>
      <c r="E697" s="135" t="s">
        <v>558</v>
      </c>
      <c r="F697" s="136" t="str">
        <f t="shared" si="30"/>
        <v/>
      </c>
      <c r="G697" s="137" t="e">
        <f>IF(A697&lt;&gt;"",IF(AND(#REF!="Padrão",$H$4=#REF!),BDI!$B$17,IF(AND(#REF!="Padrão",$H$4=#REF!),BDI!#REF!,IF(AND(#REF!="Diferenciado",$H$4=#REF!),BDI!$E$17,IF(AND(#REF!="Diferenciado",$H$4=#REF!),BDI!#REF!,IF(#REF!="ZERO",0))))),"")</f>
        <v>#REF!</v>
      </c>
      <c r="H697" s="138" t="str">
        <f t="shared" si="31"/>
        <v/>
      </c>
      <c r="I697" s="136" t="str">
        <f t="shared" si="32"/>
        <v/>
      </c>
    </row>
    <row r="698" spans="1:9" hidden="1" x14ac:dyDescent="0.25">
      <c r="A698" s="114" t="s">
        <v>2502</v>
      </c>
      <c r="B698" s="115" t="s">
        <v>2503</v>
      </c>
      <c r="C698" s="116" t="s">
        <v>20</v>
      </c>
      <c r="D698" s="116">
        <v>0</v>
      </c>
      <c r="E698" s="135" t="s">
        <v>558</v>
      </c>
      <c r="F698" s="136" t="str">
        <f t="shared" si="30"/>
        <v/>
      </c>
      <c r="G698" s="137" t="e">
        <f>IF(A698&lt;&gt;"",IF(AND(#REF!="Padrão",$H$4=#REF!),BDI!$B$17,IF(AND(#REF!="Padrão",$H$4=#REF!),BDI!#REF!,IF(AND(#REF!="Diferenciado",$H$4=#REF!),BDI!$E$17,IF(AND(#REF!="Diferenciado",$H$4=#REF!),BDI!#REF!,IF(#REF!="ZERO",0))))),"")</f>
        <v>#REF!</v>
      </c>
      <c r="H698" s="138" t="str">
        <f t="shared" si="31"/>
        <v/>
      </c>
      <c r="I698" s="136" t="str">
        <f t="shared" si="32"/>
        <v/>
      </c>
    </row>
    <row r="699" spans="1:9" hidden="1" x14ac:dyDescent="0.25">
      <c r="A699" s="114" t="s">
        <v>2504</v>
      </c>
      <c r="B699" s="115" t="s">
        <v>2505</v>
      </c>
      <c r="C699" s="116" t="s">
        <v>20</v>
      </c>
      <c r="D699" s="116">
        <v>0</v>
      </c>
      <c r="E699" s="135" t="s">
        <v>558</v>
      </c>
      <c r="F699" s="136" t="str">
        <f t="shared" si="30"/>
        <v/>
      </c>
      <c r="G699" s="137" t="e">
        <f>IF(A699&lt;&gt;"",IF(AND(#REF!="Padrão",$H$4=#REF!),BDI!$B$17,IF(AND(#REF!="Padrão",$H$4=#REF!),BDI!#REF!,IF(AND(#REF!="Diferenciado",$H$4=#REF!),BDI!$E$17,IF(AND(#REF!="Diferenciado",$H$4=#REF!),BDI!#REF!,IF(#REF!="ZERO",0))))),"")</f>
        <v>#REF!</v>
      </c>
      <c r="H699" s="138" t="str">
        <f t="shared" si="31"/>
        <v/>
      </c>
      <c r="I699" s="136" t="str">
        <f t="shared" si="32"/>
        <v/>
      </c>
    </row>
    <row r="700" spans="1:9" hidden="1" x14ac:dyDescent="0.25">
      <c r="A700" s="114" t="s">
        <v>2506</v>
      </c>
      <c r="B700" s="115" t="s">
        <v>2507</v>
      </c>
      <c r="C700" s="116" t="s">
        <v>20</v>
      </c>
      <c r="D700" s="116">
        <v>0</v>
      </c>
      <c r="E700" s="135" t="s">
        <v>558</v>
      </c>
      <c r="F700" s="136" t="str">
        <f t="shared" si="30"/>
        <v/>
      </c>
      <c r="G700" s="137" t="e">
        <f>IF(A700&lt;&gt;"",IF(AND(#REF!="Padrão",$H$4=#REF!),BDI!$B$17,IF(AND(#REF!="Padrão",$H$4=#REF!),BDI!#REF!,IF(AND(#REF!="Diferenciado",$H$4=#REF!),BDI!$E$17,IF(AND(#REF!="Diferenciado",$H$4=#REF!),BDI!#REF!,IF(#REF!="ZERO",0))))),"")</f>
        <v>#REF!</v>
      </c>
      <c r="H700" s="138" t="str">
        <f t="shared" si="31"/>
        <v/>
      </c>
      <c r="I700" s="136" t="str">
        <f t="shared" si="32"/>
        <v/>
      </c>
    </row>
    <row r="701" spans="1:9" hidden="1" x14ac:dyDescent="0.25">
      <c r="A701" s="114" t="s">
        <v>2508</v>
      </c>
      <c r="B701" s="115" t="s">
        <v>2509</v>
      </c>
      <c r="C701" s="116" t="s">
        <v>20</v>
      </c>
      <c r="D701" s="116">
        <v>0</v>
      </c>
      <c r="E701" s="135" t="s">
        <v>558</v>
      </c>
      <c r="F701" s="136" t="str">
        <f t="shared" si="30"/>
        <v/>
      </c>
      <c r="G701" s="137" t="e">
        <f>IF(A701&lt;&gt;"",IF(AND(#REF!="Padrão",$H$4=#REF!),BDI!$B$17,IF(AND(#REF!="Padrão",$H$4=#REF!),BDI!#REF!,IF(AND(#REF!="Diferenciado",$H$4=#REF!),BDI!$E$17,IF(AND(#REF!="Diferenciado",$H$4=#REF!),BDI!#REF!,IF(#REF!="ZERO",0))))),"")</f>
        <v>#REF!</v>
      </c>
      <c r="H701" s="138" t="str">
        <f t="shared" si="31"/>
        <v/>
      </c>
      <c r="I701" s="136" t="str">
        <f t="shared" si="32"/>
        <v/>
      </c>
    </row>
    <row r="702" spans="1:9" hidden="1" x14ac:dyDescent="0.25">
      <c r="A702" s="114" t="s">
        <v>2510</v>
      </c>
      <c r="B702" s="115" t="s">
        <v>2511</v>
      </c>
      <c r="C702" s="116" t="s">
        <v>20</v>
      </c>
      <c r="D702" s="116">
        <v>0</v>
      </c>
      <c r="E702" s="135" t="s">
        <v>558</v>
      </c>
      <c r="F702" s="136" t="str">
        <f t="shared" si="30"/>
        <v/>
      </c>
      <c r="G702" s="137" t="e">
        <f>IF(A702&lt;&gt;"",IF(AND(#REF!="Padrão",$H$4=#REF!),BDI!$B$17,IF(AND(#REF!="Padrão",$H$4=#REF!),BDI!#REF!,IF(AND(#REF!="Diferenciado",$H$4=#REF!),BDI!$E$17,IF(AND(#REF!="Diferenciado",$H$4=#REF!),BDI!#REF!,IF(#REF!="ZERO",0))))),"")</f>
        <v>#REF!</v>
      </c>
      <c r="H702" s="138" t="str">
        <f t="shared" si="31"/>
        <v/>
      </c>
      <c r="I702" s="136" t="str">
        <f t="shared" si="32"/>
        <v/>
      </c>
    </row>
    <row r="703" spans="1:9" hidden="1" x14ac:dyDescent="0.25">
      <c r="A703" s="114" t="s">
        <v>2512</v>
      </c>
      <c r="B703" s="115" t="s">
        <v>2513</v>
      </c>
      <c r="C703" s="116" t="s">
        <v>20</v>
      </c>
      <c r="D703" s="116">
        <v>0</v>
      </c>
      <c r="E703" s="135" t="s">
        <v>558</v>
      </c>
      <c r="F703" s="136" t="str">
        <f t="shared" si="30"/>
        <v/>
      </c>
      <c r="G703" s="137" t="e">
        <f>IF(A703&lt;&gt;"",IF(AND(#REF!="Padrão",$H$4=#REF!),BDI!$B$17,IF(AND(#REF!="Padrão",$H$4=#REF!),BDI!#REF!,IF(AND(#REF!="Diferenciado",$H$4=#REF!),BDI!$E$17,IF(AND(#REF!="Diferenciado",$H$4=#REF!),BDI!#REF!,IF(#REF!="ZERO",0))))),"")</f>
        <v>#REF!</v>
      </c>
      <c r="H703" s="138" t="str">
        <f t="shared" si="31"/>
        <v/>
      </c>
      <c r="I703" s="136" t="str">
        <f t="shared" si="32"/>
        <v/>
      </c>
    </row>
    <row r="704" spans="1:9" hidden="1" x14ac:dyDescent="0.25">
      <c r="A704" s="114" t="s">
        <v>2514</v>
      </c>
      <c r="B704" s="115" t="s">
        <v>2515</v>
      </c>
      <c r="C704" s="116" t="s">
        <v>20</v>
      </c>
      <c r="D704" s="116">
        <v>0</v>
      </c>
      <c r="E704" s="135" t="s">
        <v>558</v>
      </c>
      <c r="F704" s="136" t="str">
        <f t="shared" si="30"/>
        <v/>
      </c>
      <c r="G704" s="137" t="e">
        <f>IF(A704&lt;&gt;"",IF(AND(#REF!="Padrão",$H$4=#REF!),BDI!$B$17,IF(AND(#REF!="Padrão",$H$4=#REF!),BDI!#REF!,IF(AND(#REF!="Diferenciado",$H$4=#REF!),BDI!$E$17,IF(AND(#REF!="Diferenciado",$H$4=#REF!),BDI!#REF!,IF(#REF!="ZERO",0))))),"")</f>
        <v>#REF!</v>
      </c>
      <c r="H704" s="138" t="str">
        <f t="shared" si="31"/>
        <v/>
      </c>
      <c r="I704" s="136" t="str">
        <f t="shared" si="32"/>
        <v/>
      </c>
    </row>
    <row r="705" spans="1:9" hidden="1" x14ac:dyDescent="0.25">
      <c r="A705" s="114" t="s">
        <v>2516</v>
      </c>
      <c r="B705" s="115" t="s">
        <v>2517</v>
      </c>
      <c r="C705" s="116" t="s">
        <v>20</v>
      </c>
      <c r="D705" s="116">
        <v>0</v>
      </c>
      <c r="E705" s="135" t="s">
        <v>558</v>
      </c>
      <c r="F705" s="136" t="str">
        <f t="shared" si="30"/>
        <v/>
      </c>
      <c r="G705" s="137" t="e">
        <f>IF(A705&lt;&gt;"",IF(AND(#REF!="Padrão",$H$4=#REF!),BDI!$B$17,IF(AND(#REF!="Padrão",$H$4=#REF!),BDI!#REF!,IF(AND(#REF!="Diferenciado",$H$4=#REF!),BDI!$E$17,IF(AND(#REF!="Diferenciado",$H$4=#REF!),BDI!#REF!,IF(#REF!="ZERO",0))))),"")</f>
        <v>#REF!</v>
      </c>
      <c r="H705" s="138" t="str">
        <f t="shared" si="31"/>
        <v/>
      </c>
      <c r="I705" s="136" t="str">
        <f t="shared" si="32"/>
        <v/>
      </c>
    </row>
    <row r="706" spans="1:9" hidden="1" x14ac:dyDescent="0.25">
      <c r="A706" s="114" t="s">
        <v>2518</v>
      </c>
      <c r="B706" s="115" t="s">
        <v>2519</v>
      </c>
      <c r="C706" s="116" t="s">
        <v>20</v>
      </c>
      <c r="D706" s="116">
        <v>0</v>
      </c>
      <c r="E706" s="135" t="s">
        <v>558</v>
      </c>
      <c r="F706" s="136" t="str">
        <f t="shared" si="30"/>
        <v/>
      </c>
      <c r="G706" s="137" t="e">
        <f>IF(A706&lt;&gt;"",IF(AND(#REF!="Padrão",$H$4=#REF!),BDI!$B$17,IF(AND(#REF!="Padrão",$H$4=#REF!),BDI!#REF!,IF(AND(#REF!="Diferenciado",$H$4=#REF!),BDI!$E$17,IF(AND(#REF!="Diferenciado",$H$4=#REF!),BDI!#REF!,IF(#REF!="ZERO",0))))),"")</f>
        <v>#REF!</v>
      </c>
      <c r="H706" s="138" t="str">
        <f t="shared" si="31"/>
        <v/>
      </c>
      <c r="I706" s="136" t="str">
        <f t="shared" si="32"/>
        <v/>
      </c>
    </row>
    <row r="707" spans="1:9" hidden="1" x14ac:dyDescent="0.25">
      <c r="A707" s="114" t="s">
        <v>2520</v>
      </c>
      <c r="B707" s="115" t="s">
        <v>2521</v>
      </c>
      <c r="C707" s="116" t="s">
        <v>20</v>
      </c>
      <c r="D707" s="116">
        <v>0</v>
      </c>
      <c r="E707" s="135" t="s">
        <v>558</v>
      </c>
      <c r="F707" s="136" t="str">
        <f t="shared" si="30"/>
        <v/>
      </c>
      <c r="G707" s="137" t="e">
        <f>IF(A707&lt;&gt;"",IF(AND(#REF!="Padrão",$H$4=#REF!),BDI!$B$17,IF(AND(#REF!="Padrão",$H$4=#REF!),BDI!#REF!,IF(AND(#REF!="Diferenciado",$H$4=#REF!),BDI!$E$17,IF(AND(#REF!="Diferenciado",$H$4=#REF!),BDI!#REF!,IF(#REF!="ZERO",0))))),"")</f>
        <v>#REF!</v>
      </c>
      <c r="H707" s="138" t="str">
        <f t="shared" si="31"/>
        <v/>
      </c>
      <c r="I707" s="136" t="str">
        <f t="shared" si="32"/>
        <v/>
      </c>
    </row>
    <row r="708" spans="1:9" hidden="1" x14ac:dyDescent="0.25">
      <c r="A708" s="114" t="s">
        <v>2522</v>
      </c>
      <c r="B708" s="115" t="s">
        <v>2523</v>
      </c>
      <c r="C708" s="116" t="s">
        <v>20</v>
      </c>
      <c r="D708" s="116">
        <v>0</v>
      </c>
      <c r="E708" s="135" t="s">
        <v>558</v>
      </c>
      <c r="F708" s="136" t="str">
        <f t="shared" si="30"/>
        <v/>
      </c>
      <c r="G708" s="137" t="e">
        <f>IF(A708&lt;&gt;"",IF(AND(#REF!="Padrão",$H$4=#REF!),BDI!$B$17,IF(AND(#REF!="Padrão",$H$4=#REF!),BDI!#REF!,IF(AND(#REF!="Diferenciado",$H$4=#REF!),BDI!$E$17,IF(AND(#REF!="Diferenciado",$H$4=#REF!),BDI!#REF!,IF(#REF!="ZERO",0))))),"")</f>
        <v>#REF!</v>
      </c>
      <c r="H708" s="138" t="str">
        <f t="shared" si="31"/>
        <v/>
      </c>
      <c r="I708" s="136" t="str">
        <f t="shared" si="32"/>
        <v/>
      </c>
    </row>
    <row r="709" spans="1:9" hidden="1" x14ac:dyDescent="0.25">
      <c r="A709" s="114" t="s">
        <v>2524</v>
      </c>
      <c r="B709" s="115" t="s">
        <v>2525</v>
      </c>
      <c r="C709" s="116" t="s">
        <v>20</v>
      </c>
      <c r="D709" s="116">
        <v>0</v>
      </c>
      <c r="E709" s="135" t="s">
        <v>558</v>
      </c>
      <c r="F709" s="136" t="str">
        <f t="shared" si="30"/>
        <v/>
      </c>
      <c r="G709" s="137" t="e">
        <f>IF(A709&lt;&gt;"",IF(AND(#REF!="Padrão",$H$4=#REF!),BDI!$B$17,IF(AND(#REF!="Padrão",$H$4=#REF!),BDI!#REF!,IF(AND(#REF!="Diferenciado",$H$4=#REF!),BDI!$E$17,IF(AND(#REF!="Diferenciado",$H$4=#REF!),BDI!#REF!,IF(#REF!="ZERO",0))))),"")</f>
        <v>#REF!</v>
      </c>
      <c r="H709" s="138" t="str">
        <f t="shared" si="31"/>
        <v/>
      </c>
      <c r="I709" s="136" t="str">
        <f t="shared" si="32"/>
        <v/>
      </c>
    </row>
    <row r="710" spans="1:9" hidden="1" x14ac:dyDescent="0.25">
      <c r="A710" s="114" t="s">
        <v>2526</v>
      </c>
      <c r="B710" s="115" t="s">
        <v>2527</v>
      </c>
      <c r="C710" s="116" t="s">
        <v>20</v>
      </c>
      <c r="D710" s="116">
        <v>0</v>
      </c>
      <c r="E710" s="135" t="s">
        <v>558</v>
      </c>
      <c r="F710" s="136" t="str">
        <f t="shared" si="30"/>
        <v/>
      </c>
      <c r="G710" s="137" t="e">
        <f>IF(A710&lt;&gt;"",IF(AND(#REF!="Padrão",$H$4=#REF!),BDI!$B$17,IF(AND(#REF!="Padrão",$H$4=#REF!),BDI!#REF!,IF(AND(#REF!="Diferenciado",$H$4=#REF!),BDI!$E$17,IF(AND(#REF!="Diferenciado",$H$4=#REF!),BDI!#REF!,IF(#REF!="ZERO",0))))),"")</f>
        <v>#REF!</v>
      </c>
      <c r="H710" s="138" t="str">
        <f t="shared" si="31"/>
        <v/>
      </c>
      <c r="I710" s="136" t="str">
        <f t="shared" si="32"/>
        <v/>
      </c>
    </row>
    <row r="711" spans="1:9" hidden="1" x14ac:dyDescent="0.25">
      <c r="A711" s="114" t="s">
        <v>2528</v>
      </c>
      <c r="B711" s="115" t="s">
        <v>2529</v>
      </c>
      <c r="C711" s="116" t="s">
        <v>20</v>
      </c>
      <c r="D711" s="116">
        <v>0</v>
      </c>
      <c r="E711" s="135" t="s">
        <v>558</v>
      </c>
      <c r="F711" s="136" t="str">
        <f t="shared" ref="F711:F774" si="33">IF(ISNUMBER(E711),D711*E711,"")</f>
        <v/>
      </c>
      <c r="G711" s="137" t="e">
        <f>IF(A711&lt;&gt;"",IF(AND(#REF!="Padrão",$H$4=#REF!),BDI!$B$17,IF(AND(#REF!="Padrão",$H$4=#REF!),BDI!#REF!,IF(AND(#REF!="Diferenciado",$H$4=#REF!),BDI!$E$17,IF(AND(#REF!="Diferenciado",$H$4=#REF!),BDI!#REF!,IF(#REF!="ZERO",0))))),"")</f>
        <v>#REF!</v>
      </c>
      <c r="H711" s="138" t="str">
        <f t="shared" ref="H711:H774" si="34">IF(ISNUMBER(E711),ROUND(E711*(1+G711),2),"")</f>
        <v/>
      </c>
      <c r="I711" s="136" t="str">
        <f t="shared" ref="I711:I774" si="35">IF(ISNUMBER(E711),ROUND(H711*D711,2),"")</f>
        <v/>
      </c>
    </row>
    <row r="712" spans="1:9" hidden="1" x14ac:dyDescent="0.25">
      <c r="A712" s="114" t="s">
        <v>2530</v>
      </c>
      <c r="B712" s="115" t="s">
        <v>2531</v>
      </c>
      <c r="C712" s="116" t="s">
        <v>20</v>
      </c>
      <c r="D712" s="116">
        <v>0</v>
      </c>
      <c r="E712" s="135" t="s">
        <v>558</v>
      </c>
      <c r="F712" s="136" t="str">
        <f t="shared" si="33"/>
        <v/>
      </c>
      <c r="G712" s="137" t="e">
        <f>IF(A712&lt;&gt;"",IF(AND(#REF!="Padrão",$H$4=#REF!),BDI!$B$17,IF(AND(#REF!="Padrão",$H$4=#REF!),BDI!#REF!,IF(AND(#REF!="Diferenciado",$H$4=#REF!),BDI!$E$17,IF(AND(#REF!="Diferenciado",$H$4=#REF!),BDI!#REF!,IF(#REF!="ZERO",0))))),"")</f>
        <v>#REF!</v>
      </c>
      <c r="H712" s="138" t="str">
        <f t="shared" si="34"/>
        <v/>
      </c>
      <c r="I712" s="136" t="str">
        <f t="shared" si="35"/>
        <v/>
      </c>
    </row>
    <row r="713" spans="1:9" hidden="1" x14ac:dyDescent="0.25">
      <c r="A713" s="114" t="s">
        <v>818</v>
      </c>
      <c r="B713" s="115" t="s">
        <v>2532</v>
      </c>
      <c r="C713" s="116" t="s">
        <v>2533</v>
      </c>
      <c r="D713" s="116">
        <v>0</v>
      </c>
      <c r="E713" s="135">
        <f ca="1">OFFSET(INDEX(Composições!A:J,MATCH(Orçamentária!A713,Composições!A:A,0),8),2,0)</f>
        <v>10369.976856400001</v>
      </c>
      <c r="F713" s="136">
        <f t="shared" ca="1" si="33"/>
        <v>0</v>
      </c>
      <c r="G713" s="137" t="e">
        <f>IF(A713&lt;&gt;"",IF(AND(#REF!="Padrão",$H$4=#REF!),BDI!$B$17,IF(AND(#REF!="Padrão",$H$4=#REF!),BDI!#REF!,IF(AND(#REF!="Diferenciado",$H$4=#REF!),BDI!$E$17,IF(AND(#REF!="Diferenciado",$H$4=#REF!),BDI!#REF!,IF(#REF!="ZERO",0))))),"")</f>
        <v>#REF!</v>
      </c>
      <c r="H713" s="138" t="e">
        <f t="shared" ca="1" si="34"/>
        <v>#REF!</v>
      </c>
      <c r="I713" s="136" t="e">
        <f t="shared" ca="1" si="35"/>
        <v>#REF!</v>
      </c>
    </row>
    <row r="714" spans="1:9" hidden="1" x14ac:dyDescent="0.25">
      <c r="A714" s="114" t="s">
        <v>821</v>
      </c>
      <c r="B714" s="115" t="s">
        <v>2534</v>
      </c>
      <c r="C714" s="116" t="s">
        <v>2533</v>
      </c>
      <c r="D714" s="116">
        <v>0</v>
      </c>
      <c r="E714" s="135">
        <f ca="1">OFFSET(INDEX(Composições!A:J,MATCH(Orçamentária!A714,Composições!A:A,0),8),2,0)</f>
        <v>2693.3857131999998</v>
      </c>
      <c r="F714" s="136">
        <f t="shared" ca="1" si="33"/>
        <v>0</v>
      </c>
      <c r="G714" s="137" t="e">
        <f>IF(A714&lt;&gt;"",IF(AND(#REF!="Padrão",$H$4=#REF!),BDI!$B$17,IF(AND(#REF!="Padrão",$H$4=#REF!),BDI!#REF!,IF(AND(#REF!="Diferenciado",$H$4=#REF!),BDI!$E$17,IF(AND(#REF!="Diferenciado",$H$4=#REF!),BDI!#REF!,IF(#REF!="ZERO",0))))),"")</f>
        <v>#REF!</v>
      </c>
      <c r="H714" s="138" t="e">
        <f t="shared" ca="1" si="34"/>
        <v>#REF!</v>
      </c>
      <c r="I714" s="136" t="e">
        <f t="shared" ca="1" si="35"/>
        <v>#REF!</v>
      </c>
    </row>
    <row r="715" spans="1:9" hidden="1" x14ac:dyDescent="0.25">
      <c r="A715" s="114" t="s">
        <v>823</v>
      </c>
      <c r="B715" s="115" t="s">
        <v>2535</v>
      </c>
      <c r="C715" s="116" t="s">
        <v>2533</v>
      </c>
      <c r="D715" s="116">
        <v>0</v>
      </c>
      <c r="E715" s="135">
        <f ca="1">OFFSET(INDEX(Composições!A:J,MATCH(Orçamentária!A715,Composições!A:A,0),8),2,0)</f>
        <v>1729.1477363999998</v>
      </c>
      <c r="F715" s="136">
        <f t="shared" ca="1" si="33"/>
        <v>0</v>
      </c>
      <c r="G715" s="137" t="e">
        <f>IF(A715&lt;&gt;"",IF(AND(#REF!="Padrão",$H$4=#REF!),BDI!$B$17,IF(AND(#REF!="Padrão",$H$4=#REF!),BDI!#REF!,IF(AND(#REF!="Diferenciado",$H$4=#REF!),BDI!$E$17,IF(AND(#REF!="Diferenciado",$H$4=#REF!),BDI!#REF!,IF(#REF!="ZERO",0))))),"")</f>
        <v>#REF!</v>
      </c>
      <c r="H715" s="138" t="e">
        <f t="shared" ca="1" si="34"/>
        <v>#REF!</v>
      </c>
      <c r="I715" s="136" t="e">
        <f t="shared" ca="1" si="35"/>
        <v>#REF!</v>
      </c>
    </row>
    <row r="716" spans="1:9" hidden="1" x14ac:dyDescent="0.25">
      <c r="A716" s="114" t="s">
        <v>824</v>
      </c>
      <c r="B716" s="115" t="s">
        <v>2536</v>
      </c>
      <c r="C716" s="116" t="s">
        <v>2533</v>
      </c>
      <c r="D716" s="116">
        <v>0</v>
      </c>
      <c r="E716" s="135">
        <f ca="1">OFFSET(INDEX(Composições!A:J,MATCH(Orçamentária!A716,Composições!A:A,0),8),2,0)</f>
        <v>1959.8971504000001</v>
      </c>
      <c r="F716" s="136">
        <f t="shared" ca="1" si="33"/>
        <v>0</v>
      </c>
      <c r="G716" s="137" t="e">
        <f>IF(A716&lt;&gt;"",IF(AND(#REF!="Padrão",$H$4=#REF!),BDI!$B$17,IF(AND(#REF!="Padrão",$H$4=#REF!),BDI!#REF!,IF(AND(#REF!="Diferenciado",$H$4=#REF!),BDI!$E$17,IF(AND(#REF!="Diferenciado",$H$4=#REF!),BDI!#REF!,IF(#REF!="ZERO",0))))),"")</f>
        <v>#REF!</v>
      </c>
      <c r="H716" s="138" t="e">
        <f t="shared" ca="1" si="34"/>
        <v>#REF!</v>
      </c>
      <c r="I716" s="136" t="e">
        <f t="shared" ca="1" si="35"/>
        <v>#REF!</v>
      </c>
    </row>
    <row r="717" spans="1:9" hidden="1" x14ac:dyDescent="0.25">
      <c r="A717" s="114" t="s">
        <v>826</v>
      </c>
      <c r="B717" s="115" t="s">
        <v>2537</v>
      </c>
      <c r="C717" s="116" t="s">
        <v>2533</v>
      </c>
      <c r="D717" s="116">
        <v>0</v>
      </c>
      <c r="E717" s="135">
        <f ca="1">OFFSET(INDEX(Composições!A:J,MATCH(Orçamentária!A717,Composições!A:A,0),8),2,0)</f>
        <v>1896.0728443999997</v>
      </c>
      <c r="F717" s="136">
        <f t="shared" ca="1" si="33"/>
        <v>0</v>
      </c>
      <c r="G717" s="137" t="e">
        <f>IF(A717&lt;&gt;"",IF(AND(#REF!="Padrão",$H$4=#REF!),BDI!$B$17,IF(AND(#REF!="Padrão",$H$4=#REF!),BDI!#REF!,IF(AND(#REF!="Diferenciado",$H$4=#REF!),BDI!$E$17,IF(AND(#REF!="Diferenciado",$H$4=#REF!),BDI!#REF!,IF(#REF!="ZERO",0))))),"")</f>
        <v>#REF!</v>
      </c>
      <c r="H717" s="138" t="e">
        <f t="shared" ca="1" si="34"/>
        <v>#REF!</v>
      </c>
      <c r="I717" s="136" t="e">
        <f t="shared" ca="1" si="35"/>
        <v>#REF!</v>
      </c>
    </row>
    <row r="718" spans="1:9" hidden="1" x14ac:dyDescent="0.25">
      <c r="A718" s="114" t="s">
        <v>828</v>
      </c>
      <c r="B718" s="115" t="s">
        <v>2538</v>
      </c>
      <c r="C718" s="116" t="s">
        <v>2533</v>
      </c>
      <c r="D718" s="116">
        <v>0</v>
      </c>
      <c r="E718" s="135">
        <f ca="1">OFFSET(INDEX(Composições!A:J,MATCH(Orçamentária!A718,Composições!A:A,0),8),2,0)</f>
        <v>2366.4088839999999</v>
      </c>
      <c r="F718" s="136">
        <f t="shared" ca="1" si="33"/>
        <v>0</v>
      </c>
      <c r="G718" s="137" t="e">
        <f>IF(A718&lt;&gt;"",IF(AND(#REF!="Padrão",$H$4=#REF!),BDI!$B$17,IF(AND(#REF!="Padrão",$H$4=#REF!),BDI!#REF!,IF(AND(#REF!="Diferenciado",$H$4=#REF!),BDI!$E$17,IF(AND(#REF!="Diferenciado",$H$4=#REF!),BDI!#REF!,IF(#REF!="ZERO",0))))),"")</f>
        <v>#REF!</v>
      </c>
      <c r="H718" s="138" t="e">
        <f t="shared" ca="1" si="34"/>
        <v>#REF!</v>
      </c>
      <c r="I718" s="136" t="e">
        <f t="shared" ca="1" si="35"/>
        <v>#REF!</v>
      </c>
    </row>
    <row r="719" spans="1:9" hidden="1" x14ac:dyDescent="0.25">
      <c r="A719" s="114" t="s">
        <v>829</v>
      </c>
      <c r="B719" s="115" t="s">
        <v>2539</v>
      </c>
      <c r="C719" s="116" t="s">
        <v>2533</v>
      </c>
      <c r="D719" s="116">
        <v>0</v>
      </c>
      <c r="E719" s="135">
        <f ca="1">OFFSET(INDEX(Composições!A:J,MATCH(Orçamentária!A719,Composições!A:A,0),8),2,0)</f>
        <v>2366.4088839999999</v>
      </c>
      <c r="F719" s="136">
        <f t="shared" ca="1" si="33"/>
        <v>0</v>
      </c>
      <c r="G719" s="137" t="e">
        <f>IF(A719&lt;&gt;"",IF(AND(#REF!="Padrão",$H$4=#REF!),BDI!$B$17,IF(AND(#REF!="Padrão",$H$4=#REF!),BDI!#REF!,IF(AND(#REF!="Diferenciado",$H$4=#REF!),BDI!$E$17,IF(AND(#REF!="Diferenciado",$H$4=#REF!),BDI!#REF!,IF(#REF!="ZERO",0))))),"")</f>
        <v>#REF!</v>
      </c>
      <c r="H719" s="138" t="e">
        <f t="shared" ca="1" si="34"/>
        <v>#REF!</v>
      </c>
      <c r="I719" s="136" t="e">
        <f t="shared" ca="1" si="35"/>
        <v>#REF!</v>
      </c>
    </row>
    <row r="720" spans="1:9" hidden="1" x14ac:dyDescent="0.25">
      <c r="A720" s="114" t="s">
        <v>830</v>
      </c>
      <c r="B720" s="115" t="s">
        <v>2540</v>
      </c>
      <c r="C720" s="116" t="s">
        <v>2533</v>
      </c>
      <c r="D720" s="116">
        <v>0</v>
      </c>
      <c r="E720" s="135">
        <f ca="1">OFFSET(INDEX(Composições!A:J,MATCH(Orçamentária!A720,Composições!A:A,0),8),2,0)</f>
        <v>2334.9876872</v>
      </c>
      <c r="F720" s="136">
        <f t="shared" ca="1" si="33"/>
        <v>0</v>
      </c>
      <c r="G720" s="137" t="e">
        <f>IF(A720&lt;&gt;"",IF(AND(#REF!="Padrão",$H$4=#REF!),BDI!$B$17,IF(AND(#REF!="Padrão",$H$4=#REF!),BDI!#REF!,IF(AND(#REF!="Diferenciado",$H$4=#REF!),BDI!$E$17,IF(AND(#REF!="Diferenciado",$H$4=#REF!),BDI!#REF!,IF(#REF!="ZERO",0))))),"")</f>
        <v>#REF!</v>
      </c>
      <c r="H720" s="138" t="e">
        <f t="shared" ca="1" si="34"/>
        <v>#REF!</v>
      </c>
      <c r="I720" s="136" t="e">
        <f t="shared" ca="1" si="35"/>
        <v>#REF!</v>
      </c>
    </row>
    <row r="721" spans="1:9" hidden="1" x14ac:dyDescent="0.25">
      <c r="A721" s="114" t="s">
        <v>831</v>
      </c>
      <c r="B721" s="115" t="s">
        <v>2541</v>
      </c>
      <c r="C721" s="116" t="s">
        <v>2533</v>
      </c>
      <c r="D721" s="116">
        <v>0</v>
      </c>
      <c r="E721" s="135">
        <f ca="1">OFFSET(INDEX(Composições!A:J,MATCH(Orçamentária!A721,Composições!A:A,0),8),2,0)</f>
        <v>2809.2513763999996</v>
      </c>
      <c r="F721" s="136">
        <f t="shared" ca="1" si="33"/>
        <v>0</v>
      </c>
      <c r="G721" s="137" t="e">
        <f>IF(A721&lt;&gt;"",IF(AND(#REF!="Padrão",$H$4=#REF!),BDI!$B$17,IF(AND(#REF!="Padrão",$H$4=#REF!),BDI!#REF!,IF(AND(#REF!="Diferenciado",$H$4=#REF!),BDI!$E$17,IF(AND(#REF!="Diferenciado",$H$4=#REF!),BDI!#REF!,IF(#REF!="ZERO",0))))),"")</f>
        <v>#REF!</v>
      </c>
      <c r="H721" s="138" t="e">
        <f t="shared" ca="1" si="34"/>
        <v>#REF!</v>
      </c>
      <c r="I721" s="136" t="e">
        <f t="shared" ca="1" si="35"/>
        <v>#REF!</v>
      </c>
    </row>
    <row r="722" spans="1:9" hidden="1" x14ac:dyDescent="0.25">
      <c r="A722" s="114" t="s">
        <v>832</v>
      </c>
      <c r="B722" s="115" t="s">
        <v>2542</v>
      </c>
      <c r="C722" s="116" t="s">
        <v>2533</v>
      </c>
      <c r="D722" s="116">
        <v>0</v>
      </c>
      <c r="E722" s="135">
        <f ca="1">OFFSET(INDEX(Composições!A:J,MATCH(Orçamentária!A722,Composições!A:A,0),8),2,0)</f>
        <v>2346.7706359999997</v>
      </c>
      <c r="F722" s="136">
        <f t="shared" ca="1" si="33"/>
        <v>0</v>
      </c>
      <c r="G722" s="137" t="e">
        <f>IF(A722&lt;&gt;"",IF(AND(#REF!="Padrão",$H$4=#REF!),BDI!$B$17,IF(AND(#REF!="Padrão",$H$4=#REF!),BDI!#REF!,IF(AND(#REF!="Diferenciado",$H$4=#REF!),BDI!$E$17,IF(AND(#REF!="Diferenciado",$H$4=#REF!),BDI!#REF!,IF(#REF!="ZERO",0))))),"")</f>
        <v>#REF!</v>
      </c>
      <c r="H722" s="138" t="e">
        <f t="shared" ca="1" si="34"/>
        <v>#REF!</v>
      </c>
      <c r="I722" s="136" t="e">
        <f t="shared" ca="1" si="35"/>
        <v>#REF!</v>
      </c>
    </row>
    <row r="723" spans="1:9" hidden="1" x14ac:dyDescent="0.25">
      <c r="A723" s="114" t="s">
        <v>2543</v>
      </c>
      <c r="B723" s="115" t="s">
        <v>2544</v>
      </c>
      <c r="C723" s="116" t="s">
        <v>20</v>
      </c>
      <c r="D723" s="116">
        <v>0</v>
      </c>
      <c r="E723" s="135" t="s">
        <v>558</v>
      </c>
      <c r="F723" s="136" t="str">
        <f t="shared" si="33"/>
        <v/>
      </c>
      <c r="G723" s="137" t="e">
        <f>IF(A723&lt;&gt;"",IF(AND(#REF!="Padrão",$H$4=#REF!),BDI!$B$17,IF(AND(#REF!="Padrão",$H$4=#REF!),BDI!#REF!,IF(AND(#REF!="Diferenciado",$H$4=#REF!),BDI!$E$17,IF(AND(#REF!="Diferenciado",$H$4=#REF!),BDI!#REF!,IF(#REF!="ZERO",0))))),"")</f>
        <v>#REF!</v>
      </c>
      <c r="H723" s="138" t="str">
        <f t="shared" si="34"/>
        <v/>
      </c>
      <c r="I723" s="136" t="str">
        <f t="shared" si="35"/>
        <v/>
      </c>
    </row>
    <row r="724" spans="1:9" hidden="1" x14ac:dyDescent="0.25">
      <c r="A724" s="114" t="s">
        <v>2545</v>
      </c>
      <c r="B724" s="115" t="s">
        <v>2546</v>
      </c>
      <c r="C724" s="116" t="s">
        <v>20</v>
      </c>
      <c r="D724" s="116">
        <v>0</v>
      </c>
      <c r="E724" s="135" t="s">
        <v>558</v>
      </c>
      <c r="F724" s="136" t="str">
        <f t="shared" si="33"/>
        <v/>
      </c>
      <c r="G724" s="137" t="e">
        <f>IF(A724&lt;&gt;"",IF(AND(#REF!="Padrão",$H$4=#REF!),BDI!$B$17,IF(AND(#REF!="Padrão",$H$4=#REF!),BDI!#REF!,IF(AND(#REF!="Diferenciado",$H$4=#REF!),BDI!$E$17,IF(AND(#REF!="Diferenciado",$H$4=#REF!),BDI!#REF!,IF(#REF!="ZERO",0))))),"")</f>
        <v>#REF!</v>
      </c>
      <c r="H724" s="138" t="str">
        <f t="shared" si="34"/>
        <v/>
      </c>
      <c r="I724" s="136" t="str">
        <f t="shared" si="35"/>
        <v/>
      </c>
    </row>
    <row r="725" spans="1:9" hidden="1" x14ac:dyDescent="0.25">
      <c r="A725" s="114" t="s">
        <v>2547</v>
      </c>
      <c r="B725" s="115" t="s">
        <v>2548</v>
      </c>
      <c r="C725" s="116" t="s">
        <v>20</v>
      </c>
      <c r="D725" s="116">
        <v>0</v>
      </c>
      <c r="E725" s="135" t="s">
        <v>558</v>
      </c>
      <c r="F725" s="136" t="str">
        <f t="shared" si="33"/>
        <v/>
      </c>
      <c r="G725" s="137" t="e">
        <f>IF(A725&lt;&gt;"",IF(AND(#REF!="Padrão",$H$4=#REF!),BDI!$B$17,IF(AND(#REF!="Padrão",$H$4=#REF!),BDI!#REF!,IF(AND(#REF!="Diferenciado",$H$4=#REF!),BDI!$E$17,IF(AND(#REF!="Diferenciado",$H$4=#REF!),BDI!#REF!,IF(#REF!="ZERO",0))))),"")</f>
        <v>#REF!</v>
      </c>
      <c r="H725" s="138" t="str">
        <f t="shared" si="34"/>
        <v/>
      </c>
      <c r="I725" s="136" t="str">
        <f t="shared" si="35"/>
        <v/>
      </c>
    </row>
    <row r="726" spans="1:9" hidden="1" x14ac:dyDescent="0.25">
      <c r="A726" s="114" t="s">
        <v>2549</v>
      </c>
      <c r="B726" s="115" t="s">
        <v>3482</v>
      </c>
      <c r="C726" s="116" t="s">
        <v>20</v>
      </c>
      <c r="D726" s="116">
        <v>0</v>
      </c>
      <c r="E726" s="135" t="s">
        <v>558</v>
      </c>
      <c r="F726" s="136" t="str">
        <f t="shared" si="33"/>
        <v/>
      </c>
      <c r="G726" s="137" t="e">
        <f>IF(A726&lt;&gt;"",IF(AND(#REF!="Padrão",$H$4=#REF!),BDI!$B$17,IF(AND(#REF!="Padrão",$H$4=#REF!),BDI!#REF!,IF(AND(#REF!="Diferenciado",$H$4=#REF!),BDI!$E$17,IF(AND(#REF!="Diferenciado",$H$4=#REF!),BDI!#REF!,IF(#REF!="ZERO",0))))),"")</f>
        <v>#REF!</v>
      </c>
      <c r="H726" s="138" t="str">
        <f t="shared" si="34"/>
        <v/>
      </c>
      <c r="I726" s="136" t="str">
        <f t="shared" si="35"/>
        <v/>
      </c>
    </row>
    <row r="727" spans="1:9" hidden="1" x14ac:dyDescent="0.25">
      <c r="A727" s="114" t="s">
        <v>2550</v>
      </c>
      <c r="B727" s="115" t="s">
        <v>2551</v>
      </c>
      <c r="C727" s="116" t="s">
        <v>20</v>
      </c>
      <c r="D727" s="116">
        <v>0</v>
      </c>
      <c r="E727" s="135" t="s">
        <v>558</v>
      </c>
      <c r="F727" s="136" t="str">
        <f t="shared" si="33"/>
        <v/>
      </c>
      <c r="G727" s="137" t="e">
        <f>IF(A727&lt;&gt;"",IF(AND(#REF!="Padrão",$H$4=#REF!),BDI!$B$17,IF(AND(#REF!="Padrão",$H$4=#REF!),BDI!#REF!,IF(AND(#REF!="Diferenciado",$H$4=#REF!),BDI!$E$17,IF(AND(#REF!="Diferenciado",$H$4=#REF!),BDI!#REF!,IF(#REF!="ZERO",0))))),"")</f>
        <v>#REF!</v>
      </c>
      <c r="H727" s="138" t="str">
        <f t="shared" si="34"/>
        <v/>
      </c>
      <c r="I727" s="136" t="str">
        <f t="shared" si="35"/>
        <v/>
      </c>
    </row>
    <row r="728" spans="1:9" hidden="1" x14ac:dyDescent="0.25">
      <c r="A728" s="114" t="s">
        <v>2552</v>
      </c>
      <c r="B728" s="115" t="s">
        <v>2553</v>
      </c>
      <c r="C728" s="116" t="s">
        <v>20</v>
      </c>
      <c r="D728" s="116">
        <v>0</v>
      </c>
      <c r="E728" s="135" t="s">
        <v>558</v>
      </c>
      <c r="F728" s="136" t="str">
        <f t="shared" si="33"/>
        <v/>
      </c>
      <c r="G728" s="137" t="e">
        <f>IF(A728&lt;&gt;"",IF(AND(#REF!="Padrão",$H$4=#REF!),BDI!$B$17,IF(AND(#REF!="Padrão",$H$4=#REF!),BDI!#REF!,IF(AND(#REF!="Diferenciado",$H$4=#REF!),BDI!$E$17,IF(AND(#REF!="Diferenciado",$H$4=#REF!),BDI!#REF!,IF(#REF!="ZERO",0))))),"")</f>
        <v>#REF!</v>
      </c>
      <c r="H728" s="138" t="str">
        <f t="shared" si="34"/>
        <v/>
      </c>
      <c r="I728" s="136" t="str">
        <f t="shared" si="35"/>
        <v/>
      </c>
    </row>
    <row r="729" spans="1:9" hidden="1" x14ac:dyDescent="0.25">
      <c r="A729" s="114" t="s">
        <v>2554</v>
      </c>
      <c r="B729" s="115" t="s">
        <v>2555</v>
      </c>
      <c r="C729" s="116" t="s">
        <v>20</v>
      </c>
      <c r="D729" s="116">
        <v>0</v>
      </c>
      <c r="E729" s="135" t="s">
        <v>558</v>
      </c>
      <c r="F729" s="136" t="str">
        <f t="shared" si="33"/>
        <v/>
      </c>
      <c r="G729" s="137" t="e">
        <f>IF(A729&lt;&gt;"",IF(AND(#REF!="Padrão",$H$4=#REF!),BDI!$B$17,IF(AND(#REF!="Padrão",$H$4=#REF!),BDI!#REF!,IF(AND(#REF!="Diferenciado",$H$4=#REF!),BDI!$E$17,IF(AND(#REF!="Diferenciado",$H$4=#REF!),BDI!#REF!,IF(#REF!="ZERO",0))))),"")</f>
        <v>#REF!</v>
      </c>
      <c r="H729" s="138" t="str">
        <f t="shared" si="34"/>
        <v/>
      </c>
      <c r="I729" s="136" t="str">
        <f t="shared" si="35"/>
        <v/>
      </c>
    </row>
    <row r="730" spans="1:9" hidden="1" x14ac:dyDescent="0.25">
      <c r="A730" s="114" t="s">
        <v>2556</v>
      </c>
      <c r="B730" s="115" t="s">
        <v>6381</v>
      </c>
      <c r="C730" s="116" t="s">
        <v>20</v>
      </c>
      <c r="D730" s="116">
        <v>0</v>
      </c>
      <c r="E730" s="135" t="s">
        <v>558</v>
      </c>
      <c r="F730" s="136" t="str">
        <f t="shared" si="33"/>
        <v/>
      </c>
      <c r="G730" s="137" t="e">
        <f>IF(A730&lt;&gt;"",IF(AND(#REF!="Padrão",$H$4=#REF!),BDI!$B$17,IF(AND(#REF!="Padrão",$H$4=#REF!),BDI!#REF!,IF(AND(#REF!="Diferenciado",$H$4=#REF!),BDI!$E$17,IF(AND(#REF!="Diferenciado",$H$4=#REF!),BDI!#REF!,IF(#REF!="ZERO",0))))),"")</f>
        <v>#REF!</v>
      </c>
      <c r="H730" s="138" t="str">
        <f t="shared" si="34"/>
        <v/>
      </c>
      <c r="I730" s="136" t="str">
        <f t="shared" si="35"/>
        <v/>
      </c>
    </row>
    <row r="731" spans="1:9" hidden="1" x14ac:dyDescent="0.25">
      <c r="A731" s="114" t="s">
        <v>2557</v>
      </c>
      <c r="B731" s="115" t="s">
        <v>2558</v>
      </c>
      <c r="C731" s="116" t="s">
        <v>20</v>
      </c>
      <c r="D731" s="116">
        <v>0</v>
      </c>
      <c r="E731" s="135" t="s">
        <v>558</v>
      </c>
      <c r="F731" s="136" t="str">
        <f t="shared" si="33"/>
        <v/>
      </c>
      <c r="G731" s="137" t="e">
        <f>IF(A731&lt;&gt;"",IF(AND(#REF!="Padrão",$H$4=#REF!),BDI!$B$17,IF(AND(#REF!="Padrão",$H$4=#REF!),BDI!#REF!,IF(AND(#REF!="Diferenciado",$H$4=#REF!),BDI!$E$17,IF(AND(#REF!="Diferenciado",$H$4=#REF!),BDI!#REF!,IF(#REF!="ZERO",0))))),"")</f>
        <v>#REF!</v>
      </c>
      <c r="H731" s="138" t="str">
        <f t="shared" si="34"/>
        <v/>
      </c>
      <c r="I731" s="136" t="str">
        <f t="shared" si="35"/>
        <v/>
      </c>
    </row>
    <row r="732" spans="1:9" hidden="1" x14ac:dyDescent="0.25">
      <c r="A732" s="114" t="s">
        <v>2559</v>
      </c>
      <c r="B732" s="115" t="s">
        <v>2560</v>
      </c>
      <c r="C732" s="116" t="s">
        <v>20</v>
      </c>
      <c r="D732" s="116">
        <v>0</v>
      </c>
      <c r="E732" s="135" t="s">
        <v>558</v>
      </c>
      <c r="F732" s="136" t="str">
        <f t="shared" si="33"/>
        <v/>
      </c>
      <c r="G732" s="137" t="e">
        <f>IF(A732&lt;&gt;"",IF(AND(#REF!="Padrão",$H$4=#REF!),BDI!$B$17,IF(AND(#REF!="Padrão",$H$4=#REF!),BDI!#REF!,IF(AND(#REF!="Diferenciado",$H$4=#REF!),BDI!$E$17,IF(AND(#REF!="Diferenciado",$H$4=#REF!),BDI!#REF!,IF(#REF!="ZERO",0))))),"")</f>
        <v>#REF!</v>
      </c>
      <c r="H732" s="138" t="str">
        <f t="shared" si="34"/>
        <v/>
      </c>
      <c r="I732" s="136" t="str">
        <f t="shared" si="35"/>
        <v/>
      </c>
    </row>
    <row r="733" spans="1:9" hidden="1" x14ac:dyDescent="0.25">
      <c r="A733" s="114" t="s">
        <v>2561</v>
      </c>
      <c r="B733" s="115" t="s">
        <v>2562</v>
      </c>
      <c r="C733" s="116" t="s">
        <v>20</v>
      </c>
      <c r="D733" s="116">
        <v>0</v>
      </c>
      <c r="E733" s="135" t="s">
        <v>558</v>
      </c>
      <c r="F733" s="136" t="str">
        <f t="shared" si="33"/>
        <v/>
      </c>
      <c r="G733" s="137" t="e">
        <f>IF(A733&lt;&gt;"",IF(AND(#REF!="Padrão",$H$4=#REF!),BDI!$B$17,IF(AND(#REF!="Padrão",$H$4=#REF!),BDI!#REF!,IF(AND(#REF!="Diferenciado",$H$4=#REF!),BDI!$E$17,IF(AND(#REF!="Diferenciado",$H$4=#REF!),BDI!#REF!,IF(#REF!="ZERO",0))))),"")</f>
        <v>#REF!</v>
      </c>
      <c r="H733" s="138" t="str">
        <f t="shared" si="34"/>
        <v/>
      </c>
      <c r="I733" s="136" t="str">
        <f t="shared" si="35"/>
        <v/>
      </c>
    </row>
    <row r="734" spans="1:9" hidden="1" x14ac:dyDescent="0.25">
      <c r="A734" s="114" t="s">
        <v>2563</v>
      </c>
      <c r="B734" s="115" t="s">
        <v>2564</v>
      </c>
      <c r="C734" s="116" t="s">
        <v>20</v>
      </c>
      <c r="D734" s="116">
        <v>0</v>
      </c>
      <c r="E734" s="135" t="s">
        <v>558</v>
      </c>
      <c r="F734" s="136" t="str">
        <f t="shared" si="33"/>
        <v/>
      </c>
      <c r="G734" s="137" t="e">
        <f>IF(A734&lt;&gt;"",IF(AND(#REF!="Padrão",$H$4=#REF!),BDI!$B$17,IF(AND(#REF!="Padrão",$H$4=#REF!),BDI!#REF!,IF(AND(#REF!="Diferenciado",$H$4=#REF!),BDI!$E$17,IF(AND(#REF!="Diferenciado",$H$4=#REF!),BDI!#REF!,IF(#REF!="ZERO",0))))),"")</f>
        <v>#REF!</v>
      </c>
      <c r="H734" s="138" t="str">
        <f t="shared" si="34"/>
        <v/>
      </c>
      <c r="I734" s="136" t="str">
        <f t="shared" si="35"/>
        <v/>
      </c>
    </row>
    <row r="735" spans="1:9" hidden="1" x14ac:dyDescent="0.25">
      <c r="A735" s="114" t="s">
        <v>2565</v>
      </c>
      <c r="B735" s="115" t="s">
        <v>2566</v>
      </c>
      <c r="C735" s="116" t="s">
        <v>20</v>
      </c>
      <c r="D735" s="116">
        <v>0</v>
      </c>
      <c r="E735" s="135" t="s">
        <v>558</v>
      </c>
      <c r="F735" s="136" t="str">
        <f t="shared" si="33"/>
        <v/>
      </c>
      <c r="G735" s="137" t="e">
        <f>IF(A735&lt;&gt;"",IF(AND(#REF!="Padrão",$H$4=#REF!),BDI!$B$17,IF(AND(#REF!="Padrão",$H$4=#REF!),BDI!#REF!,IF(AND(#REF!="Diferenciado",$H$4=#REF!),BDI!$E$17,IF(AND(#REF!="Diferenciado",$H$4=#REF!),BDI!#REF!,IF(#REF!="ZERO",0))))),"")</f>
        <v>#REF!</v>
      </c>
      <c r="H735" s="138" t="str">
        <f t="shared" si="34"/>
        <v/>
      </c>
      <c r="I735" s="136" t="str">
        <f t="shared" si="35"/>
        <v/>
      </c>
    </row>
    <row r="736" spans="1:9" hidden="1" x14ac:dyDescent="0.25">
      <c r="A736" s="114" t="s">
        <v>2567</v>
      </c>
      <c r="B736" s="115" t="s">
        <v>6382</v>
      </c>
      <c r="C736" s="116" t="s">
        <v>20</v>
      </c>
      <c r="D736" s="116">
        <v>0</v>
      </c>
      <c r="E736" s="135" t="s">
        <v>558</v>
      </c>
      <c r="F736" s="136" t="str">
        <f t="shared" si="33"/>
        <v/>
      </c>
      <c r="G736" s="137" t="e">
        <f>IF(A736&lt;&gt;"",IF(AND(#REF!="Padrão",$H$4=#REF!),BDI!$B$17,IF(AND(#REF!="Padrão",$H$4=#REF!),BDI!#REF!,IF(AND(#REF!="Diferenciado",$H$4=#REF!),BDI!$E$17,IF(AND(#REF!="Diferenciado",$H$4=#REF!),BDI!#REF!,IF(#REF!="ZERO",0))))),"")</f>
        <v>#REF!</v>
      </c>
      <c r="H736" s="138" t="str">
        <f t="shared" si="34"/>
        <v/>
      </c>
      <c r="I736" s="136" t="str">
        <f t="shared" si="35"/>
        <v/>
      </c>
    </row>
    <row r="737" spans="1:9" hidden="1" x14ac:dyDescent="0.25">
      <c r="A737" s="114" t="s">
        <v>2568</v>
      </c>
      <c r="B737" s="115" t="s">
        <v>2569</v>
      </c>
      <c r="C737" s="116" t="s">
        <v>20</v>
      </c>
      <c r="D737" s="116">
        <v>0</v>
      </c>
      <c r="E737" s="135" t="s">
        <v>558</v>
      </c>
      <c r="F737" s="136" t="str">
        <f t="shared" si="33"/>
        <v/>
      </c>
      <c r="G737" s="137" t="e">
        <f>IF(A737&lt;&gt;"",IF(AND(#REF!="Padrão",$H$4=#REF!),BDI!$B$17,IF(AND(#REF!="Padrão",$H$4=#REF!),BDI!#REF!,IF(AND(#REF!="Diferenciado",$H$4=#REF!),BDI!$E$17,IF(AND(#REF!="Diferenciado",$H$4=#REF!),BDI!#REF!,IF(#REF!="ZERO",0))))),"")</f>
        <v>#REF!</v>
      </c>
      <c r="H737" s="138" t="str">
        <f t="shared" si="34"/>
        <v/>
      </c>
      <c r="I737" s="136" t="str">
        <f t="shared" si="35"/>
        <v/>
      </c>
    </row>
    <row r="738" spans="1:9" hidden="1" x14ac:dyDescent="0.25">
      <c r="A738" s="114" t="s">
        <v>2570</v>
      </c>
      <c r="B738" s="115" t="s">
        <v>2571</v>
      </c>
      <c r="C738" s="116" t="s">
        <v>20</v>
      </c>
      <c r="D738" s="116">
        <v>0</v>
      </c>
      <c r="E738" s="135" t="s">
        <v>558</v>
      </c>
      <c r="F738" s="136" t="str">
        <f t="shared" si="33"/>
        <v/>
      </c>
      <c r="G738" s="137" t="e">
        <f>IF(A738&lt;&gt;"",IF(AND(#REF!="Padrão",$H$4=#REF!),BDI!$B$17,IF(AND(#REF!="Padrão",$H$4=#REF!),BDI!#REF!,IF(AND(#REF!="Diferenciado",$H$4=#REF!),BDI!$E$17,IF(AND(#REF!="Diferenciado",$H$4=#REF!),BDI!#REF!,IF(#REF!="ZERO",0))))),"")</f>
        <v>#REF!</v>
      </c>
      <c r="H738" s="138" t="str">
        <f t="shared" si="34"/>
        <v/>
      </c>
      <c r="I738" s="136" t="str">
        <f t="shared" si="35"/>
        <v/>
      </c>
    </row>
    <row r="739" spans="1:9" hidden="1" x14ac:dyDescent="0.25">
      <c r="A739" s="114" t="s">
        <v>2572</v>
      </c>
      <c r="B739" s="115" t="s">
        <v>2573</v>
      </c>
      <c r="C739" s="116" t="s">
        <v>20</v>
      </c>
      <c r="D739" s="116">
        <v>0</v>
      </c>
      <c r="E739" s="135" t="s">
        <v>558</v>
      </c>
      <c r="F739" s="136" t="str">
        <f t="shared" si="33"/>
        <v/>
      </c>
      <c r="G739" s="137" t="e">
        <f>IF(A739&lt;&gt;"",IF(AND(#REF!="Padrão",$H$4=#REF!),BDI!$B$17,IF(AND(#REF!="Padrão",$H$4=#REF!),BDI!#REF!,IF(AND(#REF!="Diferenciado",$H$4=#REF!),BDI!$E$17,IF(AND(#REF!="Diferenciado",$H$4=#REF!),BDI!#REF!,IF(#REF!="ZERO",0))))),"")</f>
        <v>#REF!</v>
      </c>
      <c r="H739" s="138" t="str">
        <f t="shared" si="34"/>
        <v/>
      </c>
      <c r="I739" s="136" t="str">
        <f t="shared" si="35"/>
        <v/>
      </c>
    </row>
    <row r="740" spans="1:9" hidden="1" x14ac:dyDescent="0.25">
      <c r="A740" s="114" t="s">
        <v>2574</v>
      </c>
      <c r="B740" s="115" t="s">
        <v>6449</v>
      </c>
      <c r="C740" s="116" t="s">
        <v>20</v>
      </c>
      <c r="D740" s="116">
        <v>0</v>
      </c>
      <c r="E740" s="135" t="s">
        <v>558</v>
      </c>
      <c r="F740" s="136" t="str">
        <f t="shared" si="33"/>
        <v/>
      </c>
      <c r="G740" s="137" t="e">
        <f>IF(A740&lt;&gt;"",IF(AND(#REF!="Padrão",$H$4=#REF!),BDI!$B$17,IF(AND(#REF!="Padrão",$H$4=#REF!),BDI!#REF!,IF(AND(#REF!="Diferenciado",$H$4=#REF!),BDI!$E$17,IF(AND(#REF!="Diferenciado",$H$4=#REF!),BDI!#REF!,IF(#REF!="ZERO",0))))),"")</f>
        <v>#REF!</v>
      </c>
      <c r="H740" s="138" t="str">
        <f t="shared" si="34"/>
        <v/>
      </c>
      <c r="I740" s="136" t="str">
        <f t="shared" si="35"/>
        <v/>
      </c>
    </row>
    <row r="741" spans="1:9" hidden="1" x14ac:dyDescent="0.25">
      <c r="A741" s="114" t="s">
        <v>2575</v>
      </c>
      <c r="B741" s="115" t="s">
        <v>2576</v>
      </c>
      <c r="C741" s="116" t="s">
        <v>20</v>
      </c>
      <c r="D741" s="116">
        <v>0</v>
      </c>
      <c r="E741" s="135" t="s">
        <v>558</v>
      </c>
      <c r="F741" s="136" t="str">
        <f t="shared" si="33"/>
        <v/>
      </c>
      <c r="G741" s="137" t="e">
        <f>IF(A741&lt;&gt;"",IF(AND(#REF!="Padrão",$H$4=#REF!),BDI!$B$17,IF(AND(#REF!="Padrão",$H$4=#REF!),BDI!#REF!,IF(AND(#REF!="Diferenciado",$H$4=#REF!),BDI!$E$17,IF(AND(#REF!="Diferenciado",$H$4=#REF!),BDI!#REF!,IF(#REF!="ZERO",0))))),"")</f>
        <v>#REF!</v>
      </c>
      <c r="H741" s="138" t="str">
        <f t="shared" si="34"/>
        <v/>
      </c>
      <c r="I741" s="136" t="str">
        <f t="shared" si="35"/>
        <v/>
      </c>
    </row>
    <row r="742" spans="1:9" hidden="1" x14ac:dyDescent="0.25">
      <c r="A742" s="114" t="s">
        <v>2577</v>
      </c>
      <c r="B742" s="115" t="s">
        <v>2578</v>
      </c>
      <c r="C742" s="116" t="s">
        <v>20</v>
      </c>
      <c r="D742" s="116">
        <v>0</v>
      </c>
      <c r="E742" s="135" t="s">
        <v>558</v>
      </c>
      <c r="F742" s="136" t="str">
        <f t="shared" si="33"/>
        <v/>
      </c>
      <c r="G742" s="137" t="e">
        <f>IF(A742&lt;&gt;"",IF(AND(#REF!="Padrão",$H$4=#REF!),BDI!$B$17,IF(AND(#REF!="Padrão",$H$4=#REF!),BDI!#REF!,IF(AND(#REF!="Diferenciado",$H$4=#REF!),BDI!$E$17,IF(AND(#REF!="Diferenciado",$H$4=#REF!),BDI!#REF!,IF(#REF!="ZERO",0))))),"")</f>
        <v>#REF!</v>
      </c>
      <c r="H742" s="138" t="str">
        <f t="shared" si="34"/>
        <v/>
      </c>
      <c r="I742" s="136" t="str">
        <f t="shared" si="35"/>
        <v/>
      </c>
    </row>
    <row r="743" spans="1:9" hidden="1" x14ac:dyDescent="0.25">
      <c r="A743" s="114" t="s">
        <v>2579</v>
      </c>
      <c r="B743" s="115" t="s">
        <v>6383</v>
      </c>
      <c r="C743" s="116" t="s">
        <v>20</v>
      </c>
      <c r="D743" s="116">
        <v>0</v>
      </c>
      <c r="E743" s="135" t="s">
        <v>558</v>
      </c>
      <c r="F743" s="136" t="str">
        <f t="shared" si="33"/>
        <v/>
      </c>
      <c r="G743" s="137" t="e">
        <f>IF(A743&lt;&gt;"",IF(AND(#REF!="Padrão",$H$4=#REF!),BDI!$B$17,IF(AND(#REF!="Padrão",$H$4=#REF!),BDI!#REF!,IF(AND(#REF!="Diferenciado",$H$4=#REF!),BDI!$E$17,IF(AND(#REF!="Diferenciado",$H$4=#REF!),BDI!#REF!,IF(#REF!="ZERO",0))))),"")</f>
        <v>#REF!</v>
      </c>
      <c r="H743" s="138" t="str">
        <f t="shared" si="34"/>
        <v/>
      </c>
      <c r="I743" s="136" t="str">
        <f t="shared" si="35"/>
        <v/>
      </c>
    </row>
    <row r="744" spans="1:9" hidden="1" x14ac:dyDescent="0.25">
      <c r="A744" s="114" t="s">
        <v>2580</v>
      </c>
      <c r="B744" s="115" t="s">
        <v>2581</v>
      </c>
      <c r="C744" s="116" t="s">
        <v>20</v>
      </c>
      <c r="D744" s="116">
        <v>0</v>
      </c>
      <c r="E744" s="135" t="s">
        <v>558</v>
      </c>
      <c r="F744" s="136" t="str">
        <f t="shared" si="33"/>
        <v/>
      </c>
      <c r="G744" s="137" t="e">
        <f>IF(A744&lt;&gt;"",IF(AND(#REF!="Padrão",$H$4=#REF!),BDI!$B$17,IF(AND(#REF!="Padrão",$H$4=#REF!),BDI!#REF!,IF(AND(#REF!="Diferenciado",$H$4=#REF!),BDI!$E$17,IF(AND(#REF!="Diferenciado",$H$4=#REF!),BDI!#REF!,IF(#REF!="ZERO",0))))),"")</f>
        <v>#REF!</v>
      </c>
      <c r="H744" s="138" t="str">
        <f t="shared" si="34"/>
        <v/>
      </c>
      <c r="I744" s="136" t="str">
        <f t="shared" si="35"/>
        <v/>
      </c>
    </row>
    <row r="745" spans="1:9" hidden="1" x14ac:dyDescent="0.25">
      <c r="A745" s="114" t="s">
        <v>2582</v>
      </c>
      <c r="B745" s="115" t="s">
        <v>2583</v>
      </c>
      <c r="C745" s="116" t="s">
        <v>20</v>
      </c>
      <c r="D745" s="116">
        <v>0</v>
      </c>
      <c r="E745" s="135" t="s">
        <v>558</v>
      </c>
      <c r="F745" s="136" t="str">
        <f t="shared" si="33"/>
        <v/>
      </c>
      <c r="G745" s="137" t="e">
        <f>IF(A745&lt;&gt;"",IF(AND(#REF!="Padrão",$H$4=#REF!),BDI!$B$17,IF(AND(#REF!="Padrão",$H$4=#REF!),BDI!#REF!,IF(AND(#REF!="Diferenciado",$H$4=#REF!),BDI!$E$17,IF(AND(#REF!="Diferenciado",$H$4=#REF!),BDI!#REF!,IF(#REF!="ZERO",0))))),"")</f>
        <v>#REF!</v>
      </c>
      <c r="H745" s="138" t="str">
        <f t="shared" si="34"/>
        <v/>
      </c>
      <c r="I745" s="136" t="str">
        <f t="shared" si="35"/>
        <v/>
      </c>
    </row>
    <row r="746" spans="1:9" hidden="1" x14ac:dyDescent="0.25">
      <c r="A746" s="114" t="s">
        <v>2584</v>
      </c>
      <c r="B746" s="115" t="s">
        <v>2585</v>
      </c>
      <c r="C746" s="116" t="s">
        <v>20</v>
      </c>
      <c r="D746" s="116">
        <v>0</v>
      </c>
      <c r="E746" s="135" t="s">
        <v>558</v>
      </c>
      <c r="F746" s="136" t="str">
        <f t="shared" si="33"/>
        <v/>
      </c>
      <c r="G746" s="137" t="e">
        <f>IF(A746&lt;&gt;"",IF(AND(#REF!="Padrão",$H$4=#REF!),BDI!$B$17,IF(AND(#REF!="Padrão",$H$4=#REF!),BDI!#REF!,IF(AND(#REF!="Diferenciado",$H$4=#REF!),BDI!$E$17,IF(AND(#REF!="Diferenciado",$H$4=#REF!),BDI!#REF!,IF(#REF!="ZERO",0))))),"")</f>
        <v>#REF!</v>
      </c>
      <c r="H746" s="138" t="str">
        <f t="shared" si="34"/>
        <v/>
      </c>
      <c r="I746" s="136" t="str">
        <f t="shared" si="35"/>
        <v/>
      </c>
    </row>
    <row r="747" spans="1:9" hidden="1" x14ac:dyDescent="0.25">
      <c r="A747" s="114" t="s">
        <v>2586</v>
      </c>
      <c r="B747" s="115" t="s">
        <v>2587</v>
      </c>
      <c r="C747" s="116" t="s">
        <v>20</v>
      </c>
      <c r="D747" s="116">
        <v>0</v>
      </c>
      <c r="E747" s="135" t="s">
        <v>558</v>
      </c>
      <c r="F747" s="136" t="str">
        <f t="shared" si="33"/>
        <v/>
      </c>
      <c r="G747" s="137" t="e">
        <f>IF(A747&lt;&gt;"",IF(AND(#REF!="Padrão",$H$4=#REF!),BDI!$B$17,IF(AND(#REF!="Padrão",$H$4=#REF!),BDI!#REF!,IF(AND(#REF!="Diferenciado",$H$4=#REF!),BDI!$E$17,IF(AND(#REF!="Diferenciado",$H$4=#REF!),BDI!#REF!,IF(#REF!="ZERO",0))))),"")</f>
        <v>#REF!</v>
      </c>
      <c r="H747" s="138" t="str">
        <f t="shared" si="34"/>
        <v/>
      </c>
      <c r="I747" s="136" t="str">
        <f t="shared" si="35"/>
        <v/>
      </c>
    </row>
    <row r="748" spans="1:9" hidden="1" x14ac:dyDescent="0.25">
      <c r="A748" s="114" t="s">
        <v>2588</v>
      </c>
      <c r="B748" s="115" t="s">
        <v>2589</v>
      </c>
      <c r="C748" s="116" t="s">
        <v>20</v>
      </c>
      <c r="D748" s="116">
        <v>0</v>
      </c>
      <c r="E748" s="135" t="s">
        <v>558</v>
      </c>
      <c r="F748" s="136" t="str">
        <f t="shared" si="33"/>
        <v/>
      </c>
      <c r="G748" s="137" t="e">
        <f>IF(A748&lt;&gt;"",IF(AND(#REF!="Padrão",$H$4=#REF!),BDI!$B$17,IF(AND(#REF!="Padrão",$H$4=#REF!),BDI!#REF!,IF(AND(#REF!="Diferenciado",$H$4=#REF!),BDI!$E$17,IF(AND(#REF!="Diferenciado",$H$4=#REF!),BDI!#REF!,IF(#REF!="ZERO",0))))),"")</f>
        <v>#REF!</v>
      </c>
      <c r="H748" s="138" t="str">
        <f t="shared" si="34"/>
        <v/>
      </c>
      <c r="I748" s="136" t="str">
        <f t="shared" si="35"/>
        <v/>
      </c>
    </row>
    <row r="749" spans="1:9" hidden="1" x14ac:dyDescent="0.25">
      <c r="A749" s="114" t="s">
        <v>2590</v>
      </c>
      <c r="B749" s="115" t="s">
        <v>2591</v>
      </c>
      <c r="C749" s="116" t="s">
        <v>20</v>
      </c>
      <c r="D749" s="116">
        <v>0</v>
      </c>
      <c r="E749" s="135" t="s">
        <v>558</v>
      </c>
      <c r="F749" s="136" t="str">
        <f t="shared" si="33"/>
        <v/>
      </c>
      <c r="G749" s="137" t="e">
        <f>IF(A749&lt;&gt;"",IF(AND(#REF!="Padrão",$H$4=#REF!),BDI!$B$17,IF(AND(#REF!="Padrão",$H$4=#REF!),BDI!#REF!,IF(AND(#REF!="Diferenciado",$H$4=#REF!),BDI!$E$17,IF(AND(#REF!="Diferenciado",$H$4=#REF!),BDI!#REF!,IF(#REF!="ZERO",0))))),"")</f>
        <v>#REF!</v>
      </c>
      <c r="H749" s="138" t="str">
        <f t="shared" si="34"/>
        <v/>
      </c>
      <c r="I749" s="136" t="str">
        <f t="shared" si="35"/>
        <v/>
      </c>
    </row>
    <row r="750" spans="1:9" hidden="1" x14ac:dyDescent="0.25">
      <c r="A750" s="114" t="s">
        <v>2592</v>
      </c>
      <c r="B750" s="115" t="s">
        <v>2593</v>
      </c>
      <c r="C750" s="116" t="s">
        <v>20</v>
      </c>
      <c r="D750" s="116">
        <v>0</v>
      </c>
      <c r="E750" s="135" t="s">
        <v>558</v>
      </c>
      <c r="F750" s="136" t="str">
        <f t="shared" si="33"/>
        <v/>
      </c>
      <c r="G750" s="137" t="e">
        <f>IF(A750&lt;&gt;"",IF(AND(#REF!="Padrão",$H$4=#REF!),BDI!$B$17,IF(AND(#REF!="Padrão",$H$4=#REF!),BDI!#REF!,IF(AND(#REF!="Diferenciado",$H$4=#REF!),BDI!$E$17,IF(AND(#REF!="Diferenciado",$H$4=#REF!),BDI!#REF!,IF(#REF!="ZERO",0))))),"")</f>
        <v>#REF!</v>
      </c>
      <c r="H750" s="138" t="str">
        <f t="shared" si="34"/>
        <v/>
      </c>
      <c r="I750" s="136" t="str">
        <f t="shared" si="35"/>
        <v/>
      </c>
    </row>
    <row r="751" spans="1:9" hidden="1" x14ac:dyDescent="0.25">
      <c r="A751" s="114" t="s">
        <v>2594</v>
      </c>
      <c r="B751" s="115" t="s">
        <v>6384</v>
      </c>
      <c r="C751" s="116" t="s">
        <v>20</v>
      </c>
      <c r="D751" s="116">
        <v>0</v>
      </c>
      <c r="E751" s="135" t="s">
        <v>558</v>
      </c>
      <c r="F751" s="136" t="str">
        <f t="shared" si="33"/>
        <v/>
      </c>
      <c r="G751" s="137" t="e">
        <f>IF(A751&lt;&gt;"",IF(AND(#REF!="Padrão",$H$4=#REF!),BDI!$B$17,IF(AND(#REF!="Padrão",$H$4=#REF!),BDI!#REF!,IF(AND(#REF!="Diferenciado",$H$4=#REF!),BDI!$E$17,IF(AND(#REF!="Diferenciado",$H$4=#REF!),BDI!#REF!,IF(#REF!="ZERO",0))))),"")</f>
        <v>#REF!</v>
      </c>
      <c r="H751" s="138" t="str">
        <f t="shared" si="34"/>
        <v/>
      </c>
      <c r="I751" s="136" t="str">
        <f t="shared" si="35"/>
        <v/>
      </c>
    </row>
    <row r="752" spans="1:9" hidden="1" x14ac:dyDescent="0.25">
      <c r="A752" s="114" t="s">
        <v>2595</v>
      </c>
      <c r="B752" s="115" t="s">
        <v>2596</v>
      </c>
      <c r="C752" s="116" t="s">
        <v>20</v>
      </c>
      <c r="D752" s="116">
        <v>0</v>
      </c>
      <c r="E752" s="135" t="s">
        <v>558</v>
      </c>
      <c r="F752" s="136" t="str">
        <f t="shared" si="33"/>
        <v/>
      </c>
      <c r="G752" s="137" t="e">
        <f>IF(A752&lt;&gt;"",IF(AND(#REF!="Padrão",$H$4=#REF!),BDI!$B$17,IF(AND(#REF!="Padrão",$H$4=#REF!),BDI!#REF!,IF(AND(#REF!="Diferenciado",$H$4=#REF!),BDI!$E$17,IF(AND(#REF!="Diferenciado",$H$4=#REF!),BDI!#REF!,IF(#REF!="ZERO",0))))),"")</f>
        <v>#REF!</v>
      </c>
      <c r="H752" s="138" t="str">
        <f t="shared" si="34"/>
        <v/>
      </c>
      <c r="I752" s="136" t="str">
        <f t="shared" si="35"/>
        <v/>
      </c>
    </row>
    <row r="753" spans="1:9" hidden="1" x14ac:dyDescent="0.25">
      <c r="A753" s="114" t="s">
        <v>2597</v>
      </c>
      <c r="B753" s="115" t="s">
        <v>2598</v>
      </c>
      <c r="C753" s="116" t="s">
        <v>20</v>
      </c>
      <c r="D753" s="116">
        <v>0</v>
      </c>
      <c r="E753" s="135" t="s">
        <v>558</v>
      </c>
      <c r="F753" s="136" t="str">
        <f t="shared" si="33"/>
        <v/>
      </c>
      <c r="G753" s="137" t="e">
        <f>IF(A753&lt;&gt;"",IF(AND(#REF!="Padrão",$H$4=#REF!),BDI!$B$17,IF(AND(#REF!="Padrão",$H$4=#REF!),BDI!#REF!,IF(AND(#REF!="Diferenciado",$H$4=#REF!),BDI!$E$17,IF(AND(#REF!="Diferenciado",$H$4=#REF!),BDI!#REF!,IF(#REF!="ZERO",0))))),"")</f>
        <v>#REF!</v>
      </c>
      <c r="H753" s="138" t="str">
        <f t="shared" si="34"/>
        <v/>
      </c>
      <c r="I753" s="136" t="str">
        <f t="shared" si="35"/>
        <v/>
      </c>
    </row>
    <row r="754" spans="1:9" hidden="1" x14ac:dyDescent="0.25">
      <c r="A754" s="114" t="s">
        <v>2599</v>
      </c>
      <c r="B754" s="115" t="s">
        <v>2600</v>
      </c>
      <c r="C754" s="116" t="s">
        <v>20</v>
      </c>
      <c r="D754" s="116">
        <v>0</v>
      </c>
      <c r="E754" s="135" t="s">
        <v>558</v>
      </c>
      <c r="F754" s="136" t="str">
        <f t="shared" si="33"/>
        <v/>
      </c>
      <c r="G754" s="137" t="e">
        <f>IF(A754&lt;&gt;"",IF(AND(#REF!="Padrão",$H$4=#REF!),BDI!$B$17,IF(AND(#REF!="Padrão",$H$4=#REF!),BDI!#REF!,IF(AND(#REF!="Diferenciado",$H$4=#REF!),BDI!$E$17,IF(AND(#REF!="Diferenciado",$H$4=#REF!),BDI!#REF!,IF(#REF!="ZERO",0))))),"")</f>
        <v>#REF!</v>
      </c>
      <c r="H754" s="138" t="str">
        <f t="shared" si="34"/>
        <v/>
      </c>
      <c r="I754" s="136" t="str">
        <f t="shared" si="35"/>
        <v/>
      </c>
    </row>
    <row r="755" spans="1:9" hidden="1" x14ac:dyDescent="0.25">
      <c r="A755" s="114" t="s">
        <v>2601</v>
      </c>
      <c r="B755" s="115" t="s">
        <v>2602</v>
      </c>
      <c r="C755" s="116" t="s">
        <v>20</v>
      </c>
      <c r="D755" s="116">
        <v>0</v>
      </c>
      <c r="E755" s="135" t="s">
        <v>558</v>
      </c>
      <c r="F755" s="136" t="str">
        <f t="shared" si="33"/>
        <v/>
      </c>
      <c r="G755" s="137" t="e">
        <f>IF(A755&lt;&gt;"",IF(AND(#REF!="Padrão",$H$4=#REF!),BDI!$B$17,IF(AND(#REF!="Padrão",$H$4=#REF!),BDI!#REF!,IF(AND(#REF!="Diferenciado",$H$4=#REF!),BDI!$E$17,IF(AND(#REF!="Diferenciado",$H$4=#REF!),BDI!#REF!,IF(#REF!="ZERO",0))))),"")</f>
        <v>#REF!</v>
      </c>
      <c r="H755" s="138" t="str">
        <f t="shared" si="34"/>
        <v/>
      </c>
      <c r="I755" s="136" t="str">
        <f t="shared" si="35"/>
        <v/>
      </c>
    </row>
    <row r="756" spans="1:9" hidden="1" x14ac:dyDescent="0.25">
      <c r="A756" s="114" t="s">
        <v>2603</v>
      </c>
      <c r="B756" s="115" t="s">
        <v>2604</v>
      </c>
      <c r="C756" s="116" t="s">
        <v>20</v>
      </c>
      <c r="D756" s="116">
        <v>0</v>
      </c>
      <c r="E756" s="135" t="s">
        <v>558</v>
      </c>
      <c r="F756" s="136" t="str">
        <f t="shared" si="33"/>
        <v/>
      </c>
      <c r="G756" s="137" t="e">
        <f>IF(A756&lt;&gt;"",IF(AND(#REF!="Padrão",$H$4=#REF!),BDI!$B$17,IF(AND(#REF!="Padrão",$H$4=#REF!),BDI!#REF!,IF(AND(#REF!="Diferenciado",$H$4=#REF!),BDI!$E$17,IF(AND(#REF!="Diferenciado",$H$4=#REF!),BDI!#REF!,IF(#REF!="ZERO",0))))),"")</f>
        <v>#REF!</v>
      </c>
      <c r="H756" s="138" t="str">
        <f t="shared" si="34"/>
        <v/>
      </c>
      <c r="I756" s="136" t="str">
        <f t="shared" si="35"/>
        <v/>
      </c>
    </row>
    <row r="757" spans="1:9" hidden="1" x14ac:dyDescent="0.25">
      <c r="A757" s="114" t="s">
        <v>2605</v>
      </c>
      <c r="B757" s="115" t="s">
        <v>2606</v>
      </c>
      <c r="C757" s="116" t="s">
        <v>20</v>
      </c>
      <c r="D757" s="116">
        <v>0</v>
      </c>
      <c r="E757" s="135" t="s">
        <v>558</v>
      </c>
      <c r="F757" s="136" t="str">
        <f t="shared" si="33"/>
        <v/>
      </c>
      <c r="G757" s="137" t="e">
        <f>IF(A757&lt;&gt;"",IF(AND(#REF!="Padrão",$H$4=#REF!),BDI!$B$17,IF(AND(#REF!="Padrão",$H$4=#REF!),BDI!#REF!,IF(AND(#REF!="Diferenciado",$H$4=#REF!),BDI!$E$17,IF(AND(#REF!="Diferenciado",$H$4=#REF!),BDI!#REF!,IF(#REF!="ZERO",0))))),"")</f>
        <v>#REF!</v>
      </c>
      <c r="H757" s="138" t="str">
        <f t="shared" si="34"/>
        <v/>
      </c>
      <c r="I757" s="136" t="str">
        <f t="shared" si="35"/>
        <v/>
      </c>
    </row>
    <row r="758" spans="1:9" hidden="1" x14ac:dyDescent="0.25">
      <c r="A758" s="114" t="s">
        <v>2607</v>
      </c>
      <c r="B758" s="115" t="s">
        <v>2608</v>
      </c>
      <c r="C758" s="116" t="s">
        <v>20</v>
      </c>
      <c r="D758" s="116">
        <v>0</v>
      </c>
      <c r="E758" s="135" t="s">
        <v>558</v>
      </c>
      <c r="F758" s="136" t="str">
        <f t="shared" si="33"/>
        <v/>
      </c>
      <c r="G758" s="137" t="e">
        <f>IF(A758&lt;&gt;"",IF(AND(#REF!="Padrão",$H$4=#REF!),BDI!$B$17,IF(AND(#REF!="Padrão",$H$4=#REF!),BDI!#REF!,IF(AND(#REF!="Diferenciado",$H$4=#REF!),BDI!$E$17,IF(AND(#REF!="Diferenciado",$H$4=#REF!),BDI!#REF!,IF(#REF!="ZERO",0))))),"")</f>
        <v>#REF!</v>
      </c>
      <c r="H758" s="138" t="str">
        <f t="shared" si="34"/>
        <v/>
      </c>
      <c r="I758" s="136" t="str">
        <f t="shared" si="35"/>
        <v/>
      </c>
    </row>
    <row r="759" spans="1:9" hidden="1" x14ac:dyDescent="0.25">
      <c r="A759" s="114" t="s">
        <v>2609</v>
      </c>
      <c r="B759" s="115" t="s">
        <v>2610</v>
      </c>
      <c r="C759" s="116" t="s">
        <v>20</v>
      </c>
      <c r="D759" s="116">
        <v>0</v>
      </c>
      <c r="E759" s="135" t="s">
        <v>558</v>
      </c>
      <c r="F759" s="136" t="str">
        <f t="shared" si="33"/>
        <v/>
      </c>
      <c r="G759" s="137" t="e">
        <f>IF(A759&lt;&gt;"",IF(AND(#REF!="Padrão",$H$4=#REF!),BDI!$B$17,IF(AND(#REF!="Padrão",$H$4=#REF!),BDI!#REF!,IF(AND(#REF!="Diferenciado",$H$4=#REF!),BDI!$E$17,IF(AND(#REF!="Diferenciado",$H$4=#REF!),BDI!#REF!,IF(#REF!="ZERO",0))))),"")</f>
        <v>#REF!</v>
      </c>
      <c r="H759" s="138" t="str">
        <f t="shared" si="34"/>
        <v/>
      </c>
      <c r="I759" s="136" t="str">
        <f t="shared" si="35"/>
        <v/>
      </c>
    </row>
    <row r="760" spans="1:9" hidden="1" x14ac:dyDescent="0.25">
      <c r="A760" s="114" t="s">
        <v>2611</v>
      </c>
      <c r="B760" s="115" t="s">
        <v>2612</v>
      </c>
      <c r="C760" s="116" t="s">
        <v>20</v>
      </c>
      <c r="D760" s="116">
        <v>0</v>
      </c>
      <c r="E760" s="135" t="s">
        <v>558</v>
      </c>
      <c r="F760" s="136" t="str">
        <f t="shared" si="33"/>
        <v/>
      </c>
      <c r="G760" s="137" t="e">
        <f>IF(A760&lt;&gt;"",IF(AND(#REF!="Padrão",$H$4=#REF!),BDI!$B$17,IF(AND(#REF!="Padrão",$H$4=#REF!),BDI!#REF!,IF(AND(#REF!="Diferenciado",$H$4=#REF!),BDI!$E$17,IF(AND(#REF!="Diferenciado",$H$4=#REF!),BDI!#REF!,IF(#REF!="ZERO",0))))),"")</f>
        <v>#REF!</v>
      </c>
      <c r="H760" s="138" t="str">
        <f t="shared" si="34"/>
        <v/>
      </c>
      <c r="I760" s="136" t="str">
        <f t="shared" si="35"/>
        <v/>
      </c>
    </row>
    <row r="761" spans="1:9" hidden="1" x14ac:dyDescent="0.25">
      <c r="A761" s="114" t="s">
        <v>2613</v>
      </c>
      <c r="B761" s="115" t="s">
        <v>2614</v>
      </c>
      <c r="C761" s="116" t="s">
        <v>20</v>
      </c>
      <c r="D761" s="116">
        <v>0</v>
      </c>
      <c r="E761" s="135" t="s">
        <v>558</v>
      </c>
      <c r="F761" s="136" t="str">
        <f t="shared" si="33"/>
        <v/>
      </c>
      <c r="G761" s="137" t="e">
        <f>IF(A761&lt;&gt;"",IF(AND(#REF!="Padrão",$H$4=#REF!),BDI!$B$17,IF(AND(#REF!="Padrão",$H$4=#REF!),BDI!#REF!,IF(AND(#REF!="Diferenciado",$H$4=#REF!),BDI!$E$17,IF(AND(#REF!="Diferenciado",$H$4=#REF!),BDI!#REF!,IF(#REF!="ZERO",0))))),"")</f>
        <v>#REF!</v>
      </c>
      <c r="H761" s="138" t="str">
        <f t="shared" si="34"/>
        <v/>
      </c>
      <c r="I761" s="136" t="str">
        <f t="shared" si="35"/>
        <v/>
      </c>
    </row>
    <row r="762" spans="1:9" hidden="1" x14ac:dyDescent="0.25">
      <c r="A762" s="114" t="s">
        <v>2615</v>
      </c>
      <c r="B762" s="115" t="s">
        <v>2616</v>
      </c>
      <c r="C762" s="116" t="s">
        <v>20</v>
      </c>
      <c r="D762" s="116">
        <v>0</v>
      </c>
      <c r="E762" s="135" t="s">
        <v>558</v>
      </c>
      <c r="F762" s="136" t="str">
        <f t="shared" si="33"/>
        <v/>
      </c>
      <c r="G762" s="137" t="e">
        <f>IF(A762&lt;&gt;"",IF(AND(#REF!="Padrão",$H$4=#REF!),BDI!$B$17,IF(AND(#REF!="Padrão",$H$4=#REF!),BDI!#REF!,IF(AND(#REF!="Diferenciado",$H$4=#REF!),BDI!$E$17,IF(AND(#REF!="Diferenciado",$H$4=#REF!),BDI!#REF!,IF(#REF!="ZERO",0))))),"")</f>
        <v>#REF!</v>
      </c>
      <c r="H762" s="138" t="str">
        <f t="shared" si="34"/>
        <v/>
      </c>
      <c r="I762" s="136" t="str">
        <f t="shared" si="35"/>
        <v/>
      </c>
    </row>
    <row r="763" spans="1:9" hidden="1" x14ac:dyDescent="0.25">
      <c r="A763" s="114" t="s">
        <v>2617</v>
      </c>
      <c r="B763" s="115" t="s">
        <v>2618</v>
      </c>
      <c r="C763" s="116" t="s">
        <v>20</v>
      </c>
      <c r="D763" s="116">
        <v>0</v>
      </c>
      <c r="E763" s="135" t="s">
        <v>558</v>
      </c>
      <c r="F763" s="136" t="str">
        <f t="shared" si="33"/>
        <v/>
      </c>
      <c r="G763" s="137" t="e">
        <f>IF(A763&lt;&gt;"",IF(AND(#REF!="Padrão",$H$4=#REF!),BDI!$B$17,IF(AND(#REF!="Padrão",$H$4=#REF!),BDI!#REF!,IF(AND(#REF!="Diferenciado",$H$4=#REF!),BDI!$E$17,IF(AND(#REF!="Diferenciado",$H$4=#REF!),BDI!#REF!,IF(#REF!="ZERO",0))))),"")</f>
        <v>#REF!</v>
      </c>
      <c r="H763" s="138" t="str">
        <f t="shared" si="34"/>
        <v/>
      </c>
      <c r="I763" s="136" t="str">
        <f t="shared" si="35"/>
        <v/>
      </c>
    </row>
    <row r="764" spans="1:9" hidden="1" x14ac:dyDescent="0.25">
      <c r="A764" s="114" t="s">
        <v>2619</v>
      </c>
      <c r="B764" s="115" t="s">
        <v>2620</v>
      </c>
      <c r="C764" s="116" t="s">
        <v>20</v>
      </c>
      <c r="D764" s="116">
        <v>0</v>
      </c>
      <c r="E764" s="135" t="s">
        <v>558</v>
      </c>
      <c r="F764" s="136" t="str">
        <f t="shared" si="33"/>
        <v/>
      </c>
      <c r="G764" s="137" t="e">
        <f>IF(A764&lt;&gt;"",IF(AND(#REF!="Padrão",$H$4=#REF!),BDI!$B$17,IF(AND(#REF!="Padrão",$H$4=#REF!),BDI!#REF!,IF(AND(#REF!="Diferenciado",$H$4=#REF!),BDI!$E$17,IF(AND(#REF!="Diferenciado",$H$4=#REF!),BDI!#REF!,IF(#REF!="ZERO",0))))),"")</f>
        <v>#REF!</v>
      </c>
      <c r="H764" s="138" t="str">
        <f t="shared" si="34"/>
        <v/>
      </c>
      <c r="I764" s="136" t="str">
        <f t="shared" si="35"/>
        <v/>
      </c>
    </row>
    <row r="765" spans="1:9" hidden="1" x14ac:dyDescent="0.25">
      <c r="A765" s="114" t="s">
        <v>2621</v>
      </c>
      <c r="B765" s="115" t="s">
        <v>6385</v>
      </c>
      <c r="C765" s="116" t="s">
        <v>20</v>
      </c>
      <c r="D765" s="116">
        <v>0</v>
      </c>
      <c r="E765" s="135" t="s">
        <v>558</v>
      </c>
      <c r="F765" s="136" t="str">
        <f t="shared" si="33"/>
        <v/>
      </c>
      <c r="G765" s="137" t="e">
        <f>IF(A765&lt;&gt;"",IF(AND(#REF!="Padrão",$H$4=#REF!),BDI!$B$17,IF(AND(#REF!="Padrão",$H$4=#REF!),BDI!#REF!,IF(AND(#REF!="Diferenciado",$H$4=#REF!),BDI!$E$17,IF(AND(#REF!="Diferenciado",$H$4=#REF!),BDI!#REF!,IF(#REF!="ZERO",0))))),"")</f>
        <v>#REF!</v>
      </c>
      <c r="H765" s="138" t="str">
        <f t="shared" si="34"/>
        <v/>
      </c>
      <c r="I765" s="136" t="str">
        <f t="shared" si="35"/>
        <v/>
      </c>
    </row>
    <row r="766" spans="1:9" hidden="1" x14ac:dyDescent="0.25">
      <c r="A766" s="114" t="s">
        <v>2622</v>
      </c>
      <c r="B766" s="115" t="s">
        <v>2623</v>
      </c>
      <c r="C766" s="116" t="s">
        <v>20</v>
      </c>
      <c r="D766" s="116">
        <v>0</v>
      </c>
      <c r="E766" s="135" t="s">
        <v>558</v>
      </c>
      <c r="F766" s="136" t="str">
        <f t="shared" si="33"/>
        <v/>
      </c>
      <c r="G766" s="137" t="e">
        <f>IF(A766&lt;&gt;"",IF(AND(#REF!="Padrão",$H$4=#REF!),BDI!$B$17,IF(AND(#REF!="Padrão",$H$4=#REF!),BDI!#REF!,IF(AND(#REF!="Diferenciado",$H$4=#REF!),BDI!$E$17,IF(AND(#REF!="Diferenciado",$H$4=#REF!),BDI!#REF!,IF(#REF!="ZERO",0))))),"")</f>
        <v>#REF!</v>
      </c>
      <c r="H766" s="138" t="str">
        <f t="shared" si="34"/>
        <v/>
      </c>
      <c r="I766" s="136" t="str">
        <f t="shared" si="35"/>
        <v/>
      </c>
    </row>
    <row r="767" spans="1:9" hidden="1" x14ac:dyDescent="0.25">
      <c r="A767" s="114" t="s">
        <v>2624</v>
      </c>
      <c r="B767" s="115" t="s">
        <v>2625</v>
      </c>
      <c r="C767" s="116" t="s">
        <v>20</v>
      </c>
      <c r="D767" s="116">
        <v>0</v>
      </c>
      <c r="E767" s="135" t="s">
        <v>558</v>
      </c>
      <c r="F767" s="136" t="str">
        <f t="shared" si="33"/>
        <v/>
      </c>
      <c r="G767" s="137" t="e">
        <f>IF(A767&lt;&gt;"",IF(AND(#REF!="Padrão",$H$4=#REF!),BDI!$B$17,IF(AND(#REF!="Padrão",$H$4=#REF!),BDI!#REF!,IF(AND(#REF!="Diferenciado",$H$4=#REF!),BDI!$E$17,IF(AND(#REF!="Diferenciado",$H$4=#REF!),BDI!#REF!,IF(#REF!="ZERO",0))))),"")</f>
        <v>#REF!</v>
      </c>
      <c r="H767" s="138" t="str">
        <f t="shared" si="34"/>
        <v/>
      </c>
      <c r="I767" s="136" t="str">
        <f t="shared" si="35"/>
        <v/>
      </c>
    </row>
    <row r="768" spans="1:9" hidden="1" x14ac:dyDescent="0.25">
      <c r="A768" s="114" t="s">
        <v>2626</v>
      </c>
      <c r="B768" s="115" t="s">
        <v>2627</v>
      </c>
      <c r="C768" s="116" t="s">
        <v>20</v>
      </c>
      <c r="D768" s="116">
        <v>0</v>
      </c>
      <c r="E768" s="135" t="s">
        <v>558</v>
      </c>
      <c r="F768" s="136" t="str">
        <f t="shared" si="33"/>
        <v/>
      </c>
      <c r="G768" s="137" t="e">
        <f>IF(A768&lt;&gt;"",IF(AND(#REF!="Padrão",$H$4=#REF!),BDI!$B$17,IF(AND(#REF!="Padrão",$H$4=#REF!),BDI!#REF!,IF(AND(#REF!="Diferenciado",$H$4=#REF!),BDI!$E$17,IF(AND(#REF!="Diferenciado",$H$4=#REF!),BDI!#REF!,IF(#REF!="ZERO",0))))),"")</f>
        <v>#REF!</v>
      </c>
      <c r="H768" s="138" t="str">
        <f t="shared" si="34"/>
        <v/>
      </c>
      <c r="I768" s="136" t="str">
        <f t="shared" si="35"/>
        <v/>
      </c>
    </row>
    <row r="769" spans="1:9" hidden="1" x14ac:dyDescent="0.25">
      <c r="A769" s="114" t="s">
        <v>2628</v>
      </c>
      <c r="B769" s="115" t="s">
        <v>2629</v>
      </c>
      <c r="C769" s="116" t="s">
        <v>20</v>
      </c>
      <c r="D769" s="116">
        <v>0</v>
      </c>
      <c r="E769" s="135" t="s">
        <v>558</v>
      </c>
      <c r="F769" s="136" t="str">
        <f t="shared" si="33"/>
        <v/>
      </c>
      <c r="G769" s="137" t="e">
        <f>IF(A769&lt;&gt;"",IF(AND(#REF!="Padrão",$H$4=#REF!),BDI!$B$17,IF(AND(#REF!="Padrão",$H$4=#REF!),BDI!#REF!,IF(AND(#REF!="Diferenciado",$H$4=#REF!),BDI!$E$17,IF(AND(#REF!="Diferenciado",$H$4=#REF!),BDI!#REF!,IF(#REF!="ZERO",0))))),"")</f>
        <v>#REF!</v>
      </c>
      <c r="H769" s="138" t="str">
        <f t="shared" si="34"/>
        <v/>
      </c>
      <c r="I769" s="136" t="str">
        <f t="shared" si="35"/>
        <v/>
      </c>
    </row>
    <row r="770" spans="1:9" hidden="1" x14ac:dyDescent="0.25">
      <c r="A770" s="114" t="s">
        <v>2630</v>
      </c>
      <c r="B770" s="115" t="s">
        <v>2631</v>
      </c>
      <c r="C770" s="116" t="s">
        <v>20</v>
      </c>
      <c r="D770" s="116">
        <v>0</v>
      </c>
      <c r="E770" s="135" t="s">
        <v>558</v>
      </c>
      <c r="F770" s="136" t="str">
        <f t="shared" si="33"/>
        <v/>
      </c>
      <c r="G770" s="137" t="e">
        <f>IF(A770&lt;&gt;"",IF(AND(#REF!="Padrão",$H$4=#REF!),BDI!$B$17,IF(AND(#REF!="Padrão",$H$4=#REF!),BDI!#REF!,IF(AND(#REF!="Diferenciado",$H$4=#REF!),BDI!$E$17,IF(AND(#REF!="Diferenciado",$H$4=#REF!),BDI!#REF!,IF(#REF!="ZERO",0))))),"")</f>
        <v>#REF!</v>
      </c>
      <c r="H770" s="138" t="str">
        <f t="shared" si="34"/>
        <v/>
      </c>
      <c r="I770" s="136" t="str">
        <f t="shared" si="35"/>
        <v/>
      </c>
    </row>
    <row r="771" spans="1:9" hidden="1" x14ac:dyDescent="0.25">
      <c r="A771" s="114" t="s">
        <v>2632</v>
      </c>
      <c r="B771" s="115" t="s">
        <v>2633</v>
      </c>
      <c r="C771" s="116" t="s">
        <v>20</v>
      </c>
      <c r="D771" s="116">
        <v>0</v>
      </c>
      <c r="E771" s="135" t="s">
        <v>558</v>
      </c>
      <c r="F771" s="136" t="str">
        <f t="shared" si="33"/>
        <v/>
      </c>
      <c r="G771" s="137" t="e">
        <f>IF(A771&lt;&gt;"",IF(AND(#REF!="Padrão",$H$4=#REF!),BDI!$B$17,IF(AND(#REF!="Padrão",$H$4=#REF!),BDI!#REF!,IF(AND(#REF!="Diferenciado",$H$4=#REF!),BDI!$E$17,IF(AND(#REF!="Diferenciado",$H$4=#REF!),BDI!#REF!,IF(#REF!="ZERO",0))))),"")</f>
        <v>#REF!</v>
      </c>
      <c r="H771" s="138" t="str">
        <f t="shared" si="34"/>
        <v/>
      </c>
      <c r="I771" s="136" t="str">
        <f t="shared" si="35"/>
        <v/>
      </c>
    </row>
    <row r="772" spans="1:9" hidden="1" x14ac:dyDescent="0.25">
      <c r="A772" s="114" t="s">
        <v>2634</v>
      </c>
      <c r="B772" s="115" t="s">
        <v>2635</v>
      </c>
      <c r="C772" s="116" t="s">
        <v>20</v>
      </c>
      <c r="D772" s="116">
        <v>0</v>
      </c>
      <c r="E772" s="135" t="s">
        <v>558</v>
      </c>
      <c r="F772" s="136" t="str">
        <f t="shared" si="33"/>
        <v/>
      </c>
      <c r="G772" s="137" t="e">
        <f>IF(A772&lt;&gt;"",IF(AND(#REF!="Padrão",$H$4=#REF!),BDI!$B$17,IF(AND(#REF!="Padrão",$H$4=#REF!),BDI!#REF!,IF(AND(#REF!="Diferenciado",$H$4=#REF!),BDI!$E$17,IF(AND(#REF!="Diferenciado",$H$4=#REF!),BDI!#REF!,IF(#REF!="ZERO",0))))),"")</f>
        <v>#REF!</v>
      </c>
      <c r="H772" s="138" t="str">
        <f t="shared" si="34"/>
        <v/>
      </c>
      <c r="I772" s="136" t="str">
        <f t="shared" si="35"/>
        <v/>
      </c>
    </row>
    <row r="773" spans="1:9" hidden="1" x14ac:dyDescent="0.25">
      <c r="A773" s="114" t="s">
        <v>2636</v>
      </c>
      <c r="B773" s="115" t="s">
        <v>2637</v>
      </c>
      <c r="C773" s="116" t="s">
        <v>20</v>
      </c>
      <c r="D773" s="116">
        <v>0</v>
      </c>
      <c r="E773" s="135" t="s">
        <v>558</v>
      </c>
      <c r="F773" s="136" t="str">
        <f t="shared" si="33"/>
        <v/>
      </c>
      <c r="G773" s="137" t="e">
        <f>IF(A773&lt;&gt;"",IF(AND(#REF!="Padrão",$H$4=#REF!),BDI!$B$17,IF(AND(#REF!="Padrão",$H$4=#REF!),BDI!#REF!,IF(AND(#REF!="Diferenciado",$H$4=#REF!),BDI!$E$17,IF(AND(#REF!="Diferenciado",$H$4=#REF!),BDI!#REF!,IF(#REF!="ZERO",0))))),"")</f>
        <v>#REF!</v>
      </c>
      <c r="H773" s="138" t="str">
        <f t="shared" si="34"/>
        <v/>
      </c>
      <c r="I773" s="136" t="str">
        <f t="shared" si="35"/>
        <v/>
      </c>
    </row>
    <row r="774" spans="1:9" hidden="1" x14ac:dyDescent="0.25">
      <c r="A774" s="114" t="s">
        <v>2638</v>
      </c>
      <c r="B774" s="115" t="s">
        <v>2639</v>
      </c>
      <c r="C774" s="116" t="s">
        <v>20</v>
      </c>
      <c r="D774" s="116">
        <v>0</v>
      </c>
      <c r="E774" s="135" t="s">
        <v>558</v>
      </c>
      <c r="F774" s="136" t="str">
        <f t="shared" si="33"/>
        <v/>
      </c>
      <c r="G774" s="137" t="e">
        <f>IF(A774&lt;&gt;"",IF(AND(#REF!="Padrão",$H$4=#REF!),BDI!$B$17,IF(AND(#REF!="Padrão",$H$4=#REF!),BDI!#REF!,IF(AND(#REF!="Diferenciado",$H$4=#REF!),BDI!$E$17,IF(AND(#REF!="Diferenciado",$H$4=#REF!),BDI!#REF!,IF(#REF!="ZERO",0))))),"")</f>
        <v>#REF!</v>
      </c>
      <c r="H774" s="138" t="str">
        <f t="shared" si="34"/>
        <v/>
      </c>
      <c r="I774" s="136" t="str">
        <f t="shared" si="35"/>
        <v/>
      </c>
    </row>
    <row r="775" spans="1:9" hidden="1" x14ac:dyDescent="0.25">
      <c r="A775" s="114" t="s">
        <v>2640</v>
      </c>
      <c r="B775" s="115" t="s">
        <v>2641</v>
      </c>
      <c r="C775" s="116" t="s">
        <v>20</v>
      </c>
      <c r="D775" s="116">
        <v>0</v>
      </c>
      <c r="E775" s="135" t="s">
        <v>558</v>
      </c>
      <c r="F775" s="136" t="str">
        <f t="shared" ref="F775:F838" si="36">IF(ISNUMBER(E775),D775*E775,"")</f>
        <v/>
      </c>
      <c r="G775" s="137" t="e">
        <f>IF(A775&lt;&gt;"",IF(AND(#REF!="Padrão",$H$4=#REF!),BDI!$B$17,IF(AND(#REF!="Padrão",$H$4=#REF!),BDI!#REF!,IF(AND(#REF!="Diferenciado",$H$4=#REF!),BDI!$E$17,IF(AND(#REF!="Diferenciado",$H$4=#REF!),BDI!#REF!,IF(#REF!="ZERO",0))))),"")</f>
        <v>#REF!</v>
      </c>
      <c r="H775" s="138" t="str">
        <f t="shared" ref="H775:H838" si="37">IF(ISNUMBER(E775),ROUND(E775*(1+G775),2),"")</f>
        <v/>
      </c>
      <c r="I775" s="136" t="str">
        <f t="shared" ref="I775:I838" si="38">IF(ISNUMBER(E775),ROUND(H775*D775,2),"")</f>
        <v/>
      </c>
    </row>
    <row r="776" spans="1:9" hidden="1" x14ac:dyDescent="0.25">
      <c r="A776" s="114" t="s">
        <v>2642</v>
      </c>
      <c r="B776" s="115" t="s">
        <v>6386</v>
      </c>
      <c r="C776" s="116" t="s">
        <v>20</v>
      </c>
      <c r="D776" s="116">
        <v>0</v>
      </c>
      <c r="E776" s="135" t="s">
        <v>558</v>
      </c>
      <c r="F776" s="136" t="str">
        <f t="shared" si="36"/>
        <v/>
      </c>
      <c r="G776" s="137" t="e">
        <f>IF(A776&lt;&gt;"",IF(AND(#REF!="Padrão",$H$4=#REF!),BDI!$B$17,IF(AND(#REF!="Padrão",$H$4=#REF!),BDI!#REF!,IF(AND(#REF!="Diferenciado",$H$4=#REF!),BDI!$E$17,IF(AND(#REF!="Diferenciado",$H$4=#REF!),BDI!#REF!,IF(#REF!="ZERO",0))))),"")</f>
        <v>#REF!</v>
      </c>
      <c r="H776" s="138" t="str">
        <f t="shared" si="37"/>
        <v/>
      </c>
      <c r="I776" s="136" t="str">
        <f t="shared" si="38"/>
        <v/>
      </c>
    </row>
    <row r="777" spans="1:9" hidden="1" x14ac:dyDescent="0.25">
      <c r="A777" s="114" t="s">
        <v>2643</v>
      </c>
      <c r="B777" s="115" t="s">
        <v>2644</v>
      </c>
      <c r="C777" s="116" t="s">
        <v>20</v>
      </c>
      <c r="D777" s="116">
        <v>0</v>
      </c>
      <c r="E777" s="135" t="s">
        <v>558</v>
      </c>
      <c r="F777" s="136" t="str">
        <f t="shared" si="36"/>
        <v/>
      </c>
      <c r="G777" s="137" t="e">
        <f>IF(A777&lt;&gt;"",IF(AND(#REF!="Padrão",$H$4=#REF!),BDI!$B$17,IF(AND(#REF!="Padrão",$H$4=#REF!),BDI!#REF!,IF(AND(#REF!="Diferenciado",$H$4=#REF!),BDI!$E$17,IF(AND(#REF!="Diferenciado",$H$4=#REF!),BDI!#REF!,IF(#REF!="ZERO",0))))),"")</f>
        <v>#REF!</v>
      </c>
      <c r="H777" s="138" t="str">
        <f t="shared" si="37"/>
        <v/>
      </c>
      <c r="I777" s="136" t="str">
        <f t="shared" si="38"/>
        <v/>
      </c>
    </row>
    <row r="778" spans="1:9" hidden="1" x14ac:dyDescent="0.25">
      <c r="A778" s="114" t="s">
        <v>2645</v>
      </c>
      <c r="B778" s="115" t="s">
        <v>6450</v>
      </c>
      <c r="C778" s="116" t="s">
        <v>20</v>
      </c>
      <c r="D778" s="116">
        <v>0</v>
      </c>
      <c r="E778" s="135" t="s">
        <v>558</v>
      </c>
      <c r="F778" s="136" t="str">
        <f t="shared" si="36"/>
        <v/>
      </c>
      <c r="G778" s="137" t="e">
        <f>IF(A778&lt;&gt;"",IF(AND(#REF!="Padrão",$H$4=#REF!),BDI!$B$17,IF(AND(#REF!="Padrão",$H$4=#REF!),BDI!#REF!,IF(AND(#REF!="Diferenciado",$H$4=#REF!),BDI!$E$17,IF(AND(#REF!="Diferenciado",$H$4=#REF!),BDI!#REF!,IF(#REF!="ZERO",0))))),"")</f>
        <v>#REF!</v>
      </c>
      <c r="H778" s="138" t="str">
        <f t="shared" si="37"/>
        <v/>
      </c>
      <c r="I778" s="136" t="str">
        <f t="shared" si="38"/>
        <v/>
      </c>
    </row>
    <row r="779" spans="1:9" hidden="1" x14ac:dyDescent="0.25">
      <c r="A779" s="114" t="s">
        <v>2646</v>
      </c>
      <c r="B779" s="115" t="s">
        <v>2647</v>
      </c>
      <c r="C779" s="116" t="s">
        <v>20</v>
      </c>
      <c r="D779" s="116">
        <v>0</v>
      </c>
      <c r="E779" s="135" t="s">
        <v>558</v>
      </c>
      <c r="F779" s="136" t="str">
        <f t="shared" si="36"/>
        <v/>
      </c>
      <c r="G779" s="137" t="e">
        <f>IF(A779&lt;&gt;"",IF(AND(#REF!="Padrão",$H$4=#REF!),BDI!$B$17,IF(AND(#REF!="Padrão",$H$4=#REF!),BDI!#REF!,IF(AND(#REF!="Diferenciado",$H$4=#REF!),BDI!$E$17,IF(AND(#REF!="Diferenciado",$H$4=#REF!),BDI!#REF!,IF(#REF!="ZERO",0))))),"")</f>
        <v>#REF!</v>
      </c>
      <c r="H779" s="138" t="str">
        <f t="shared" si="37"/>
        <v/>
      </c>
      <c r="I779" s="136" t="str">
        <f t="shared" si="38"/>
        <v/>
      </c>
    </row>
    <row r="780" spans="1:9" hidden="1" x14ac:dyDescent="0.25">
      <c r="A780" s="114" t="s">
        <v>2648</v>
      </c>
      <c r="B780" s="115" t="s">
        <v>6387</v>
      </c>
      <c r="C780" s="116" t="s">
        <v>20</v>
      </c>
      <c r="D780" s="116">
        <v>0</v>
      </c>
      <c r="E780" s="135" t="s">
        <v>558</v>
      </c>
      <c r="F780" s="136" t="str">
        <f t="shared" si="36"/>
        <v/>
      </c>
      <c r="G780" s="137" t="e">
        <f>IF(A780&lt;&gt;"",IF(AND(#REF!="Padrão",$H$4=#REF!),BDI!$B$17,IF(AND(#REF!="Padrão",$H$4=#REF!),BDI!#REF!,IF(AND(#REF!="Diferenciado",$H$4=#REF!),BDI!$E$17,IF(AND(#REF!="Diferenciado",$H$4=#REF!),BDI!#REF!,IF(#REF!="ZERO",0))))),"")</f>
        <v>#REF!</v>
      </c>
      <c r="H780" s="138" t="str">
        <f t="shared" si="37"/>
        <v/>
      </c>
      <c r="I780" s="136" t="str">
        <f t="shared" si="38"/>
        <v/>
      </c>
    </row>
    <row r="781" spans="1:9" hidden="1" x14ac:dyDescent="0.25">
      <c r="A781" s="114" t="s">
        <v>2649</v>
      </c>
      <c r="B781" s="115" t="s">
        <v>2650</v>
      </c>
      <c r="C781" s="116" t="s">
        <v>20</v>
      </c>
      <c r="D781" s="116">
        <v>0</v>
      </c>
      <c r="E781" s="135" t="s">
        <v>558</v>
      </c>
      <c r="F781" s="136" t="str">
        <f t="shared" si="36"/>
        <v/>
      </c>
      <c r="G781" s="137" t="e">
        <f>IF(A781&lt;&gt;"",IF(AND(#REF!="Padrão",$H$4=#REF!),BDI!$B$17,IF(AND(#REF!="Padrão",$H$4=#REF!),BDI!#REF!,IF(AND(#REF!="Diferenciado",$H$4=#REF!),BDI!$E$17,IF(AND(#REF!="Diferenciado",$H$4=#REF!),BDI!#REF!,IF(#REF!="ZERO",0))))),"")</f>
        <v>#REF!</v>
      </c>
      <c r="H781" s="138" t="str">
        <f t="shared" si="37"/>
        <v/>
      </c>
      <c r="I781" s="136" t="str">
        <f t="shared" si="38"/>
        <v/>
      </c>
    </row>
    <row r="782" spans="1:9" hidden="1" x14ac:dyDescent="0.25">
      <c r="A782" s="114" t="s">
        <v>2651</v>
      </c>
      <c r="B782" s="115" t="s">
        <v>6451</v>
      </c>
      <c r="C782" s="116" t="s">
        <v>20</v>
      </c>
      <c r="D782" s="116">
        <v>0</v>
      </c>
      <c r="E782" s="135" t="s">
        <v>558</v>
      </c>
      <c r="F782" s="136" t="str">
        <f t="shared" si="36"/>
        <v/>
      </c>
      <c r="G782" s="137" t="e">
        <f>IF(A782&lt;&gt;"",IF(AND(#REF!="Padrão",$H$4=#REF!),BDI!$B$17,IF(AND(#REF!="Padrão",$H$4=#REF!),BDI!#REF!,IF(AND(#REF!="Diferenciado",$H$4=#REF!),BDI!$E$17,IF(AND(#REF!="Diferenciado",$H$4=#REF!),BDI!#REF!,IF(#REF!="ZERO",0))))),"")</f>
        <v>#REF!</v>
      </c>
      <c r="H782" s="138" t="str">
        <f t="shared" si="37"/>
        <v/>
      </c>
      <c r="I782" s="136" t="str">
        <f t="shared" si="38"/>
        <v/>
      </c>
    </row>
    <row r="783" spans="1:9" hidden="1" x14ac:dyDescent="0.25">
      <c r="A783" s="114" t="s">
        <v>2652</v>
      </c>
      <c r="B783" s="115" t="s">
        <v>2653</v>
      </c>
      <c r="C783" s="116" t="s">
        <v>20</v>
      </c>
      <c r="D783" s="116">
        <v>0</v>
      </c>
      <c r="E783" s="135" t="s">
        <v>558</v>
      </c>
      <c r="F783" s="136" t="str">
        <f t="shared" si="36"/>
        <v/>
      </c>
      <c r="G783" s="137" t="e">
        <f>IF(A783&lt;&gt;"",IF(AND(#REF!="Padrão",$H$4=#REF!),BDI!$B$17,IF(AND(#REF!="Padrão",$H$4=#REF!),BDI!#REF!,IF(AND(#REF!="Diferenciado",$H$4=#REF!),BDI!$E$17,IF(AND(#REF!="Diferenciado",$H$4=#REF!),BDI!#REF!,IF(#REF!="ZERO",0))))),"")</f>
        <v>#REF!</v>
      </c>
      <c r="H783" s="138" t="str">
        <f t="shared" si="37"/>
        <v/>
      </c>
      <c r="I783" s="136" t="str">
        <f t="shared" si="38"/>
        <v/>
      </c>
    </row>
    <row r="784" spans="1:9" hidden="1" x14ac:dyDescent="0.25">
      <c r="A784" s="114" t="s">
        <v>2654</v>
      </c>
      <c r="B784" s="115" t="s">
        <v>2655</v>
      </c>
      <c r="C784" s="116" t="s">
        <v>20</v>
      </c>
      <c r="D784" s="116">
        <v>0</v>
      </c>
      <c r="E784" s="135" t="s">
        <v>558</v>
      </c>
      <c r="F784" s="136" t="str">
        <f t="shared" si="36"/>
        <v/>
      </c>
      <c r="G784" s="137" t="e">
        <f>IF(A784&lt;&gt;"",IF(AND(#REF!="Padrão",$H$4=#REF!),BDI!$B$17,IF(AND(#REF!="Padrão",$H$4=#REF!),BDI!#REF!,IF(AND(#REF!="Diferenciado",$H$4=#REF!),BDI!$E$17,IF(AND(#REF!="Diferenciado",$H$4=#REF!),BDI!#REF!,IF(#REF!="ZERO",0))))),"")</f>
        <v>#REF!</v>
      </c>
      <c r="H784" s="138" t="str">
        <f t="shared" si="37"/>
        <v/>
      </c>
      <c r="I784" s="136" t="str">
        <f t="shared" si="38"/>
        <v/>
      </c>
    </row>
    <row r="785" spans="1:9" hidden="1" x14ac:dyDescent="0.25">
      <c r="A785" s="114" t="s">
        <v>2656</v>
      </c>
      <c r="B785" s="115" t="s">
        <v>2657</v>
      </c>
      <c r="C785" s="116" t="s">
        <v>20</v>
      </c>
      <c r="D785" s="116">
        <v>0</v>
      </c>
      <c r="E785" s="135" t="s">
        <v>558</v>
      </c>
      <c r="F785" s="136" t="str">
        <f t="shared" si="36"/>
        <v/>
      </c>
      <c r="G785" s="137" t="e">
        <f>IF(A785&lt;&gt;"",IF(AND(#REF!="Padrão",$H$4=#REF!),BDI!$B$17,IF(AND(#REF!="Padrão",$H$4=#REF!),BDI!#REF!,IF(AND(#REF!="Diferenciado",$H$4=#REF!),BDI!$E$17,IF(AND(#REF!="Diferenciado",$H$4=#REF!),BDI!#REF!,IF(#REF!="ZERO",0))))),"")</f>
        <v>#REF!</v>
      </c>
      <c r="H785" s="138" t="str">
        <f t="shared" si="37"/>
        <v/>
      </c>
      <c r="I785" s="136" t="str">
        <f t="shared" si="38"/>
        <v/>
      </c>
    </row>
    <row r="786" spans="1:9" hidden="1" x14ac:dyDescent="0.25">
      <c r="A786" s="114" t="s">
        <v>2658</v>
      </c>
      <c r="B786" s="115" t="s">
        <v>2659</v>
      </c>
      <c r="C786" s="116" t="s">
        <v>20</v>
      </c>
      <c r="D786" s="116">
        <v>0</v>
      </c>
      <c r="E786" s="135" t="s">
        <v>558</v>
      </c>
      <c r="F786" s="136" t="str">
        <f t="shared" si="36"/>
        <v/>
      </c>
      <c r="G786" s="137" t="e">
        <f>IF(A786&lt;&gt;"",IF(AND(#REF!="Padrão",$H$4=#REF!),BDI!$B$17,IF(AND(#REF!="Padrão",$H$4=#REF!),BDI!#REF!,IF(AND(#REF!="Diferenciado",$H$4=#REF!),BDI!$E$17,IF(AND(#REF!="Diferenciado",$H$4=#REF!),BDI!#REF!,IF(#REF!="ZERO",0))))),"")</f>
        <v>#REF!</v>
      </c>
      <c r="H786" s="138" t="str">
        <f t="shared" si="37"/>
        <v/>
      </c>
      <c r="I786" s="136" t="str">
        <f t="shared" si="38"/>
        <v/>
      </c>
    </row>
    <row r="787" spans="1:9" hidden="1" x14ac:dyDescent="0.25">
      <c r="A787" s="114" t="s">
        <v>2660</v>
      </c>
      <c r="B787" s="115" t="s">
        <v>2661</v>
      </c>
      <c r="C787" s="116" t="s">
        <v>20</v>
      </c>
      <c r="D787" s="116">
        <v>0</v>
      </c>
      <c r="E787" s="135" t="s">
        <v>558</v>
      </c>
      <c r="F787" s="136" t="str">
        <f t="shared" si="36"/>
        <v/>
      </c>
      <c r="G787" s="137" t="e">
        <f>IF(A787&lt;&gt;"",IF(AND(#REF!="Padrão",$H$4=#REF!),BDI!$B$17,IF(AND(#REF!="Padrão",$H$4=#REF!),BDI!#REF!,IF(AND(#REF!="Diferenciado",$H$4=#REF!),BDI!$E$17,IF(AND(#REF!="Diferenciado",$H$4=#REF!),BDI!#REF!,IF(#REF!="ZERO",0))))),"")</f>
        <v>#REF!</v>
      </c>
      <c r="H787" s="138" t="str">
        <f t="shared" si="37"/>
        <v/>
      </c>
      <c r="I787" s="136" t="str">
        <f t="shared" si="38"/>
        <v/>
      </c>
    </row>
    <row r="788" spans="1:9" hidden="1" x14ac:dyDescent="0.25">
      <c r="A788" s="114" t="s">
        <v>2662</v>
      </c>
      <c r="B788" s="115" t="s">
        <v>2663</v>
      </c>
      <c r="C788" s="116" t="s">
        <v>20</v>
      </c>
      <c r="D788" s="116">
        <v>0</v>
      </c>
      <c r="E788" s="135" t="s">
        <v>558</v>
      </c>
      <c r="F788" s="136" t="str">
        <f t="shared" si="36"/>
        <v/>
      </c>
      <c r="G788" s="137" t="e">
        <f>IF(A788&lt;&gt;"",IF(AND(#REF!="Padrão",$H$4=#REF!),BDI!$B$17,IF(AND(#REF!="Padrão",$H$4=#REF!),BDI!#REF!,IF(AND(#REF!="Diferenciado",$H$4=#REF!),BDI!$E$17,IF(AND(#REF!="Diferenciado",$H$4=#REF!),BDI!#REF!,IF(#REF!="ZERO",0))))),"")</f>
        <v>#REF!</v>
      </c>
      <c r="H788" s="138" t="str">
        <f t="shared" si="37"/>
        <v/>
      </c>
      <c r="I788" s="136" t="str">
        <f t="shared" si="38"/>
        <v/>
      </c>
    </row>
    <row r="789" spans="1:9" hidden="1" x14ac:dyDescent="0.25">
      <c r="A789" s="114" t="s">
        <v>2664</v>
      </c>
      <c r="B789" s="115" t="s">
        <v>2665</v>
      </c>
      <c r="C789" s="116" t="s">
        <v>20</v>
      </c>
      <c r="D789" s="116">
        <v>0</v>
      </c>
      <c r="E789" s="135" t="s">
        <v>558</v>
      </c>
      <c r="F789" s="136" t="str">
        <f t="shared" si="36"/>
        <v/>
      </c>
      <c r="G789" s="137" t="e">
        <f>IF(A789&lt;&gt;"",IF(AND(#REF!="Padrão",$H$4=#REF!),BDI!$B$17,IF(AND(#REF!="Padrão",$H$4=#REF!),BDI!#REF!,IF(AND(#REF!="Diferenciado",$H$4=#REF!),BDI!$E$17,IF(AND(#REF!="Diferenciado",$H$4=#REF!),BDI!#REF!,IF(#REF!="ZERO",0))))),"")</f>
        <v>#REF!</v>
      </c>
      <c r="H789" s="138" t="str">
        <f t="shared" si="37"/>
        <v/>
      </c>
      <c r="I789" s="136" t="str">
        <f t="shared" si="38"/>
        <v/>
      </c>
    </row>
    <row r="790" spans="1:9" hidden="1" x14ac:dyDescent="0.25">
      <c r="A790" s="114" t="s">
        <v>2666</v>
      </c>
      <c r="B790" s="115" t="s">
        <v>2667</v>
      </c>
      <c r="C790" s="116" t="s">
        <v>20</v>
      </c>
      <c r="D790" s="116">
        <v>0</v>
      </c>
      <c r="E790" s="135" t="s">
        <v>558</v>
      </c>
      <c r="F790" s="136" t="str">
        <f t="shared" si="36"/>
        <v/>
      </c>
      <c r="G790" s="137" t="e">
        <f>IF(A790&lt;&gt;"",IF(AND(#REF!="Padrão",$H$4=#REF!),BDI!$B$17,IF(AND(#REF!="Padrão",$H$4=#REF!),BDI!#REF!,IF(AND(#REF!="Diferenciado",$H$4=#REF!),BDI!$E$17,IF(AND(#REF!="Diferenciado",$H$4=#REF!),BDI!#REF!,IF(#REF!="ZERO",0))))),"")</f>
        <v>#REF!</v>
      </c>
      <c r="H790" s="138" t="str">
        <f t="shared" si="37"/>
        <v/>
      </c>
      <c r="I790" s="136" t="str">
        <f t="shared" si="38"/>
        <v/>
      </c>
    </row>
    <row r="791" spans="1:9" hidden="1" x14ac:dyDescent="0.25">
      <c r="A791" s="114" t="s">
        <v>2668</v>
      </c>
      <c r="B791" s="115" t="s">
        <v>2669</v>
      </c>
      <c r="C791" s="116" t="s">
        <v>20</v>
      </c>
      <c r="D791" s="116">
        <v>0</v>
      </c>
      <c r="E791" s="135" t="s">
        <v>558</v>
      </c>
      <c r="F791" s="136" t="str">
        <f t="shared" si="36"/>
        <v/>
      </c>
      <c r="G791" s="137" t="e">
        <f>IF(A791&lt;&gt;"",IF(AND(#REF!="Padrão",$H$4=#REF!),BDI!$B$17,IF(AND(#REF!="Padrão",$H$4=#REF!),BDI!#REF!,IF(AND(#REF!="Diferenciado",$H$4=#REF!),BDI!$E$17,IF(AND(#REF!="Diferenciado",$H$4=#REF!),BDI!#REF!,IF(#REF!="ZERO",0))))),"")</f>
        <v>#REF!</v>
      </c>
      <c r="H791" s="138" t="str">
        <f t="shared" si="37"/>
        <v/>
      </c>
      <c r="I791" s="136" t="str">
        <f t="shared" si="38"/>
        <v/>
      </c>
    </row>
    <row r="792" spans="1:9" hidden="1" x14ac:dyDescent="0.25">
      <c r="A792" s="114" t="s">
        <v>2670</v>
      </c>
      <c r="B792" s="115" t="s">
        <v>2671</v>
      </c>
      <c r="C792" s="116" t="s">
        <v>20</v>
      </c>
      <c r="D792" s="116">
        <v>0</v>
      </c>
      <c r="E792" s="135" t="s">
        <v>558</v>
      </c>
      <c r="F792" s="136" t="str">
        <f t="shared" si="36"/>
        <v/>
      </c>
      <c r="G792" s="137" t="e">
        <f>IF(A792&lt;&gt;"",IF(AND(#REF!="Padrão",$H$4=#REF!),BDI!$B$17,IF(AND(#REF!="Padrão",$H$4=#REF!),BDI!#REF!,IF(AND(#REF!="Diferenciado",$H$4=#REF!),BDI!$E$17,IF(AND(#REF!="Diferenciado",$H$4=#REF!),BDI!#REF!,IF(#REF!="ZERO",0))))),"")</f>
        <v>#REF!</v>
      </c>
      <c r="H792" s="138" t="str">
        <f t="shared" si="37"/>
        <v/>
      </c>
      <c r="I792" s="136" t="str">
        <f t="shared" si="38"/>
        <v/>
      </c>
    </row>
    <row r="793" spans="1:9" hidden="1" x14ac:dyDescent="0.25">
      <c r="A793" s="114" t="s">
        <v>2672</v>
      </c>
      <c r="B793" s="115" t="s">
        <v>2673</v>
      </c>
      <c r="C793" s="116" t="s">
        <v>20</v>
      </c>
      <c r="D793" s="116">
        <v>0</v>
      </c>
      <c r="E793" s="135" t="s">
        <v>558</v>
      </c>
      <c r="F793" s="136" t="str">
        <f t="shared" si="36"/>
        <v/>
      </c>
      <c r="G793" s="137" t="e">
        <f>IF(A793&lt;&gt;"",IF(AND(#REF!="Padrão",$H$4=#REF!),BDI!$B$17,IF(AND(#REF!="Padrão",$H$4=#REF!),BDI!#REF!,IF(AND(#REF!="Diferenciado",$H$4=#REF!),BDI!$E$17,IF(AND(#REF!="Diferenciado",$H$4=#REF!),BDI!#REF!,IF(#REF!="ZERO",0))))),"")</f>
        <v>#REF!</v>
      </c>
      <c r="H793" s="138" t="str">
        <f t="shared" si="37"/>
        <v/>
      </c>
      <c r="I793" s="136" t="str">
        <f t="shared" si="38"/>
        <v/>
      </c>
    </row>
    <row r="794" spans="1:9" hidden="1" x14ac:dyDescent="0.25">
      <c r="A794" s="114" t="s">
        <v>2674</v>
      </c>
      <c r="B794" s="115" t="s">
        <v>2675</v>
      </c>
      <c r="C794" s="116" t="s">
        <v>20</v>
      </c>
      <c r="D794" s="116">
        <v>0</v>
      </c>
      <c r="E794" s="135" t="s">
        <v>558</v>
      </c>
      <c r="F794" s="136" t="str">
        <f t="shared" si="36"/>
        <v/>
      </c>
      <c r="G794" s="137" t="e">
        <f>IF(A794&lt;&gt;"",IF(AND(#REF!="Padrão",$H$4=#REF!),BDI!$B$17,IF(AND(#REF!="Padrão",$H$4=#REF!),BDI!#REF!,IF(AND(#REF!="Diferenciado",$H$4=#REF!),BDI!$E$17,IF(AND(#REF!="Diferenciado",$H$4=#REF!),BDI!#REF!,IF(#REF!="ZERO",0))))),"")</f>
        <v>#REF!</v>
      </c>
      <c r="H794" s="138" t="str">
        <f t="shared" si="37"/>
        <v/>
      </c>
      <c r="I794" s="136" t="str">
        <f t="shared" si="38"/>
        <v/>
      </c>
    </row>
    <row r="795" spans="1:9" hidden="1" x14ac:dyDescent="0.25">
      <c r="A795" s="114" t="s">
        <v>2676</v>
      </c>
      <c r="B795" s="115" t="s">
        <v>2677</v>
      </c>
      <c r="C795" s="116" t="s">
        <v>20</v>
      </c>
      <c r="D795" s="116">
        <v>0</v>
      </c>
      <c r="E795" s="135" t="s">
        <v>558</v>
      </c>
      <c r="F795" s="136" t="str">
        <f t="shared" si="36"/>
        <v/>
      </c>
      <c r="G795" s="137" t="e">
        <f>IF(A795&lt;&gt;"",IF(AND(#REF!="Padrão",$H$4=#REF!),BDI!$B$17,IF(AND(#REF!="Padrão",$H$4=#REF!),BDI!#REF!,IF(AND(#REF!="Diferenciado",$H$4=#REF!),BDI!$E$17,IF(AND(#REF!="Diferenciado",$H$4=#REF!),BDI!#REF!,IF(#REF!="ZERO",0))))),"")</f>
        <v>#REF!</v>
      </c>
      <c r="H795" s="138" t="str">
        <f t="shared" si="37"/>
        <v/>
      </c>
      <c r="I795" s="136" t="str">
        <f t="shared" si="38"/>
        <v/>
      </c>
    </row>
    <row r="796" spans="1:9" hidden="1" x14ac:dyDescent="0.25">
      <c r="A796" s="114" t="s">
        <v>2678</v>
      </c>
      <c r="B796" s="115" t="s">
        <v>2679</v>
      </c>
      <c r="C796" s="116" t="s">
        <v>20</v>
      </c>
      <c r="D796" s="116">
        <v>0</v>
      </c>
      <c r="E796" s="135" t="s">
        <v>558</v>
      </c>
      <c r="F796" s="136" t="str">
        <f t="shared" si="36"/>
        <v/>
      </c>
      <c r="G796" s="137" t="e">
        <f>IF(A796&lt;&gt;"",IF(AND(#REF!="Padrão",$H$4=#REF!),BDI!$B$17,IF(AND(#REF!="Padrão",$H$4=#REF!),BDI!#REF!,IF(AND(#REF!="Diferenciado",$H$4=#REF!),BDI!$E$17,IF(AND(#REF!="Diferenciado",$H$4=#REF!),BDI!#REF!,IF(#REF!="ZERO",0))))),"")</f>
        <v>#REF!</v>
      </c>
      <c r="H796" s="138" t="str">
        <f t="shared" si="37"/>
        <v/>
      </c>
      <c r="I796" s="136" t="str">
        <f t="shared" si="38"/>
        <v/>
      </c>
    </row>
    <row r="797" spans="1:9" hidden="1" x14ac:dyDescent="0.25">
      <c r="A797" s="114" t="s">
        <v>2680</v>
      </c>
      <c r="B797" s="115" t="s">
        <v>2681</v>
      </c>
      <c r="C797" s="116" t="s">
        <v>20</v>
      </c>
      <c r="D797" s="116">
        <v>0</v>
      </c>
      <c r="E797" s="135" t="s">
        <v>558</v>
      </c>
      <c r="F797" s="136" t="str">
        <f t="shared" si="36"/>
        <v/>
      </c>
      <c r="G797" s="137" t="e">
        <f>IF(A797&lt;&gt;"",IF(AND(#REF!="Padrão",$H$4=#REF!),BDI!$B$17,IF(AND(#REF!="Padrão",$H$4=#REF!),BDI!#REF!,IF(AND(#REF!="Diferenciado",$H$4=#REF!),BDI!$E$17,IF(AND(#REF!="Diferenciado",$H$4=#REF!),BDI!#REF!,IF(#REF!="ZERO",0))))),"")</f>
        <v>#REF!</v>
      </c>
      <c r="H797" s="138" t="str">
        <f t="shared" si="37"/>
        <v/>
      </c>
      <c r="I797" s="136" t="str">
        <f t="shared" si="38"/>
        <v/>
      </c>
    </row>
    <row r="798" spans="1:9" hidden="1" x14ac:dyDescent="0.25">
      <c r="A798" s="114" t="s">
        <v>2682</v>
      </c>
      <c r="B798" s="115" t="s">
        <v>2683</v>
      </c>
      <c r="C798" s="116" t="s">
        <v>20</v>
      </c>
      <c r="D798" s="116">
        <v>0</v>
      </c>
      <c r="E798" s="135" t="s">
        <v>558</v>
      </c>
      <c r="F798" s="136" t="str">
        <f t="shared" si="36"/>
        <v/>
      </c>
      <c r="G798" s="137" t="e">
        <f>IF(A798&lt;&gt;"",IF(AND(#REF!="Padrão",$H$4=#REF!),BDI!$B$17,IF(AND(#REF!="Padrão",$H$4=#REF!),BDI!#REF!,IF(AND(#REF!="Diferenciado",$H$4=#REF!),BDI!$E$17,IF(AND(#REF!="Diferenciado",$H$4=#REF!),BDI!#REF!,IF(#REF!="ZERO",0))))),"")</f>
        <v>#REF!</v>
      </c>
      <c r="H798" s="138" t="str">
        <f t="shared" si="37"/>
        <v/>
      </c>
      <c r="I798" s="136" t="str">
        <f t="shared" si="38"/>
        <v/>
      </c>
    </row>
    <row r="799" spans="1:9" hidden="1" x14ac:dyDescent="0.25">
      <c r="A799" s="114" t="s">
        <v>2684</v>
      </c>
      <c r="B799" s="115" t="s">
        <v>2685</v>
      </c>
      <c r="C799" s="116" t="s">
        <v>20</v>
      </c>
      <c r="D799" s="116">
        <v>0</v>
      </c>
      <c r="E799" s="135" t="s">
        <v>558</v>
      </c>
      <c r="F799" s="136" t="str">
        <f t="shared" si="36"/>
        <v/>
      </c>
      <c r="G799" s="137" t="e">
        <f>IF(A799&lt;&gt;"",IF(AND(#REF!="Padrão",$H$4=#REF!),BDI!$B$17,IF(AND(#REF!="Padrão",$H$4=#REF!),BDI!#REF!,IF(AND(#REF!="Diferenciado",$H$4=#REF!),BDI!$E$17,IF(AND(#REF!="Diferenciado",$H$4=#REF!),BDI!#REF!,IF(#REF!="ZERO",0))))),"")</f>
        <v>#REF!</v>
      </c>
      <c r="H799" s="138" t="str">
        <f t="shared" si="37"/>
        <v/>
      </c>
      <c r="I799" s="136" t="str">
        <f t="shared" si="38"/>
        <v/>
      </c>
    </row>
    <row r="800" spans="1:9" hidden="1" x14ac:dyDescent="0.25">
      <c r="A800" s="114" t="s">
        <v>2686</v>
      </c>
      <c r="B800" s="115" t="s">
        <v>2687</v>
      </c>
      <c r="C800" s="116" t="s">
        <v>20</v>
      </c>
      <c r="D800" s="116">
        <v>0</v>
      </c>
      <c r="E800" s="135" t="s">
        <v>558</v>
      </c>
      <c r="F800" s="136" t="str">
        <f t="shared" si="36"/>
        <v/>
      </c>
      <c r="G800" s="137" t="e">
        <f>IF(A800&lt;&gt;"",IF(AND(#REF!="Padrão",$H$4=#REF!),BDI!$B$17,IF(AND(#REF!="Padrão",$H$4=#REF!),BDI!#REF!,IF(AND(#REF!="Diferenciado",$H$4=#REF!),BDI!$E$17,IF(AND(#REF!="Diferenciado",$H$4=#REF!),BDI!#REF!,IF(#REF!="ZERO",0))))),"")</f>
        <v>#REF!</v>
      </c>
      <c r="H800" s="138" t="str">
        <f t="shared" si="37"/>
        <v/>
      </c>
      <c r="I800" s="136" t="str">
        <f t="shared" si="38"/>
        <v/>
      </c>
    </row>
    <row r="801" spans="1:9" hidden="1" x14ac:dyDescent="0.25">
      <c r="A801" s="114" t="s">
        <v>2688</v>
      </c>
      <c r="B801" s="115" t="s">
        <v>2689</v>
      </c>
      <c r="C801" s="116" t="s">
        <v>20</v>
      </c>
      <c r="D801" s="116">
        <v>0</v>
      </c>
      <c r="E801" s="135" t="s">
        <v>558</v>
      </c>
      <c r="F801" s="136" t="str">
        <f t="shared" si="36"/>
        <v/>
      </c>
      <c r="G801" s="137" t="e">
        <f>IF(A801&lt;&gt;"",IF(AND(#REF!="Padrão",$H$4=#REF!),BDI!$B$17,IF(AND(#REF!="Padrão",$H$4=#REF!),BDI!#REF!,IF(AND(#REF!="Diferenciado",$H$4=#REF!),BDI!$E$17,IF(AND(#REF!="Diferenciado",$H$4=#REF!),BDI!#REF!,IF(#REF!="ZERO",0))))),"")</f>
        <v>#REF!</v>
      </c>
      <c r="H801" s="138" t="str">
        <f t="shared" si="37"/>
        <v/>
      </c>
      <c r="I801" s="136" t="str">
        <f t="shared" si="38"/>
        <v/>
      </c>
    </row>
    <row r="802" spans="1:9" hidden="1" x14ac:dyDescent="0.25">
      <c r="A802" s="114" t="s">
        <v>2690</v>
      </c>
      <c r="B802" s="115" t="s">
        <v>2691</v>
      </c>
      <c r="C802" s="116" t="s">
        <v>20</v>
      </c>
      <c r="D802" s="116">
        <v>0</v>
      </c>
      <c r="E802" s="135" t="s">
        <v>558</v>
      </c>
      <c r="F802" s="136" t="str">
        <f t="shared" si="36"/>
        <v/>
      </c>
      <c r="G802" s="137" t="e">
        <f>IF(A802&lt;&gt;"",IF(AND(#REF!="Padrão",$H$4=#REF!),BDI!$B$17,IF(AND(#REF!="Padrão",$H$4=#REF!),BDI!#REF!,IF(AND(#REF!="Diferenciado",$H$4=#REF!),BDI!$E$17,IF(AND(#REF!="Diferenciado",$H$4=#REF!),BDI!#REF!,IF(#REF!="ZERO",0))))),"")</f>
        <v>#REF!</v>
      </c>
      <c r="H802" s="138" t="str">
        <f t="shared" si="37"/>
        <v/>
      </c>
      <c r="I802" s="136" t="str">
        <f t="shared" si="38"/>
        <v/>
      </c>
    </row>
    <row r="803" spans="1:9" hidden="1" x14ac:dyDescent="0.25">
      <c r="A803" s="114" t="s">
        <v>2692</v>
      </c>
      <c r="B803" s="115" t="s">
        <v>2693</v>
      </c>
      <c r="C803" s="116" t="s">
        <v>20</v>
      </c>
      <c r="D803" s="116">
        <v>0</v>
      </c>
      <c r="E803" s="135" t="s">
        <v>558</v>
      </c>
      <c r="F803" s="136" t="str">
        <f t="shared" si="36"/>
        <v/>
      </c>
      <c r="G803" s="137" t="e">
        <f>IF(A803&lt;&gt;"",IF(AND(#REF!="Padrão",$H$4=#REF!),BDI!$B$17,IF(AND(#REF!="Padrão",$H$4=#REF!),BDI!#REF!,IF(AND(#REF!="Diferenciado",$H$4=#REF!),BDI!$E$17,IF(AND(#REF!="Diferenciado",$H$4=#REF!),BDI!#REF!,IF(#REF!="ZERO",0))))),"")</f>
        <v>#REF!</v>
      </c>
      <c r="H803" s="138" t="str">
        <f t="shared" si="37"/>
        <v/>
      </c>
      <c r="I803" s="136" t="str">
        <f t="shared" si="38"/>
        <v/>
      </c>
    </row>
    <row r="804" spans="1:9" hidden="1" x14ac:dyDescent="0.25">
      <c r="A804" s="114" t="s">
        <v>2694</v>
      </c>
      <c r="B804" s="115" t="s">
        <v>2695</v>
      </c>
      <c r="C804" s="116" t="s">
        <v>20</v>
      </c>
      <c r="D804" s="116">
        <v>0</v>
      </c>
      <c r="E804" s="135" t="s">
        <v>558</v>
      </c>
      <c r="F804" s="136" t="str">
        <f t="shared" si="36"/>
        <v/>
      </c>
      <c r="G804" s="137" t="e">
        <f>IF(A804&lt;&gt;"",IF(AND(#REF!="Padrão",$H$4=#REF!),BDI!$B$17,IF(AND(#REF!="Padrão",$H$4=#REF!),BDI!#REF!,IF(AND(#REF!="Diferenciado",$H$4=#REF!),BDI!$E$17,IF(AND(#REF!="Diferenciado",$H$4=#REF!),BDI!#REF!,IF(#REF!="ZERO",0))))),"")</f>
        <v>#REF!</v>
      </c>
      <c r="H804" s="138" t="str">
        <f t="shared" si="37"/>
        <v/>
      </c>
      <c r="I804" s="136" t="str">
        <f t="shared" si="38"/>
        <v/>
      </c>
    </row>
    <row r="805" spans="1:9" hidden="1" x14ac:dyDescent="0.25">
      <c r="A805" s="114" t="s">
        <v>2696</v>
      </c>
      <c r="B805" s="115" t="s">
        <v>2697</v>
      </c>
      <c r="C805" s="116" t="s">
        <v>20</v>
      </c>
      <c r="D805" s="116">
        <v>0</v>
      </c>
      <c r="E805" s="135" t="s">
        <v>558</v>
      </c>
      <c r="F805" s="136" t="str">
        <f t="shared" si="36"/>
        <v/>
      </c>
      <c r="G805" s="137" t="e">
        <f>IF(A805&lt;&gt;"",IF(AND(#REF!="Padrão",$H$4=#REF!),BDI!$B$17,IF(AND(#REF!="Padrão",$H$4=#REF!),BDI!#REF!,IF(AND(#REF!="Diferenciado",$H$4=#REF!),BDI!$E$17,IF(AND(#REF!="Diferenciado",$H$4=#REF!),BDI!#REF!,IF(#REF!="ZERO",0))))),"")</f>
        <v>#REF!</v>
      </c>
      <c r="H805" s="138" t="str">
        <f t="shared" si="37"/>
        <v/>
      </c>
      <c r="I805" s="136" t="str">
        <f t="shared" si="38"/>
        <v/>
      </c>
    </row>
    <row r="806" spans="1:9" hidden="1" x14ac:dyDescent="0.25">
      <c r="A806" s="114" t="s">
        <v>2698</v>
      </c>
      <c r="B806" s="115" t="s">
        <v>2699</v>
      </c>
      <c r="C806" s="116" t="s">
        <v>20</v>
      </c>
      <c r="D806" s="116">
        <v>0</v>
      </c>
      <c r="E806" s="135" t="s">
        <v>558</v>
      </c>
      <c r="F806" s="136" t="str">
        <f t="shared" si="36"/>
        <v/>
      </c>
      <c r="G806" s="137" t="e">
        <f>IF(A806&lt;&gt;"",IF(AND(#REF!="Padrão",$H$4=#REF!),BDI!$B$17,IF(AND(#REF!="Padrão",$H$4=#REF!),BDI!#REF!,IF(AND(#REF!="Diferenciado",$H$4=#REF!),BDI!$E$17,IF(AND(#REF!="Diferenciado",$H$4=#REF!),BDI!#REF!,IF(#REF!="ZERO",0))))),"")</f>
        <v>#REF!</v>
      </c>
      <c r="H806" s="138" t="str">
        <f t="shared" si="37"/>
        <v/>
      </c>
      <c r="I806" s="136" t="str">
        <f t="shared" si="38"/>
        <v/>
      </c>
    </row>
    <row r="807" spans="1:9" hidden="1" x14ac:dyDescent="0.25">
      <c r="A807" s="114" t="s">
        <v>2700</v>
      </c>
      <c r="B807" s="115" t="s">
        <v>2701</v>
      </c>
      <c r="C807" s="116" t="s">
        <v>20</v>
      </c>
      <c r="D807" s="116">
        <v>0</v>
      </c>
      <c r="E807" s="135" t="s">
        <v>558</v>
      </c>
      <c r="F807" s="136" t="str">
        <f t="shared" si="36"/>
        <v/>
      </c>
      <c r="G807" s="137" t="e">
        <f>IF(A807&lt;&gt;"",IF(AND(#REF!="Padrão",$H$4=#REF!),BDI!$B$17,IF(AND(#REF!="Padrão",$H$4=#REF!),BDI!#REF!,IF(AND(#REF!="Diferenciado",$H$4=#REF!),BDI!$E$17,IF(AND(#REF!="Diferenciado",$H$4=#REF!),BDI!#REF!,IF(#REF!="ZERO",0))))),"")</f>
        <v>#REF!</v>
      </c>
      <c r="H807" s="138" t="str">
        <f t="shared" si="37"/>
        <v/>
      </c>
      <c r="I807" s="136" t="str">
        <f t="shared" si="38"/>
        <v/>
      </c>
    </row>
    <row r="808" spans="1:9" hidden="1" x14ac:dyDescent="0.25">
      <c r="A808" s="114" t="s">
        <v>2702</v>
      </c>
      <c r="B808" s="115" t="s">
        <v>2703</v>
      </c>
      <c r="C808" s="116" t="s">
        <v>20</v>
      </c>
      <c r="D808" s="116">
        <v>0</v>
      </c>
      <c r="E808" s="135" t="s">
        <v>558</v>
      </c>
      <c r="F808" s="136" t="str">
        <f t="shared" si="36"/>
        <v/>
      </c>
      <c r="G808" s="137" t="e">
        <f>IF(A808&lt;&gt;"",IF(AND(#REF!="Padrão",$H$4=#REF!),BDI!$B$17,IF(AND(#REF!="Padrão",$H$4=#REF!),BDI!#REF!,IF(AND(#REF!="Diferenciado",$H$4=#REF!),BDI!$E$17,IF(AND(#REF!="Diferenciado",$H$4=#REF!),BDI!#REF!,IF(#REF!="ZERO",0))))),"")</f>
        <v>#REF!</v>
      </c>
      <c r="H808" s="138" t="str">
        <f t="shared" si="37"/>
        <v/>
      </c>
      <c r="I808" s="136" t="str">
        <f t="shared" si="38"/>
        <v/>
      </c>
    </row>
    <row r="809" spans="1:9" hidden="1" x14ac:dyDescent="0.25">
      <c r="A809" s="114" t="s">
        <v>2704</v>
      </c>
      <c r="B809" s="115" t="s">
        <v>2705</v>
      </c>
      <c r="C809" s="116" t="s">
        <v>20</v>
      </c>
      <c r="D809" s="116">
        <v>0</v>
      </c>
      <c r="E809" s="135" t="s">
        <v>558</v>
      </c>
      <c r="F809" s="136" t="str">
        <f t="shared" si="36"/>
        <v/>
      </c>
      <c r="G809" s="137" t="e">
        <f>IF(A809&lt;&gt;"",IF(AND(#REF!="Padrão",$H$4=#REF!),BDI!$B$17,IF(AND(#REF!="Padrão",$H$4=#REF!),BDI!#REF!,IF(AND(#REF!="Diferenciado",$H$4=#REF!),BDI!$E$17,IF(AND(#REF!="Diferenciado",$H$4=#REF!),BDI!#REF!,IF(#REF!="ZERO",0))))),"")</f>
        <v>#REF!</v>
      </c>
      <c r="H809" s="138" t="str">
        <f t="shared" si="37"/>
        <v/>
      </c>
      <c r="I809" s="136" t="str">
        <f t="shared" si="38"/>
        <v/>
      </c>
    </row>
    <row r="810" spans="1:9" hidden="1" x14ac:dyDescent="0.25">
      <c r="A810" s="114" t="s">
        <v>2706</v>
      </c>
      <c r="B810" s="115" t="s">
        <v>2707</v>
      </c>
      <c r="C810" s="116" t="s">
        <v>20</v>
      </c>
      <c r="D810" s="116">
        <v>0</v>
      </c>
      <c r="E810" s="135" t="s">
        <v>558</v>
      </c>
      <c r="F810" s="136" t="str">
        <f t="shared" si="36"/>
        <v/>
      </c>
      <c r="G810" s="137" t="e">
        <f>IF(A810&lt;&gt;"",IF(AND(#REF!="Padrão",$H$4=#REF!),BDI!$B$17,IF(AND(#REF!="Padrão",$H$4=#REF!),BDI!#REF!,IF(AND(#REF!="Diferenciado",$H$4=#REF!),BDI!$E$17,IF(AND(#REF!="Diferenciado",$H$4=#REF!),BDI!#REF!,IF(#REF!="ZERO",0))))),"")</f>
        <v>#REF!</v>
      </c>
      <c r="H810" s="138" t="str">
        <f t="shared" si="37"/>
        <v/>
      </c>
      <c r="I810" s="136" t="str">
        <f t="shared" si="38"/>
        <v/>
      </c>
    </row>
    <row r="811" spans="1:9" hidden="1" x14ac:dyDescent="0.25">
      <c r="A811" s="114" t="s">
        <v>2708</v>
      </c>
      <c r="B811" s="115" t="s">
        <v>2709</v>
      </c>
      <c r="C811" s="116" t="s">
        <v>20</v>
      </c>
      <c r="D811" s="116">
        <v>0</v>
      </c>
      <c r="E811" s="135" t="s">
        <v>558</v>
      </c>
      <c r="F811" s="136" t="str">
        <f t="shared" si="36"/>
        <v/>
      </c>
      <c r="G811" s="137" t="e">
        <f>IF(A811&lt;&gt;"",IF(AND(#REF!="Padrão",$H$4=#REF!),BDI!$B$17,IF(AND(#REF!="Padrão",$H$4=#REF!),BDI!#REF!,IF(AND(#REF!="Diferenciado",$H$4=#REF!),BDI!$E$17,IF(AND(#REF!="Diferenciado",$H$4=#REF!),BDI!#REF!,IF(#REF!="ZERO",0))))),"")</f>
        <v>#REF!</v>
      </c>
      <c r="H811" s="138" t="str">
        <f t="shared" si="37"/>
        <v/>
      </c>
      <c r="I811" s="136" t="str">
        <f t="shared" si="38"/>
        <v/>
      </c>
    </row>
    <row r="812" spans="1:9" hidden="1" x14ac:dyDescent="0.25">
      <c r="A812" s="114" t="s">
        <v>2710</v>
      </c>
      <c r="B812" s="115" t="s">
        <v>2711</v>
      </c>
      <c r="C812" s="116" t="s">
        <v>20</v>
      </c>
      <c r="D812" s="116">
        <v>0</v>
      </c>
      <c r="E812" s="135" t="s">
        <v>558</v>
      </c>
      <c r="F812" s="136" t="str">
        <f t="shared" si="36"/>
        <v/>
      </c>
      <c r="G812" s="137" t="e">
        <f>IF(A812&lt;&gt;"",IF(AND(#REF!="Padrão",$H$4=#REF!),BDI!$B$17,IF(AND(#REF!="Padrão",$H$4=#REF!),BDI!#REF!,IF(AND(#REF!="Diferenciado",$H$4=#REF!),BDI!$E$17,IF(AND(#REF!="Diferenciado",$H$4=#REF!),BDI!#REF!,IF(#REF!="ZERO",0))))),"")</f>
        <v>#REF!</v>
      </c>
      <c r="H812" s="138" t="str">
        <f t="shared" si="37"/>
        <v/>
      </c>
      <c r="I812" s="136" t="str">
        <f t="shared" si="38"/>
        <v/>
      </c>
    </row>
    <row r="813" spans="1:9" hidden="1" x14ac:dyDescent="0.25">
      <c r="A813" s="114" t="s">
        <v>2712</v>
      </c>
      <c r="B813" s="115" t="s">
        <v>2713</v>
      </c>
      <c r="C813" s="116" t="s">
        <v>20</v>
      </c>
      <c r="D813" s="116">
        <v>0</v>
      </c>
      <c r="E813" s="135" t="s">
        <v>558</v>
      </c>
      <c r="F813" s="136" t="str">
        <f t="shared" si="36"/>
        <v/>
      </c>
      <c r="G813" s="137" t="e">
        <f>IF(A813&lt;&gt;"",IF(AND(#REF!="Padrão",$H$4=#REF!),BDI!$B$17,IF(AND(#REF!="Padrão",$H$4=#REF!),BDI!#REF!,IF(AND(#REF!="Diferenciado",$H$4=#REF!),BDI!$E$17,IF(AND(#REF!="Diferenciado",$H$4=#REF!),BDI!#REF!,IF(#REF!="ZERO",0))))),"")</f>
        <v>#REF!</v>
      </c>
      <c r="H813" s="138" t="str">
        <f t="shared" si="37"/>
        <v/>
      </c>
      <c r="I813" s="136" t="str">
        <f t="shared" si="38"/>
        <v/>
      </c>
    </row>
    <row r="814" spans="1:9" hidden="1" x14ac:dyDescent="0.25">
      <c r="A814" s="114" t="s">
        <v>2714</v>
      </c>
      <c r="B814" s="115" t="s">
        <v>2715</v>
      </c>
      <c r="C814" s="116" t="s">
        <v>20</v>
      </c>
      <c r="D814" s="116">
        <v>0</v>
      </c>
      <c r="E814" s="135" t="s">
        <v>558</v>
      </c>
      <c r="F814" s="136" t="str">
        <f t="shared" si="36"/>
        <v/>
      </c>
      <c r="G814" s="137" t="e">
        <f>IF(A814&lt;&gt;"",IF(AND(#REF!="Padrão",$H$4=#REF!),BDI!$B$17,IF(AND(#REF!="Padrão",$H$4=#REF!),BDI!#REF!,IF(AND(#REF!="Diferenciado",$H$4=#REF!),BDI!$E$17,IF(AND(#REF!="Diferenciado",$H$4=#REF!),BDI!#REF!,IF(#REF!="ZERO",0))))),"")</f>
        <v>#REF!</v>
      </c>
      <c r="H814" s="138" t="str">
        <f t="shared" si="37"/>
        <v/>
      </c>
      <c r="I814" s="136" t="str">
        <f t="shared" si="38"/>
        <v/>
      </c>
    </row>
    <row r="815" spans="1:9" hidden="1" x14ac:dyDescent="0.25">
      <c r="A815" s="114" t="s">
        <v>2716</v>
      </c>
      <c r="B815" s="115" t="s">
        <v>2717</v>
      </c>
      <c r="C815" s="116" t="s">
        <v>20</v>
      </c>
      <c r="D815" s="116">
        <v>0</v>
      </c>
      <c r="E815" s="135" t="s">
        <v>558</v>
      </c>
      <c r="F815" s="136" t="str">
        <f t="shared" si="36"/>
        <v/>
      </c>
      <c r="G815" s="137" t="e">
        <f>IF(A815&lt;&gt;"",IF(AND(#REF!="Padrão",$H$4=#REF!),BDI!$B$17,IF(AND(#REF!="Padrão",$H$4=#REF!),BDI!#REF!,IF(AND(#REF!="Diferenciado",$H$4=#REF!),BDI!$E$17,IF(AND(#REF!="Diferenciado",$H$4=#REF!),BDI!#REF!,IF(#REF!="ZERO",0))))),"")</f>
        <v>#REF!</v>
      </c>
      <c r="H815" s="138" t="str">
        <f t="shared" si="37"/>
        <v/>
      </c>
      <c r="I815" s="136" t="str">
        <f t="shared" si="38"/>
        <v/>
      </c>
    </row>
    <row r="816" spans="1:9" hidden="1" x14ac:dyDescent="0.25">
      <c r="A816" s="114" t="s">
        <v>2718</v>
      </c>
      <c r="B816" s="115" t="s">
        <v>2719</v>
      </c>
      <c r="C816" s="116" t="s">
        <v>20</v>
      </c>
      <c r="D816" s="116">
        <v>0</v>
      </c>
      <c r="E816" s="135" t="s">
        <v>558</v>
      </c>
      <c r="F816" s="136" t="str">
        <f t="shared" si="36"/>
        <v/>
      </c>
      <c r="G816" s="137" t="e">
        <f>IF(A816&lt;&gt;"",IF(AND(#REF!="Padrão",$H$4=#REF!),BDI!$B$17,IF(AND(#REF!="Padrão",$H$4=#REF!),BDI!#REF!,IF(AND(#REF!="Diferenciado",$H$4=#REF!),BDI!$E$17,IF(AND(#REF!="Diferenciado",$H$4=#REF!),BDI!#REF!,IF(#REF!="ZERO",0))))),"")</f>
        <v>#REF!</v>
      </c>
      <c r="H816" s="138" t="str">
        <f t="shared" si="37"/>
        <v/>
      </c>
      <c r="I816" s="136" t="str">
        <f t="shared" si="38"/>
        <v/>
      </c>
    </row>
    <row r="817" spans="1:9" hidden="1" x14ac:dyDescent="0.25">
      <c r="A817" s="114" t="s">
        <v>2720</v>
      </c>
      <c r="B817" s="115" t="s">
        <v>2721</v>
      </c>
      <c r="C817" s="116" t="s">
        <v>20</v>
      </c>
      <c r="D817" s="116">
        <v>0</v>
      </c>
      <c r="E817" s="135" t="s">
        <v>558</v>
      </c>
      <c r="F817" s="136" t="str">
        <f t="shared" si="36"/>
        <v/>
      </c>
      <c r="G817" s="137" t="e">
        <f>IF(A817&lt;&gt;"",IF(AND(#REF!="Padrão",$H$4=#REF!),BDI!$B$17,IF(AND(#REF!="Padrão",$H$4=#REF!),BDI!#REF!,IF(AND(#REF!="Diferenciado",$H$4=#REF!),BDI!$E$17,IF(AND(#REF!="Diferenciado",$H$4=#REF!),BDI!#REF!,IF(#REF!="ZERO",0))))),"")</f>
        <v>#REF!</v>
      </c>
      <c r="H817" s="138" t="str">
        <f t="shared" si="37"/>
        <v/>
      </c>
      <c r="I817" s="136" t="str">
        <f t="shared" si="38"/>
        <v/>
      </c>
    </row>
    <row r="818" spans="1:9" hidden="1" x14ac:dyDescent="0.25">
      <c r="A818" s="114" t="s">
        <v>2722</v>
      </c>
      <c r="B818" s="115" t="s">
        <v>2723</v>
      </c>
      <c r="C818" s="116" t="s">
        <v>20</v>
      </c>
      <c r="D818" s="116">
        <v>0</v>
      </c>
      <c r="E818" s="135" t="s">
        <v>558</v>
      </c>
      <c r="F818" s="136" t="str">
        <f t="shared" si="36"/>
        <v/>
      </c>
      <c r="G818" s="137" t="e">
        <f>IF(A818&lt;&gt;"",IF(AND(#REF!="Padrão",$H$4=#REF!),BDI!$B$17,IF(AND(#REF!="Padrão",$H$4=#REF!),BDI!#REF!,IF(AND(#REF!="Diferenciado",$H$4=#REF!),BDI!$E$17,IF(AND(#REF!="Diferenciado",$H$4=#REF!),BDI!#REF!,IF(#REF!="ZERO",0))))),"")</f>
        <v>#REF!</v>
      </c>
      <c r="H818" s="138" t="str">
        <f t="shared" si="37"/>
        <v/>
      </c>
      <c r="I818" s="136" t="str">
        <f t="shared" si="38"/>
        <v/>
      </c>
    </row>
    <row r="819" spans="1:9" hidden="1" x14ac:dyDescent="0.25">
      <c r="A819" s="114" t="s">
        <v>2724</v>
      </c>
      <c r="B819" s="115" t="s">
        <v>2725</v>
      </c>
      <c r="C819" s="116" t="s">
        <v>20</v>
      </c>
      <c r="D819" s="116">
        <v>0</v>
      </c>
      <c r="E819" s="135" t="s">
        <v>558</v>
      </c>
      <c r="F819" s="136" t="str">
        <f t="shared" si="36"/>
        <v/>
      </c>
      <c r="G819" s="137" t="e">
        <f>IF(A819&lt;&gt;"",IF(AND(#REF!="Padrão",$H$4=#REF!),BDI!$B$17,IF(AND(#REF!="Padrão",$H$4=#REF!),BDI!#REF!,IF(AND(#REF!="Diferenciado",$H$4=#REF!),BDI!$E$17,IF(AND(#REF!="Diferenciado",$H$4=#REF!),BDI!#REF!,IF(#REF!="ZERO",0))))),"")</f>
        <v>#REF!</v>
      </c>
      <c r="H819" s="138" t="str">
        <f t="shared" si="37"/>
        <v/>
      </c>
      <c r="I819" s="136" t="str">
        <f t="shared" si="38"/>
        <v/>
      </c>
    </row>
    <row r="820" spans="1:9" hidden="1" x14ac:dyDescent="0.25">
      <c r="A820" s="114" t="s">
        <v>2726</v>
      </c>
      <c r="B820" s="115" t="s">
        <v>2727</v>
      </c>
      <c r="C820" s="116" t="s">
        <v>20</v>
      </c>
      <c r="D820" s="116">
        <v>0</v>
      </c>
      <c r="E820" s="135" t="s">
        <v>558</v>
      </c>
      <c r="F820" s="136" t="str">
        <f t="shared" si="36"/>
        <v/>
      </c>
      <c r="G820" s="137" t="e">
        <f>IF(A820&lt;&gt;"",IF(AND(#REF!="Padrão",$H$4=#REF!),BDI!$B$17,IF(AND(#REF!="Padrão",$H$4=#REF!),BDI!#REF!,IF(AND(#REF!="Diferenciado",$H$4=#REF!),BDI!$E$17,IF(AND(#REF!="Diferenciado",$H$4=#REF!),BDI!#REF!,IF(#REF!="ZERO",0))))),"")</f>
        <v>#REF!</v>
      </c>
      <c r="H820" s="138" t="str">
        <f t="shared" si="37"/>
        <v/>
      </c>
      <c r="I820" s="136" t="str">
        <f t="shared" si="38"/>
        <v/>
      </c>
    </row>
    <row r="821" spans="1:9" hidden="1" x14ac:dyDescent="0.25">
      <c r="A821" s="114" t="s">
        <v>2728</v>
      </c>
      <c r="B821" s="115" t="s">
        <v>2729</v>
      </c>
      <c r="C821" s="116" t="s">
        <v>20</v>
      </c>
      <c r="D821" s="116">
        <v>0</v>
      </c>
      <c r="E821" s="135" t="s">
        <v>558</v>
      </c>
      <c r="F821" s="136" t="str">
        <f t="shared" si="36"/>
        <v/>
      </c>
      <c r="G821" s="137" t="e">
        <f>IF(A821&lt;&gt;"",IF(AND(#REF!="Padrão",$H$4=#REF!),BDI!$B$17,IF(AND(#REF!="Padrão",$H$4=#REF!),BDI!#REF!,IF(AND(#REF!="Diferenciado",$H$4=#REF!),BDI!$E$17,IF(AND(#REF!="Diferenciado",$H$4=#REF!),BDI!#REF!,IF(#REF!="ZERO",0))))),"")</f>
        <v>#REF!</v>
      </c>
      <c r="H821" s="138" t="str">
        <f t="shared" si="37"/>
        <v/>
      </c>
      <c r="I821" s="136" t="str">
        <f t="shared" si="38"/>
        <v/>
      </c>
    </row>
    <row r="822" spans="1:9" hidden="1" x14ac:dyDescent="0.25">
      <c r="A822" s="114" t="s">
        <v>2730</v>
      </c>
      <c r="B822" s="115" t="s">
        <v>2731</v>
      </c>
      <c r="C822" s="116" t="s">
        <v>20</v>
      </c>
      <c r="D822" s="116">
        <v>0</v>
      </c>
      <c r="E822" s="135" t="s">
        <v>558</v>
      </c>
      <c r="F822" s="136" t="str">
        <f t="shared" si="36"/>
        <v/>
      </c>
      <c r="G822" s="137" t="e">
        <f>IF(A822&lt;&gt;"",IF(AND(#REF!="Padrão",$H$4=#REF!),BDI!$B$17,IF(AND(#REF!="Padrão",$H$4=#REF!),BDI!#REF!,IF(AND(#REF!="Diferenciado",$H$4=#REF!),BDI!$E$17,IF(AND(#REF!="Diferenciado",$H$4=#REF!),BDI!#REF!,IF(#REF!="ZERO",0))))),"")</f>
        <v>#REF!</v>
      </c>
      <c r="H822" s="138" t="str">
        <f t="shared" si="37"/>
        <v/>
      </c>
      <c r="I822" s="136" t="str">
        <f t="shared" si="38"/>
        <v/>
      </c>
    </row>
    <row r="823" spans="1:9" hidden="1" x14ac:dyDescent="0.25">
      <c r="A823" s="114" t="s">
        <v>2732</v>
      </c>
      <c r="B823" s="115" t="s">
        <v>2733</v>
      </c>
      <c r="C823" s="116" t="s">
        <v>20</v>
      </c>
      <c r="D823" s="116">
        <v>0</v>
      </c>
      <c r="E823" s="135" t="s">
        <v>558</v>
      </c>
      <c r="F823" s="136" t="str">
        <f t="shared" si="36"/>
        <v/>
      </c>
      <c r="G823" s="137" t="e">
        <f>IF(A823&lt;&gt;"",IF(AND(#REF!="Padrão",$H$4=#REF!),BDI!$B$17,IF(AND(#REF!="Padrão",$H$4=#REF!),BDI!#REF!,IF(AND(#REF!="Diferenciado",$H$4=#REF!),BDI!$E$17,IF(AND(#REF!="Diferenciado",$H$4=#REF!),BDI!#REF!,IF(#REF!="ZERO",0))))),"")</f>
        <v>#REF!</v>
      </c>
      <c r="H823" s="138" t="str">
        <f t="shared" si="37"/>
        <v/>
      </c>
      <c r="I823" s="136" t="str">
        <f t="shared" si="38"/>
        <v/>
      </c>
    </row>
    <row r="824" spans="1:9" hidden="1" x14ac:dyDescent="0.25">
      <c r="A824" s="114" t="s">
        <v>2734</v>
      </c>
      <c r="B824" s="115" t="s">
        <v>2735</v>
      </c>
      <c r="C824" s="116" t="s">
        <v>20</v>
      </c>
      <c r="D824" s="116">
        <v>0</v>
      </c>
      <c r="E824" s="135" t="s">
        <v>558</v>
      </c>
      <c r="F824" s="136" t="str">
        <f t="shared" si="36"/>
        <v/>
      </c>
      <c r="G824" s="137" t="e">
        <f>IF(A824&lt;&gt;"",IF(AND(#REF!="Padrão",$H$4=#REF!),BDI!$B$17,IF(AND(#REF!="Padrão",$H$4=#REF!),BDI!#REF!,IF(AND(#REF!="Diferenciado",$H$4=#REF!),BDI!$E$17,IF(AND(#REF!="Diferenciado",$H$4=#REF!),BDI!#REF!,IF(#REF!="ZERO",0))))),"")</f>
        <v>#REF!</v>
      </c>
      <c r="H824" s="138" t="str">
        <f t="shared" si="37"/>
        <v/>
      </c>
      <c r="I824" s="136" t="str">
        <f t="shared" si="38"/>
        <v/>
      </c>
    </row>
    <row r="825" spans="1:9" hidden="1" x14ac:dyDescent="0.25">
      <c r="A825" s="114" t="s">
        <v>2736</v>
      </c>
      <c r="B825" s="115" t="s">
        <v>2737</v>
      </c>
      <c r="C825" s="116" t="s">
        <v>20</v>
      </c>
      <c r="D825" s="116">
        <v>0</v>
      </c>
      <c r="E825" s="135" t="s">
        <v>558</v>
      </c>
      <c r="F825" s="136" t="str">
        <f t="shared" si="36"/>
        <v/>
      </c>
      <c r="G825" s="137" t="e">
        <f>IF(A825&lt;&gt;"",IF(AND(#REF!="Padrão",$H$4=#REF!),BDI!$B$17,IF(AND(#REF!="Padrão",$H$4=#REF!),BDI!#REF!,IF(AND(#REF!="Diferenciado",$H$4=#REF!),BDI!$E$17,IF(AND(#REF!="Diferenciado",$H$4=#REF!),BDI!#REF!,IF(#REF!="ZERO",0))))),"")</f>
        <v>#REF!</v>
      </c>
      <c r="H825" s="138" t="str">
        <f t="shared" si="37"/>
        <v/>
      </c>
      <c r="I825" s="136" t="str">
        <f t="shared" si="38"/>
        <v/>
      </c>
    </row>
    <row r="826" spans="1:9" hidden="1" x14ac:dyDescent="0.25">
      <c r="A826" s="114" t="s">
        <v>2738</v>
      </c>
      <c r="B826" s="115" t="s">
        <v>2739</v>
      </c>
      <c r="C826" s="116" t="s">
        <v>2740</v>
      </c>
      <c r="D826" s="116">
        <v>0</v>
      </c>
      <c r="E826" s="135" t="s">
        <v>558</v>
      </c>
      <c r="F826" s="136" t="str">
        <f t="shared" si="36"/>
        <v/>
      </c>
      <c r="G826" s="137" t="e">
        <f>IF(A826&lt;&gt;"",IF(AND(#REF!="Padrão",$H$4=#REF!),BDI!$B$17,IF(AND(#REF!="Padrão",$H$4=#REF!),BDI!#REF!,IF(AND(#REF!="Diferenciado",$H$4=#REF!),BDI!$E$17,IF(AND(#REF!="Diferenciado",$H$4=#REF!),BDI!#REF!,IF(#REF!="ZERO",0))))),"")</f>
        <v>#REF!</v>
      </c>
      <c r="H826" s="138" t="str">
        <f t="shared" si="37"/>
        <v/>
      </c>
      <c r="I826" s="136" t="str">
        <f t="shared" si="38"/>
        <v/>
      </c>
    </row>
    <row r="827" spans="1:9" hidden="1" x14ac:dyDescent="0.25">
      <c r="A827" s="114" t="s">
        <v>2741</v>
      </c>
      <c r="B827" s="115" t="s">
        <v>6388</v>
      </c>
      <c r="C827" s="116" t="s">
        <v>20</v>
      </c>
      <c r="D827" s="116">
        <v>0</v>
      </c>
      <c r="E827" s="135" t="s">
        <v>558</v>
      </c>
      <c r="F827" s="136" t="str">
        <f t="shared" si="36"/>
        <v/>
      </c>
      <c r="G827" s="137" t="e">
        <f>IF(A827&lt;&gt;"",IF(AND(#REF!="Padrão",$H$4=#REF!),BDI!$B$17,IF(AND(#REF!="Padrão",$H$4=#REF!),BDI!#REF!,IF(AND(#REF!="Diferenciado",$H$4=#REF!),BDI!$E$17,IF(AND(#REF!="Diferenciado",$H$4=#REF!),BDI!#REF!,IF(#REF!="ZERO",0))))),"")</f>
        <v>#REF!</v>
      </c>
      <c r="H827" s="138" t="str">
        <f t="shared" si="37"/>
        <v/>
      </c>
      <c r="I827" s="136" t="str">
        <f t="shared" si="38"/>
        <v/>
      </c>
    </row>
    <row r="828" spans="1:9" ht="25.5" hidden="1" x14ac:dyDescent="0.25">
      <c r="A828" s="114" t="s">
        <v>2742</v>
      </c>
      <c r="B828" s="115" t="s">
        <v>2743</v>
      </c>
      <c r="C828" s="116" t="s">
        <v>2744</v>
      </c>
      <c r="D828" s="116">
        <v>0</v>
      </c>
      <c r="E828" s="135" t="s">
        <v>558</v>
      </c>
      <c r="F828" s="136" t="str">
        <f t="shared" si="36"/>
        <v/>
      </c>
      <c r="G828" s="137" t="e">
        <f>IF(A828&lt;&gt;"",IF(AND(#REF!="Padrão",$H$4=#REF!),BDI!$B$17,IF(AND(#REF!="Padrão",$H$4=#REF!),BDI!#REF!,IF(AND(#REF!="Diferenciado",$H$4=#REF!),BDI!$E$17,IF(AND(#REF!="Diferenciado",$H$4=#REF!),BDI!#REF!,IF(#REF!="ZERO",0))))),"")</f>
        <v>#REF!</v>
      </c>
      <c r="H828" s="138" t="str">
        <f t="shared" si="37"/>
        <v/>
      </c>
      <c r="I828" s="136" t="str">
        <f t="shared" si="38"/>
        <v/>
      </c>
    </row>
    <row r="829" spans="1:9" ht="25.5" hidden="1" x14ac:dyDescent="0.25">
      <c r="A829" s="114" t="s">
        <v>2745</v>
      </c>
      <c r="B829" s="115" t="s">
        <v>2746</v>
      </c>
      <c r="C829" s="116" t="s">
        <v>2744</v>
      </c>
      <c r="D829" s="116">
        <v>0</v>
      </c>
      <c r="E829" s="135" t="s">
        <v>558</v>
      </c>
      <c r="F829" s="136" t="str">
        <f t="shared" si="36"/>
        <v/>
      </c>
      <c r="G829" s="137" t="e">
        <f>IF(A829&lt;&gt;"",IF(AND(#REF!="Padrão",$H$4=#REF!),BDI!$B$17,IF(AND(#REF!="Padrão",$H$4=#REF!),BDI!#REF!,IF(AND(#REF!="Diferenciado",$H$4=#REF!),BDI!$E$17,IF(AND(#REF!="Diferenciado",$H$4=#REF!),BDI!#REF!,IF(#REF!="ZERO",0))))),"")</f>
        <v>#REF!</v>
      </c>
      <c r="H829" s="138" t="str">
        <f t="shared" si="37"/>
        <v/>
      </c>
      <c r="I829" s="136" t="str">
        <f t="shared" si="38"/>
        <v/>
      </c>
    </row>
    <row r="830" spans="1:9" hidden="1" x14ac:dyDescent="0.25">
      <c r="A830" s="114" t="s">
        <v>2747</v>
      </c>
      <c r="B830" s="115" t="s">
        <v>6389</v>
      </c>
      <c r="C830" s="116" t="s">
        <v>20</v>
      </c>
      <c r="D830" s="116">
        <v>0</v>
      </c>
      <c r="E830" s="135" t="s">
        <v>558</v>
      </c>
      <c r="F830" s="136" t="str">
        <f t="shared" si="36"/>
        <v/>
      </c>
      <c r="G830" s="137" t="e">
        <f>IF(A830&lt;&gt;"",IF(AND(#REF!="Padrão",$H$4=#REF!),BDI!$B$17,IF(AND(#REF!="Padrão",$H$4=#REF!),BDI!#REF!,IF(AND(#REF!="Diferenciado",$H$4=#REF!),BDI!$E$17,IF(AND(#REF!="Diferenciado",$H$4=#REF!),BDI!#REF!,IF(#REF!="ZERO",0))))),"")</f>
        <v>#REF!</v>
      </c>
      <c r="H830" s="138" t="str">
        <f t="shared" si="37"/>
        <v/>
      </c>
      <c r="I830" s="136" t="str">
        <f t="shared" si="38"/>
        <v/>
      </c>
    </row>
    <row r="831" spans="1:9" hidden="1" x14ac:dyDescent="0.25">
      <c r="A831" s="114" t="s">
        <v>2748</v>
      </c>
      <c r="B831" s="115" t="s">
        <v>2749</v>
      </c>
      <c r="C831" s="116" t="s">
        <v>2744</v>
      </c>
      <c r="D831" s="116">
        <v>0</v>
      </c>
      <c r="E831" s="135" t="s">
        <v>558</v>
      </c>
      <c r="F831" s="136" t="str">
        <f t="shared" si="36"/>
        <v/>
      </c>
      <c r="G831" s="137" t="e">
        <f>IF(A831&lt;&gt;"",IF(AND(#REF!="Padrão",$H$4=#REF!),BDI!$B$17,IF(AND(#REF!="Padrão",$H$4=#REF!),BDI!#REF!,IF(AND(#REF!="Diferenciado",$H$4=#REF!),BDI!$E$17,IF(AND(#REF!="Diferenciado",$H$4=#REF!),BDI!#REF!,IF(#REF!="ZERO",0))))),"")</f>
        <v>#REF!</v>
      </c>
      <c r="H831" s="138" t="str">
        <f t="shared" si="37"/>
        <v/>
      </c>
      <c r="I831" s="136" t="str">
        <f t="shared" si="38"/>
        <v/>
      </c>
    </row>
    <row r="832" spans="1:9" hidden="1" x14ac:dyDescent="0.25">
      <c r="A832" s="114" t="s">
        <v>2750</v>
      </c>
      <c r="B832" s="115" t="s">
        <v>6390</v>
      </c>
      <c r="C832" s="116" t="s">
        <v>1994</v>
      </c>
      <c r="D832" s="116">
        <v>0</v>
      </c>
      <c r="E832" s="135" t="s">
        <v>558</v>
      </c>
      <c r="F832" s="136" t="str">
        <f t="shared" si="36"/>
        <v/>
      </c>
      <c r="G832" s="137" t="e">
        <f>IF(A832&lt;&gt;"",IF(AND(#REF!="Padrão",$H$4=#REF!),BDI!$B$17,IF(AND(#REF!="Padrão",$H$4=#REF!),BDI!#REF!,IF(AND(#REF!="Diferenciado",$H$4=#REF!),BDI!$E$17,IF(AND(#REF!="Diferenciado",$H$4=#REF!),BDI!#REF!,IF(#REF!="ZERO",0))))),"")</f>
        <v>#REF!</v>
      </c>
      <c r="H832" s="138" t="str">
        <f t="shared" si="37"/>
        <v/>
      </c>
      <c r="I832" s="136" t="str">
        <f t="shared" si="38"/>
        <v/>
      </c>
    </row>
    <row r="833" spans="1:9" hidden="1" x14ac:dyDescent="0.25">
      <c r="A833" s="114" t="s">
        <v>2751</v>
      </c>
      <c r="B833" s="115" t="s">
        <v>6391</v>
      </c>
      <c r="C833" s="116" t="s">
        <v>1994</v>
      </c>
      <c r="D833" s="116">
        <v>0</v>
      </c>
      <c r="E833" s="135" t="s">
        <v>558</v>
      </c>
      <c r="F833" s="136" t="str">
        <f t="shared" si="36"/>
        <v/>
      </c>
      <c r="G833" s="137" t="e">
        <f>IF(A833&lt;&gt;"",IF(AND(#REF!="Padrão",$H$4=#REF!),BDI!$B$17,IF(AND(#REF!="Padrão",$H$4=#REF!),BDI!#REF!,IF(AND(#REF!="Diferenciado",$H$4=#REF!),BDI!$E$17,IF(AND(#REF!="Diferenciado",$H$4=#REF!),BDI!#REF!,IF(#REF!="ZERO",0))))),"")</f>
        <v>#REF!</v>
      </c>
      <c r="H833" s="138" t="str">
        <f t="shared" si="37"/>
        <v/>
      </c>
      <c r="I833" s="136" t="str">
        <f t="shared" si="38"/>
        <v/>
      </c>
    </row>
    <row r="834" spans="1:9" hidden="1" x14ac:dyDescent="0.25">
      <c r="A834" s="114" t="s">
        <v>2752</v>
      </c>
      <c r="B834" s="115" t="s">
        <v>2753</v>
      </c>
      <c r="C834" s="116" t="s">
        <v>20</v>
      </c>
      <c r="D834" s="116">
        <v>0</v>
      </c>
      <c r="E834" s="135">
        <f ca="1">OFFSET(INDEX(Composições!A:J,MATCH(Orçamentária!A834,Composições!A:A,0),8),2,0)</f>
        <v>17.090499999999999</v>
      </c>
      <c r="F834" s="136">
        <f t="shared" ca="1" si="36"/>
        <v>0</v>
      </c>
      <c r="G834" s="137" t="e">
        <f>IF(A834&lt;&gt;"",IF(AND(#REF!="Padrão",$H$4=#REF!),BDI!$B$17,IF(AND(#REF!="Padrão",$H$4=#REF!),BDI!#REF!,IF(AND(#REF!="Diferenciado",$H$4=#REF!),BDI!$E$17,IF(AND(#REF!="Diferenciado",$H$4=#REF!),BDI!#REF!,IF(#REF!="ZERO",0))))),"")</f>
        <v>#REF!</v>
      </c>
      <c r="H834" s="138" t="e">
        <f t="shared" ca="1" si="37"/>
        <v>#REF!</v>
      </c>
      <c r="I834" s="136" t="e">
        <f t="shared" ca="1" si="38"/>
        <v>#REF!</v>
      </c>
    </row>
    <row r="835" spans="1:9" hidden="1" x14ac:dyDescent="0.25">
      <c r="A835" s="114" t="s">
        <v>2754</v>
      </c>
      <c r="B835" s="115" t="s">
        <v>2755</v>
      </c>
      <c r="C835" s="116" t="s">
        <v>20</v>
      </c>
      <c r="D835" s="116">
        <v>0</v>
      </c>
      <c r="E835" s="135" t="s">
        <v>558</v>
      </c>
      <c r="F835" s="136" t="str">
        <f t="shared" si="36"/>
        <v/>
      </c>
      <c r="G835" s="137" t="e">
        <f>IF(A835&lt;&gt;"",IF(AND(#REF!="Padrão",$H$4=#REF!),BDI!$B$17,IF(AND(#REF!="Padrão",$H$4=#REF!),BDI!#REF!,IF(AND(#REF!="Diferenciado",$H$4=#REF!),BDI!$E$17,IF(AND(#REF!="Diferenciado",$H$4=#REF!),BDI!#REF!,IF(#REF!="ZERO",0))))),"")</f>
        <v>#REF!</v>
      </c>
      <c r="H835" s="138" t="str">
        <f t="shared" si="37"/>
        <v/>
      </c>
      <c r="I835" s="136" t="str">
        <f t="shared" si="38"/>
        <v/>
      </c>
    </row>
    <row r="836" spans="1:9" hidden="1" x14ac:dyDescent="0.25">
      <c r="A836" s="114" t="s">
        <v>2756</v>
      </c>
      <c r="B836" s="115" t="s">
        <v>2757</v>
      </c>
      <c r="C836" s="116" t="s">
        <v>20</v>
      </c>
      <c r="D836" s="116">
        <v>0</v>
      </c>
      <c r="E836" s="135" t="s">
        <v>558</v>
      </c>
      <c r="F836" s="136" t="str">
        <f t="shared" si="36"/>
        <v/>
      </c>
      <c r="G836" s="137" t="e">
        <f>IF(A836&lt;&gt;"",IF(AND(#REF!="Padrão",$H$4=#REF!),BDI!$B$17,IF(AND(#REF!="Padrão",$H$4=#REF!),BDI!#REF!,IF(AND(#REF!="Diferenciado",$H$4=#REF!),BDI!$E$17,IF(AND(#REF!="Diferenciado",$H$4=#REF!),BDI!#REF!,IF(#REF!="ZERO",0))))),"")</f>
        <v>#REF!</v>
      </c>
      <c r="H836" s="138" t="str">
        <f t="shared" si="37"/>
        <v/>
      </c>
      <c r="I836" s="136" t="str">
        <f t="shared" si="38"/>
        <v/>
      </c>
    </row>
    <row r="837" spans="1:9" hidden="1" x14ac:dyDescent="0.25">
      <c r="A837" s="114" t="s">
        <v>2758</v>
      </c>
      <c r="B837" s="115" t="s">
        <v>2759</v>
      </c>
      <c r="C837" s="116" t="s">
        <v>2744</v>
      </c>
      <c r="D837" s="116">
        <v>0</v>
      </c>
      <c r="E837" s="135" t="s">
        <v>558</v>
      </c>
      <c r="F837" s="136" t="str">
        <f t="shared" si="36"/>
        <v/>
      </c>
      <c r="G837" s="137" t="e">
        <f>IF(A837&lt;&gt;"",IF(AND(#REF!="Padrão",$H$4=#REF!),BDI!$B$17,IF(AND(#REF!="Padrão",$H$4=#REF!),BDI!#REF!,IF(AND(#REF!="Diferenciado",$H$4=#REF!),BDI!$E$17,IF(AND(#REF!="Diferenciado",$H$4=#REF!),BDI!#REF!,IF(#REF!="ZERO",0))))),"")</f>
        <v>#REF!</v>
      </c>
      <c r="H837" s="138" t="str">
        <f t="shared" si="37"/>
        <v/>
      </c>
      <c r="I837" s="136" t="str">
        <f t="shared" si="38"/>
        <v/>
      </c>
    </row>
    <row r="838" spans="1:9" hidden="1" x14ac:dyDescent="0.25">
      <c r="A838" s="114" t="s">
        <v>2760</v>
      </c>
      <c r="B838" s="115" t="s">
        <v>2761</v>
      </c>
      <c r="C838" s="116" t="s">
        <v>2744</v>
      </c>
      <c r="D838" s="116">
        <v>0</v>
      </c>
      <c r="E838" s="135" t="s">
        <v>558</v>
      </c>
      <c r="F838" s="136" t="str">
        <f t="shared" si="36"/>
        <v/>
      </c>
      <c r="G838" s="137" t="e">
        <f>IF(A838&lt;&gt;"",IF(AND(#REF!="Padrão",$H$4=#REF!),BDI!$B$17,IF(AND(#REF!="Padrão",$H$4=#REF!),BDI!#REF!,IF(AND(#REF!="Diferenciado",$H$4=#REF!),BDI!$E$17,IF(AND(#REF!="Diferenciado",$H$4=#REF!),BDI!#REF!,IF(#REF!="ZERO",0))))),"")</f>
        <v>#REF!</v>
      </c>
      <c r="H838" s="138" t="str">
        <f t="shared" si="37"/>
        <v/>
      </c>
      <c r="I838" s="136" t="str">
        <f t="shared" si="38"/>
        <v/>
      </c>
    </row>
    <row r="839" spans="1:9" hidden="1" x14ac:dyDescent="0.25">
      <c r="A839" s="114" t="s">
        <v>2762</v>
      </c>
      <c r="B839" s="115" t="s">
        <v>2763</v>
      </c>
      <c r="C839" s="116" t="s">
        <v>1994</v>
      </c>
      <c r="D839" s="116">
        <v>0</v>
      </c>
      <c r="E839" s="135" t="s">
        <v>558</v>
      </c>
      <c r="F839" s="136" t="str">
        <f t="shared" ref="F839:F902" si="39">IF(ISNUMBER(E839),D839*E839,"")</f>
        <v/>
      </c>
      <c r="G839" s="137" t="e">
        <f>IF(A839&lt;&gt;"",IF(AND(#REF!="Padrão",$H$4=#REF!),BDI!$B$17,IF(AND(#REF!="Padrão",$H$4=#REF!),BDI!#REF!,IF(AND(#REF!="Diferenciado",$H$4=#REF!),BDI!$E$17,IF(AND(#REF!="Diferenciado",$H$4=#REF!),BDI!#REF!,IF(#REF!="ZERO",0))))),"")</f>
        <v>#REF!</v>
      </c>
      <c r="H839" s="138" t="str">
        <f t="shared" ref="H839:H902" si="40">IF(ISNUMBER(E839),ROUND(E839*(1+G839),2),"")</f>
        <v/>
      </c>
      <c r="I839" s="136" t="str">
        <f t="shared" ref="I839:I902" si="41">IF(ISNUMBER(E839),ROUND(H839*D839,2),"")</f>
        <v/>
      </c>
    </row>
    <row r="840" spans="1:9" hidden="1" x14ac:dyDescent="0.25">
      <c r="A840" s="114" t="s">
        <v>2764</v>
      </c>
      <c r="B840" s="115" t="s">
        <v>2765</v>
      </c>
      <c r="C840" s="116" t="s">
        <v>2744</v>
      </c>
      <c r="D840" s="116">
        <v>0</v>
      </c>
      <c r="E840" s="135" t="s">
        <v>558</v>
      </c>
      <c r="F840" s="136" t="str">
        <f t="shared" si="39"/>
        <v/>
      </c>
      <c r="G840" s="137" t="e">
        <f>IF(A840&lt;&gt;"",IF(AND(#REF!="Padrão",$H$4=#REF!),BDI!$B$17,IF(AND(#REF!="Padrão",$H$4=#REF!),BDI!#REF!,IF(AND(#REF!="Diferenciado",$H$4=#REF!),BDI!$E$17,IF(AND(#REF!="Diferenciado",$H$4=#REF!),BDI!#REF!,IF(#REF!="ZERO",0))))),"")</f>
        <v>#REF!</v>
      </c>
      <c r="H840" s="138" t="str">
        <f t="shared" si="40"/>
        <v/>
      </c>
      <c r="I840" s="136" t="str">
        <f t="shared" si="41"/>
        <v/>
      </c>
    </row>
    <row r="841" spans="1:9" hidden="1" x14ac:dyDescent="0.25">
      <c r="A841" s="114" t="s">
        <v>2766</v>
      </c>
      <c r="B841" s="115" t="s">
        <v>6392</v>
      </c>
      <c r="C841" s="116" t="s">
        <v>20</v>
      </c>
      <c r="D841" s="116">
        <v>0</v>
      </c>
      <c r="E841" s="135" t="s">
        <v>558</v>
      </c>
      <c r="F841" s="136" t="str">
        <f t="shared" si="39"/>
        <v/>
      </c>
      <c r="G841" s="137" t="e">
        <f>IF(A841&lt;&gt;"",IF(AND(#REF!="Padrão",$H$4=#REF!),BDI!$B$17,IF(AND(#REF!="Padrão",$H$4=#REF!),BDI!#REF!,IF(AND(#REF!="Diferenciado",$H$4=#REF!),BDI!$E$17,IF(AND(#REF!="Diferenciado",$H$4=#REF!),BDI!#REF!,IF(#REF!="ZERO",0))))),"")</f>
        <v>#REF!</v>
      </c>
      <c r="H841" s="138" t="str">
        <f t="shared" si="40"/>
        <v/>
      </c>
      <c r="I841" s="136" t="str">
        <f t="shared" si="41"/>
        <v/>
      </c>
    </row>
    <row r="842" spans="1:9" hidden="1" x14ac:dyDescent="0.25">
      <c r="A842" s="114" t="s">
        <v>2767</v>
      </c>
      <c r="B842" s="115" t="s">
        <v>6452</v>
      </c>
      <c r="C842" s="116" t="s">
        <v>20</v>
      </c>
      <c r="D842" s="116">
        <v>0</v>
      </c>
      <c r="E842" s="135" t="s">
        <v>558</v>
      </c>
      <c r="F842" s="136" t="str">
        <f t="shared" si="39"/>
        <v/>
      </c>
      <c r="G842" s="137" t="e">
        <f>IF(A842&lt;&gt;"",IF(AND(#REF!="Padrão",$H$4=#REF!),BDI!$B$17,IF(AND(#REF!="Padrão",$H$4=#REF!),BDI!#REF!,IF(AND(#REF!="Diferenciado",$H$4=#REF!),BDI!$E$17,IF(AND(#REF!="Diferenciado",$H$4=#REF!),BDI!#REF!,IF(#REF!="ZERO",0))))),"")</f>
        <v>#REF!</v>
      </c>
      <c r="H842" s="138" t="str">
        <f t="shared" si="40"/>
        <v/>
      </c>
      <c r="I842" s="136" t="str">
        <f t="shared" si="41"/>
        <v/>
      </c>
    </row>
    <row r="843" spans="1:9" hidden="1" x14ac:dyDescent="0.25">
      <c r="A843" s="114" t="s">
        <v>2768</v>
      </c>
      <c r="B843" s="115" t="s">
        <v>2769</v>
      </c>
      <c r="C843" s="116" t="s">
        <v>20</v>
      </c>
      <c r="D843" s="116">
        <v>0</v>
      </c>
      <c r="E843" s="135" t="s">
        <v>558</v>
      </c>
      <c r="F843" s="136" t="str">
        <f t="shared" si="39"/>
        <v/>
      </c>
      <c r="G843" s="137" t="e">
        <f>IF(A843&lt;&gt;"",IF(AND(#REF!="Padrão",$H$4=#REF!),BDI!$B$17,IF(AND(#REF!="Padrão",$H$4=#REF!),BDI!#REF!,IF(AND(#REF!="Diferenciado",$H$4=#REF!),BDI!$E$17,IF(AND(#REF!="Diferenciado",$H$4=#REF!),BDI!#REF!,IF(#REF!="ZERO",0))))),"")</f>
        <v>#REF!</v>
      </c>
      <c r="H843" s="138" t="str">
        <f t="shared" si="40"/>
        <v/>
      </c>
      <c r="I843" s="136" t="str">
        <f t="shared" si="41"/>
        <v/>
      </c>
    </row>
    <row r="844" spans="1:9" hidden="1" x14ac:dyDescent="0.25">
      <c r="A844" s="114" t="s">
        <v>2770</v>
      </c>
      <c r="B844" s="115" t="s">
        <v>6453</v>
      </c>
      <c r="C844" s="116" t="s">
        <v>20</v>
      </c>
      <c r="D844" s="116">
        <v>0</v>
      </c>
      <c r="E844" s="135" t="s">
        <v>558</v>
      </c>
      <c r="F844" s="136" t="str">
        <f t="shared" si="39"/>
        <v/>
      </c>
      <c r="G844" s="137" t="e">
        <f>IF(A844&lt;&gt;"",IF(AND(#REF!="Padrão",$H$4=#REF!),BDI!$B$17,IF(AND(#REF!="Padrão",$H$4=#REF!),BDI!#REF!,IF(AND(#REF!="Diferenciado",$H$4=#REF!),BDI!$E$17,IF(AND(#REF!="Diferenciado",$H$4=#REF!),BDI!#REF!,IF(#REF!="ZERO",0))))),"")</f>
        <v>#REF!</v>
      </c>
      <c r="H844" s="138" t="str">
        <f t="shared" si="40"/>
        <v/>
      </c>
      <c r="I844" s="136" t="str">
        <f t="shared" si="41"/>
        <v/>
      </c>
    </row>
    <row r="845" spans="1:9" hidden="1" x14ac:dyDescent="0.25">
      <c r="A845" s="114" t="s">
        <v>2771</v>
      </c>
      <c r="B845" s="115" t="s">
        <v>2772</v>
      </c>
      <c r="C845" s="116" t="s">
        <v>20</v>
      </c>
      <c r="D845" s="116">
        <v>0</v>
      </c>
      <c r="E845" s="135">
        <f ca="1">OFFSET(INDEX(Composições!A:J,MATCH(Orçamentária!A845,Composições!A:A,0),8),2,0)</f>
        <v>175.8545</v>
      </c>
      <c r="F845" s="136">
        <f t="shared" ca="1" si="39"/>
        <v>0</v>
      </c>
      <c r="G845" s="137" t="e">
        <f>IF(A845&lt;&gt;"",IF(AND(#REF!="Padrão",$H$4=#REF!),BDI!$B$17,IF(AND(#REF!="Padrão",$H$4=#REF!),BDI!#REF!,IF(AND(#REF!="Diferenciado",$H$4=#REF!),BDI!$E$17,IF(AND(#REF!="Diferenciado",$H$4=#REF!),BDI!#REF!,IF(#REF!="ZERO",0))))),"")</f>
        <v>#REF!</v>
      </c>
      <c r="H845" s="138" t="e">
        <f t="shared" ca="1" si="40"/>
        <v>#REF!</v>
      </c>
      <c r="I845" s="136" t="e">
        <f t="shared" ca="1" si="41"/>
        <v>#REF!</v>
      </c>
    </row>
    <row r="846" spans="1:9" hidden="1" x14ac:dyDescent="0.25">
      <c r="A846" s="114" t="s">
        <v>2773</v>
      </c>
      <c r="B846" s="115" t="s">
        <v>6454</v>
      </c>
      <c r="C846" s="116" t="s">
        <v>20</v>
      </c>
      <c r="D846" s="116">
        <v>0</v>
      </c>
      <c r="E846" s="135" t="s">
        <v>558</v>
      </c>
      <c r="F846" s="136" t="str">
        <f t="shared" si="39"/>
        <v/>
      </c>
      <c r="G846" s="137" t="e">
        <f>IF(A846&lt;&gt;"",IF(AND(#REF!="Padrão",$H$4=#REF!),BDI!$B$17,IF(AND(#REF!="Padrão",$H$4=#REF!),BDI!#REF!,IF(AND(#REF!="Diferenciado",$H$4=#REF!),BDI!$E$17,IF(AND(#REF!="Diferenciado",$H$4=#REF!),BDI!#REF!,IF(#REF!="ZERO",0))))),"")</f>
        <v>#REF!</v>
      </c>
      <c r="H846" s="138" t="str">
        <f t="shared" si="40"/>
        <v/>
      </c>
      <c r="I846" s="136" t="str">
        <f t="shared" si="41"/>
        <v/>
      </c>
    </row>
    <row r="847" spans="1:9" hidden="1" x14ac:dyDescent="0.25">
      <c r="A847" s="114" t="s">
        <v>2774</v>
      </c>
      <c r="B847" s="115" t="s">
        <v>6455</v>
      </c>
      <c r="C847" s="116" t="s">
        <v>20</v>
      </c>
      <c r="D847" s="116">
        <v>0</v>
      </c>
      <c r="E847" s="135" t="s">
        <v>558</v>
      </c>
      <c r="F847" s="136" t="str">
        <f t="shared" si="39"/>
        <v/>
      </c>
      <c r="G847" s="137" t="e">
        <f>IF(A847&lt;&gt;"",IF(AND(#REF!="Padrão",$H$4=#REF!),BDI!$B$17,IF(AND(#REF!="Padrão",$H$4=#REF!),BDI!#REF!,IF(AND(#REF!="Diferenciado",$H$4=#REF!),BDI!$E$17,IF(AND(#REF!="Diferenciado",$H$4=#REF!),BDI!#REF!,IF(#REF!="ZERO",0))))),"")</f>
        <v>#REF!</v>
      </c>
      <c r="H847" s="138" t="str">
        <f t="shared" si="40"/>
        <v/>
      </c>
      <c r="I847" s="136" t="str">
        <f t="shared" si="41"/>
        <v/>
      </c>
    </row>
    <row r="848" spans="1:9" hidden="1" x14ac:dyDescent="0.25">
      <c r="A848" s="114" t="s">
        <v>2775</v>
      </c>
      <c r="B848" s="115" t="s">
        <v>2776</v>
      </c>
      <c r="C848" s="116" t="s">
        <v>2744</v>
      </c>
      <c r="D848" s="116">
        <v>0</v>
      </c>
      <c r="E848" s="135" t="s">
        <v>558</v>
      </c>
      <c r="F848" s="136" t="str">
        <f t="shared" si="39"/>
        <v/>
      </c>
      <c r="G848" s="137" t="e">
        <f>IF(A848&lt;&gt;"",IF(AND(#REF!="Padrão",$H$4=#REF!),BDI!$B$17,IF(AND(#REF!="Padrão",$H$4=#REF!),BDI!#REF!,IF(AND(#REF!="Diferenciado",$H$4=#REF!),BDI!$E$17,IF(AND(#REF!="Diferenciado",$H$4=#REF!),BDI!#REF!,IF(#REF!="ZERO",0))))),"")</f>
        <v>#REF!</v>
      </c>
      <c r="H848" s="138" t="str">
        <f t="shared" si="40"/>
        <v/>
      </c>
      <c r="I848" s="136" t="str">
        <f t="shared" si="41"/>
        <v/>
      </c>
    </row>
    <row r="849" spans="1:9" hidden="1" x14ac:dyDescent="0.25">
      <c r="A849" s="114" t="s">
        <v>833</v>
      </c>
      <c r="B849" s="115" t="s">
        <v>2777</v>
      </c>
      <c r="C849" s="116" t="s">
        <v>95</v>
      </c>
      <c r="D849" s="116">
        <v>0</v>
      </c>
      <c r="E849" s="135">
        <f ca="1">OFFSET(INDEX(Composições!A:J,MATCH(Orçamentária!A849,Composições!A:A,0),8),2,0)</f>
        <v>30.903500000000001</v>
      </c>
      <c r="F849" s="136">
        <f t="shared" ca="1" si="39"/>
        <v>0</v>
      </c>
      <c r="G849" s="137" t="e">
        <f>IF(A849&lt;&gt;"",IF(AND(#REF!="Padrão",$H$4=#REF!),BDI!$B$17,IF(AND(#REF!="Padrão",$H$4=#REF!),BDI!#REF!,IF(AND(#REF!="Diferenciado",$H$4=#REF!),BDI!$E$17,IF(AND(#REF!="Diferenciado",$H$4=#REF!),BDI!#REF!,IF(#REF!="ZERO",0))))),"")</f>
        <v>#REF!</v>
      </c>
      <c r="H849" s="138" t="e">
        <f t="shared" ca="1" si="40"/>
        <v>#REF!</v>
      </c>
      <c r="I849" s="136" t="e">
        <f t="shared" ca="1" si="41"/>
        <v>#REF!</v>
      </c>
    </row>
    <row r="850" spans="1:9" hidden="1" x14ac:dyDescent="0.25">
      <c r="A850" s="114" t="s">
        <v>835</v>
      </c>
      <c r="B850" s="115" t="s">
        <v>2778</v>
      </c>
      <c r="C850" s="116" t="s">
        <v>95</v>
      </c>
      <c r="D850" s="116">
        <v>0</v>
      </c>
      <c r="E850" s="135">
        <f ca="1">OFFSET(INDEX(Composições!A:J,MATCH(Orçamentária!A850,Composições!A:A,0),8),2,0)</f>
        <v>242.07284399999998</v>
      </c>
      <c r="F850" s="136">
        <f t="shared" ca="1" si="39"/>
        <v>0</v>
      </c>
      <c r="G850" s="137" t="e">
        <f>IF(A850&lt;&gt;"",IF(AND(#REF!="Padrão",$H$4=#REF!),BDI!$B$17,IF(AND(#REF!="Padrão",$H$4=#REF!),BDI!#REF!,IF(AND(#REF!="Diferenciado",$H$4=#REF!),BDI!$E$17,IF(AND(#REF!="Diferenciado",$H$4=#REF!),BDI!#REF!,IF(#REF!="ZERO",0))))),"")</f>
        <v>#REF!</v>
      </c>
      <c r="H850" s="138" t="e">
        <f t="shared" ca="1" si="40"/>
        <v>#REF!</v>
      </c>
      <c r="I850" s="136" t="e">
        <f t="shared" ca="1" si="41"/>
        <v>#REF!</v>
      </c>
    </row>
    <row r="851" spans="1:9" hidden="1" x14ac:dyDescent="0.25">
      <c r="A851" s="114" t="s">
        <v>837</v>
      </c>
      <c r="B851" s="115" t="s">
        <v>2779</v>
      </c>
      <c r="C851" s="116" t="s">
        <v>95</v>
      </c>
      <c r="D851" s="116">
        <v>0</v>
      </c>
      <c r="E851" s="135">
        <f ca="1">OFFSET(INDEX(Composições!A:J,MATCH(Orçamentária!A851,Composições!A:A,0),8),2,0)</f>
        <v>121.0395</v>
      </c>
      <c r="F851" s="136">
        <f t="shared" ca="1" si="39"/>
        <v>0</v>
      </c>
      <c r="G851" s="137" t="e">
        <f>IF(A851&lt;&gt;"",IF(AND(#REF!="Padrão",$H$4=#REF!),BDI!$B$17,IF(AND(#REF!="Padrão",$H$4=#REF!),BDI!#REF!,IF(AND(#REF!="Diferenciado",$H$4=#REF!),BDI!$E$17,IF(AND(#REF!="Diferenciado",$H$4=#REF!),BDI!#REF!,IF(#REF!="ZERO",0))))),"")</f>
        <v>#REF!</v>
      </c>
      <c r="H851" s="138" t="e">
        <f t="shared" ca="1" si="40"/>
        <v>#REF!</v>
      </c>
      <c r="I851" s="136" t="e">
        <f t="shared" ca="1" si="41"/>
        <v>#REF!</v>
      </c>
    </row>
    <row r="852" spans="1:9" hidden="1" x14ac:dyDescent="0.25">
      <c r="A852" s="114" t="s">
        <v>2780</v>
      </c>
      <c r="B852" s="115" t="s">
        <v>2781</v>
      </c>
      <c r="C852" s="116" t="s">
        <v>93</v>
      </c>
      <c r="D852" s="116">
        <v>0</v>
      </c>
      <c r="E852" s="135">
        <f ca="1">OFFSET(INDEX(Composições!A:J,MATCH(Orçamentária!A852,Composições!A:A,0),8),2,0)</f>
        <v>18.905000000000001</v>
      </c>
      <c r="F852" s="136">
        <f t="shared" ca="1" si="39"/>
        <v>0</v>
      </c>
      <c r="G852" s="137" t="e">
        <f>IF(A852&lt;&gt;"",IF(AND(#REF!="Padrão",$H$4=#REF!),BDI!$B$17,IF(AND(#REF!="Padrão",$H$4=#REF!),BDI!#REF!,IF(AND(#REF!="Diferenciado",$H$4=#REF!),BDI!$E$17,IF(AND(#REF!="Diferenciado",$H$4=#REF!),BDI!#REF!,IF(#REF!="ZERO",0))))),"")</f>
        <v>#REF!</v>
      </c>
      <c r="H852" s="138" t="e">
        <f t="shared" ca="1" si="40"/>
        <v>#REF!</v>
      </c>
      <c r="I852" s="136" t="e">
        <f t="shared" ca="1" si="41"/>
        <v>#REF!</v>
      </c>
    </row>
    <row r="853" spans="1:9" hidden="1" x14ac:dyDescent="0.25">
      <c r="A853" s="114" t="s">
        <v>2782</v>
      </c>
      <c r="B853" s="115" t="s">
        <v>2783</v>
      </c>
      <c r="C853" s="116" t="s">
        <v>93</v>
      </c>
      <c r="D853" s="116">
        <v>0</v>
      </c>
      <c r="E853" s="135">
        <f ca="1">OFFSET(INDEX(Composições!A:J,MATCH(Orçamentária!A853,Composições!A:A,0),8),2,0)</f>
        <v>28.357499999999998</v>
      </c>
      <c r="F853" s="136">
        <f t="shared" ca="1" si="39"/>
        <v>0</v>
      </c>
      <c r="G853" s="137" t="e">
        <f>IF(A853&lt;&gt;"",IF(AND(#REF!="Padrão",$H$4=#REF!),BDI!$B$17,IF(AND(#REF!="Padrão",$H$4=#REF!),BDI!#REF!,IF(AND(#REF!="Diferenciado",$H$4=#REF!),BDI!$E$17,IF(AND(#REF!="Diferenciado",$H$4=#REF!),BDI!#REF!,IF(#REF!="ZERO",0))))),"")</f>
        <v>#REF!</v>
      </c>
      <c r="H853" s="138" t="e">
        <f t="shared" ca="1" si="40"/>
        <v>#REF!</v>
      </c>
      <c r="I853" s="136" t="e">
        <f t="shared" ca="1" si="41"/>
        <v>#REF!</v>
      </c>
    </row>
    <row r="854" spans="1:9" hidden="1" x14ac:dyDescent="0.25">
      <c r="A854" s="114" t="s">
        <v>839</v>
      </c>
      <c r="B854" s="115" t="s">
        <v>2784</v>
      </c>
      <c r="C854" s="116" t="s">
        <v>95</v>
      </c>
      <c r="D854" s="116">
        <v>0</v>
      </c>
      <c r="E854" s="135">
        <f ca="1">OFFSET(INDEX(Composições!A:J,MATCH(Orçamentária!A854,Composições!A:A,0),8),2,0)</f>
        <v>275.77596549999998</v>
      </c>
      <c r="F854" s="136">
        <f t="shared" ca="1" si="39"/>
        <v>0</v>
      </c>
      <c r="G854" s="137" t="e">
        <f>IF(A854&lt;&gt;"",IF(AND(#REF!="Padrão",$H$4=#REF!),BDI!$B$17,IF(AND(#REF!="Padrão",$H$4=#REF!),BDI!#REF!,IF(AND(#REF!="Diferenciado",$H$4=#REF!),BDI!$E$17,IF(AND(#REF!="Diferenciado",$H$4=#REF!),BDI!#REF!,IF(#REF!="ZERO",0))))),"")</f>
        <v>#REF!</v>
      </c>
      <c r="H854" s="138" t="e">
        <f t="shared" ca="1" si="40"/>
        <v>#REF!</v>
      </c>
      <c r="I854" s="136" t="e">
        <f t="shared" ca="1" si="41"/>
        <v>#REF!</v>
      </c>
    </row>
    <row r="855" spans="1:9" hidden="1" x14ac:dyDescent="0.25">
      <c r="A855" s="114" t="s">
        <v>841</v>
      </c>
      <c r="B855" s="115" t="s">
        <v>2785</v>
      </c>
      <c r="C855" s="116" t="s">
        <v>20</v>
      </c>
      <c r="D855" s="116">
        <v>0</v>
      </c>
      <c r="E855" s="135">
        <f ca="1">OFFSET(INDEX(Composições!A:J,MATCH(Orçamentária!A855,Composições!A:A,0),8),2,0)</f>
        <v>3.1620750000000002</v>
      </c>
      <c r="F855" s="136">
        <f t="shared" ca="1" si="39"/>
        <v>0</v>
      </c>
      <c r="G855" s="137" t="e">
        <f>IF(A855&lt;&gt;"",IF(AND(#REF!="Padrão",$H$4=#REF!),BDI!$B$17,IF(AND(#REF!="Padrão",$H$4=#REF!),BDI!#REF!,IF(AND(#REF!="Diferenciado",$H$4=#REF!),BDI!$E$17,IF(AND(#REF!="Diferenciado",$H$4=#REF!),BDI!#REF!,IF(#REF!="ZERO",0))))),"")</f>
        <v>#REF!</v>
      </c>
      <c r="H855" s="138" t="e">
        <f t="shared" ca="1" si="40"/>
        <v>#REF!</v>
      </c>
      <c r="I855" s="136" t="e">
        <f t="shared" ca="1" si="41"/>
        <v>#REF!</v>
      </c>
    </row>
    <row r="856" spans="1:9" hidden="1" x14ac:dyDescent="0.25">
      <c r="A856" s="114" t="s">
        <v>843</v>
      </c>
      <c r="B856" s="115" t="s">
        <v>2786</v>
      </c>
      <c r="C856" s="116" t="s">
        <v>20</v>
      </c>
      <c r="D856" s="116">
        <v>0</v>
      </c>
      <c r="E856" s="135">
        <f ca="1">OFFSET(INDEX(Composições!A:J,MATCH(Orçamentária!A856,Composições!A:A,0),8),2,0)</f>
        <v>6.3241500000000004</v>
      </c>
      <c r="F856" s="136">
        <f t="shared" ca="1" si="39"/>
        <v>0</v>
      </c>
      <c r="G856" s="137" t="e">
        <f>IF(A856&lt;&gt;"",IF(AND(#REF!="Padrão",$H$4=#REF!),BDI!$B$17,IF(AND(#REF!="Padrão",$H$4=#REF!),BDI!#REF!,IF(AND(#REF!="Diferenciado",$H$4=#REF!),BDI!$E$17,IF(AND(#REF!="Diferenciado",$H$4=#REF!),BDI!#REF!,IF(#REF!="ZERO",0))))),"")</f>
        <v>#REF!</v>
      </c>
      <c r="H856" s="138" t="e">
        <f t="shared" ca="1" si="40"/>
        <v>#REF!</v>
      </c>
      <c r="I856" s="136" t="e">
        <f t="shared" ca="1" si="41"/>
        <v>#REF!</v>
      </c>
    </row>
    <row r="857" spans="1:9" hidden="1" x14ac:dyDescent="0.25">
      <c r="A857" s="114" t="s">
        <v>845</v>
      </c>
      <c r="B857" s="115" t="s">
        <v>2787</v>
      </c>
      <c r="C857" s="116" t="s">
        <v>20</v>
      </c>
      <c r="D857" s="116">
        <v>0</v>
      </c>
      <c r="E857" s="135">
        <f ca="1">OFFSET(INDEX(Composições!A:J,MATCH(Orçamentária!A857,Composições!A:A,0),8),2,0)</f>
        <v>3.1620750000000002</v>
      </c>
      <c r="F857" s="136">
        <f t="shared" ca="1" si="39"/>
        <v>0</v>
      </c>
      <c r="G857" s="137" t="e">
        <f>IF(A857&lt;&gt;"",IF(AND(#REF!="Padrão",$H$4=#REF!),BDI!$B$17,IF(AND(#REF!="Padrão",$H$4=#REF!),BDI!#REF!,IF(AND(#REF!="Diferenciado",$H$4=#REF!),BDI!$E$17,IF(AND(#REF!="Diferenciado",$H$4=#REF!),BDI!#REF!,IF(#REF!="ZERO",0))))),"")</f>
        <v>#REF!</v>
      </c>
      <c r="H857" s="138" t="e">
        <f t="shared" ca="1" si="40"/>
        <v>#REF!</v>
      </c>
      <c r="I857" s="136" t="e">
        <f t="shared" ca="1" si="41"/>
        <v>#REF!</v>
      </c>
    </row>
    <row r="858" spans="1:9" hidden="1" x14ac:dyDescent="0.25">
      <c r="A858" s="114" t="s">
        <v>847</v>
      </c>
      <c r="B858" s="115" t="s">
        <v>2788</v>
      </c>
      <c r="C858" s="116" t="s">
        <v>20</v>
      </c>
      <c r="D858" s="116">
        <v>0</v>
      </c>
      <c r="E858" s="135">
        <f ca="1">OFFSET(INDEX(Composições!A:J,MATCH(Orçamentária!A858,Composições!A:A,0),8),2,0)</f>
        <v>6.3241500000000004</v>
      </c>
      <c r="F858" s="136">
        <f t="shared" ca="1" si="39"/>
        <v>0</v>
      </c>
      <c r="G858" s="137" t="e">
        <f>IF(A858&lt;&gt;"",IF(AND(#REF!="Padrão",$H$4=#REF!),BDI!$B$17,IF(AND(#REF!="Padrão",$H$4=#REF!),BDI!#REF!,IF(AND(#REF!="Diferenciado",$H$4=#REF!),BDI!$E$17,IF(AND(#REF!="Diferenciado",$H$4=#REF!),BDI!#REF!,IF(#REF!="ZERO",0))))),"")</f>
        <v>#REF!</v>
      </c>
      <c r="H858" s="138" t="e">
        <f t="shared" ca="1" si="40"/>
        <v>#REF!</v>
      </c>
      <c r="I858" s="136" t="e">
        <f t="shared" ca="1" si="41"/>
        <v>#REF!</v>
      </c>
    </row>
    <row r="859" spans="1:9" hidden="1" x14ac:dyDescent="0.25">
      <c r="A859" s="114" t="s">
        <v>850</v>
      </c>
      <c r="B859" s="115" t="s">
        <v>2789</v>
      </c>
      <c r="C859" s="116" t="s">
        <v>20</v>
      </c>
      <c r="D859" s="116">
        <v>0</v>
      </c>
      <c r="E859" s="135">
        <f ca="1">OFFSET(INDEX(Composições!A:J,MATCH(Orçamentária!A859,Composições!A:A,0),8),2,0)</f>
        <v>3.1620750000000002</v>
      </c>
      <c r="F859" s="136">
        <f t="shared" ca="1" si="39"/>
        <v>0</v>
      </c>
      <c r="G859" s="137" t="e">
        <f>IF(A859&lt;&gt;"",IF(AND(#REF!="Padrão",$H$4=#REF!),BDI!$B$17,IF(AND(#REF!="Padrão",$H$4=#REF!),BDI!#REF!,IF(AND(#REF!="Diferenciado",$H$4=#REF!),BDI!$E$17,IF(AND(#REF!="Diferenciado",$H$4=#REF!),BDI!#REF!,IF(#REF!="ZERO",0))))),"")</f>
        <v>#REF!</v>
      </c>
      <c r="H859" s="138" t="e">
        <f t="shared" ca="1" si="40"/>
        <v>#REF!</v>
      </c>
      <c r="I859" s="136" t="e">
        <f t="shared" ca="1" si="41"/>
        <v>#REF!</v>
      </c>
    </row>
    <row r="860" spans="1:9" hidden="1" x14ac:dyDescent="0.25">
      <c r="A860" s="114" t="s">
        <v>852</v>
      </c>
      <c r="B860" s="115" t="s">
        <v>2790</v>
      </c>
      <c r="C860" s="116" t="s">
        <v>20</v>
      </c>
      <c r="D860" s="116">
        <v>0</v>
      </c>
      <c r="E860" s="135">
        <f ca="1">OFFSET(INDEX(Composições!A:J,MATCH(Orçamentária!A860,Composições!A:A,0),8),2,0)</f>
        <v>8.4321999999999999</v>
      </c>
      <c r="F860" s="136">
        <f t="shared" ca="1" si="39"/>
        <v>0</v>
      </c>
      <c r="G860" s="137" t="e">
        <f>IF(A860&lt;&gt;"",IF(AND(#REF!="Padrão",$H$4=#REF!),BDI!$B$17,IF(AND(#REF!="Padrão",$H$4=#REF!),BDI!#REF!,IF(AND(#REF!="Diferenciado",$H$4=#REF!),BDI!$E$17,IF(AND(#REF!="Diferenciado",$H$4=#REF!),BDI!#REF!,IF(#REF!="ZERO",0))))),"")</f>
        <v>#REF!</v>
      </c>
      <c r="H860" s="138" t="e">
        <f t="shared" ca="1" si="40"/>
        <v>#REF!</v>
      </c>
      <c r="I860" s="136" t="e">
        <f t="shared" ca="1" si="41"/>
        <v>#REF!</v>
      </c>
    </row>
    <row r="861" spans="1:9" hidden="1" x14ac:dyDescent="0.25">
      <c r="A861" s="114" t="s">
        <v>854</v>
      </c>
      <c r="B861" s="115" t="s">
        <v>2791</v>
      </c>
      <c r="C861" s="116" t="s">
        <v>20</v>
      </c>
      <c r="D861" s="116">
        <v>0</v>
      </c>
      <c r="E861" s="135">
        <f ca="1">OFFSET(INDEX(Composições!A:J,MATCH(Orçamentária!A861,Composições!A:A,0),8),2,0)</f>
        <v>8.4321999999999999</v>
      </c>
      <c r="F861" s="136">
        <f t="shared" ca="1" si="39"/>
        <v>0</v>
      </c>
      <c r="G861" s="137" t="e">
        <f>IF(A861&lt;&gt;"",IF(AND(#REF!="Padrão",$H$4=#REF!),BDI!$B$17,IF(AND(#REF!="Padrão",$H$4=#REF!),BDI!#REF!,IF(AND(#REF!="Diferenciado",$H$4=#REF!),BDI!$E$17,IF(AND(#REF!="Diferenciado",$H$4=#REF!),BDI!#REF!,IF(#REF!="ZERO",0))))),"")</f>
        <v>#REF!</v>
      </c>
      <c r="H861" s="138" t="e">
        <f t="shared" ca="1" si="40"/>
        <v>#REF!</v>
      </c>
      <c r="I861" s="136" t="e">
        <f t="shared" ca="1" si="41"/>
        <v>#REF!</v>
      </c>
    </row>
    <row r="862" spans="1:9" hidden="1" x14ac:dyDescent="0.25">
      <c r="A862" s="114" t="s">
        <v>856</v>
      </c>
      <c r="B862" s="115" t="s">
        <v>2792</v>
      </c>
      <c r="C862" s="116" t="s">
        <v>20</v>
      </c>
      <c r="D862" s="116">
        <v>0</v>
      </c>
      <c r="E862" s="135">
        <f ca="1">OFFSET(INDEX(Composições!A:J,MATCH(Orçamentária!A862,Composições!A:A,0),8),2,0)</f>
        <v>8.4321999999999999</v>
      </c>
      <c r="F862" s="136">
        <f t="shared" ca="1" si="39"/>
        <v>0</v>
      </c>
      <c r="G862" s="137" t="e">
        <f>IF(A862&lt;&gt;"",IF(AND(#REF!="Padrão",$H$4=#REF!),BDI!$B$17,IF(AND(#REF!="Padrão",$H$4=#REF!),BDI!#REF!,IF(AND(#REF!="Diferenciado",$H$4=#REF!),BDI!$E$17,IF(AND(#REF!="Diferenciado",$H$4=#REF!),BDI!#REF!,IF(#REF!="ZERO",0))))),"")</f>
        <v>#REF!</v>
      </c>
      <c r="H862" s="138" t="e">
        <f t="shared" ca="1" si="40"/>
        <v>#REF!</v>
      </c>
      <c r="I862" s="136" t="e">
        <f t="shared" ca="1" si="41"/>
        <v>#REF!</v>
      </c>
    </row>
    <row r="863" spans="1:9" hidden="1" x14ac:dyDescent="0.25">
      <c r="A863" s="114" t="s">
        <v>858</v>
      </c>
      <c r="B863" s="115" t="s">
        <v>2793</v>
      </c>
      <c r="C863" s="116" t="s">
        <v>20</v>
      </c>
      <c r="D863" s="116">
        <v>0</v>
      </c>
      <c r="E863" s="135">
        <f ca="1">OFFSET(INDEX(Composições!A:J,MATCH(Orçamentária!A863,Composições!A:A,0),8),2,0)</f>
        <v>5.2701250000000002</v>
      </c>
      <c r="F863" s="136">
        <f t="shared" ca="1" si="39"/>
        <v>0</v>
      </c>
      <c r="G863" s="137" t="e">
        <f>IF(A863&lt;&gt;"",IF(AND(#REF!="Padrão",$H$4=#REF!),BDI!$B$17,IF(AND(#REF!="Padrão",$H$4=#REF!),BDI!#REF!,IF(AND(#REF!="Diferenciado",$H$4=#REF!),BDI!$E$17,IF(AND(#REF!="Diferenciado",$H$4=#REF!),BDI!#REF!,IF(#REF!="ZERO",0))))),"")</f>
        <v>#REF!</v>
      </c>
      <c r="H863" s="138" t="e">
        <f t="shared" ca="1" si="40"/>
        <v>#REF!</v>
      </c>
      <c r="I863" s="136" t="e">
        <f t="shared" ca="1" si="41"/>
        <v>#REF!</v>
      </c>
    </row>
    <row r="864" spans="1:9" hidden="1" x14ac:dyDescent="0.25">
      <c r="A864" s="114" t="s">
        <v>860</v>
      </c>
      <c r="B864" s="115" t="s">
        <v>2794</v>
      </c>
      <c r="C864" s="116" t="s">
        <v>20</v>
      </c>
      <c r="D864" s="116">
        <v>0</v>
      </c>
      <c r="E864" s="135">
        <f ca="1">OFFSET(INDEX(Composições!A:J,MATCH(Orçamentária!A864,Composições!A:A,0),8),2,0)</f>
        <v>5.2701250000000002</v>
      </c>
      <c r="F864" s="136">
        <f t="shared" ca="1" si="39"/>
        <v>0</v>
      </c>
      <c r="G864" s="137" t="e">
        <f>IF(A864&lt;&gt;"",IF(AND(#REF!="Padrão",$H$4=#REF!),BDI!$B$17,IF(AND(#REF!="Padrão",$H$4=#REF!),BDI!#REF!,IF(AND(#REF!="Diferenciado",$H$4=#REF!),BDI!$E$17,IF(AND(#REF!="Diferenciado",$H$4=#REF!),BDI!#REF!,IF(#REF!="ZERO",0))))),"")</f>
        <v>#REF!</v>
      </c>
      <c r="H864" s="138" t="e">
        <f t="shared" ca="1" si="40"/>
        <v>#REF!</v>
      </c>
      <c r="I864" s="136" t="e">
        <f t="shared" ca="1" si="41"/>
        <v>#REF!</v>
      </c>
    </row>
    <row r="865" spans="1:9" hidden="1" x14ac:dyDescent="0.25">
      <c r="A865" s="114" t="s">
        <v>862</v>
      </c>
      <c r="B865" s="115" t="s">
        <v>2795</v>
      </c>
      <c r="C865" s="116" t="s">
        <v>20</v>
      </c>
      <c r="D865" s="116">
        <v>0</v>
      </c>
      <c r="E865" s="135">
        <f ca="1">OFFSET(INDEX(Composições!A:J,MATCH(Orçamentária!A865,Composições!A:A,0),8),2,0)</f>
        <v>5.2701250000000002</v>
      </c>
      <c r="F865" s="136">
        <f t="shared" ca="1" si="39"/>
        <v>0</v>
      </c>
      <c r="G865" s="137" t="e">
        <f>IF(A865&lt;&gt;"",IF(AND(#REF!="Padrão",$H$4=#REF!),BDI!$B$17,IF(AND(#REF!="Padrão",$H$4=#REF!),BDI!#REF!,IF(AND(#REF!="Diferenciado",$H$4=#REF!),BDI!$E$17,IF(AND(#REF!="Diferenciado",$H$4=#REF!),BDI!#REF!,IF(#REF!="ZERO",0))))),"")</f>
        <v>#REF!</v>
      </c>
      <c r="H865" s="138" t="e">
        <f t="shared" ca="1" si="40"/>
        <v>#REF!</v>
      </c>
      <c r="I865" s="136" t="e">
        <f t="shared" ca="1" si="41"/>
        <v>#REF!</v>
      </c>
    </row>
    <row r="866" spans="1:9" hidden="1" x14ac:dyDescent="0.25">
      <c r="A866" s="114" t="s">
        <v>864</v>
      </c>
      <c r="B866" s="115" t="s">
        <v>2796</v>
      </c>
      <c r="C866" s="116" t="s">
        <v>20</v>
      </c>
      <c r="D866" s="116">
        <v>0</v>
      </c>
      <c r="E866" s="135">
        <f ca="1">OFFSET(INDEX(Composições!A:J,MATCH(Orçamentária!A866,Composições!A:A,0),8),2,0)</f>
        <v>5.2701250000000002</v>
      </c>
      <c r="F866" s="136">
        <f t="shared" ca="1" si="39"/>
        <v>0</v>
      </c>
      <c r="G866" s="137" t="e">
        <f>IF(A866&lt;&gt;"",IF(AND(#REF!="Padrão",$H$4=#REF!),BDI!$B$17,IF(AND(#REF!="Padrão",$H$4=#REF!),BDI!#REF!,IF(AND(#REF!="Diferenciado",$H$4=#REF!),BDI!$E$17,IF(AND(#REF!="Diferenciado",$H$4=#REF!),BDI!#REF!,IF(#REF!="ZERO",0))))),"")</f>
        <v>#REF!</v>
      </c>
      <c r="H866" s="138" t="e">
        <f t="shared" ca="1" si="40"/>
        <v>#REF!</v>
      </c>
      <c r="I866" s="136" t="e">
        <f t="shared" ca="1" si="41"/>
        <v>#REF!</v>
      </c>
    </row>
    <row r="867" spans="1:9" hidden="1" x14ac:dyDescent="0.25">
      <c r="A867" s="114" t="s">
        <v>866</v>
      </c>
      <c r="B867" s="115" t="s">
        <v>2797</v>
      </c>
      <c r="C867" s="116" t="s">
        <v>20</v>
      </c>
      <c r="D867" s="116">
        <v>0</v>
      </c>
      <c r="E867" s="135">
        <f ca="1">OFFSET(INDEX(Composições!A:J,MATCH(Orçamentária!A867,Composições!A:A,0),8),2,0)</f>
        <v>67.885375499999995</v>
      </c>
      <c r="F867" s="136">
        <f t="shared" ca="1" si="39"/>
        <v>0</v>
      </c>
      <c r="G867" s="137" t="e">
        <f>IF(A867&lt;&gt;"",IF(AND(#REF!="Padrão",$H$4=#REF!),BDI!$B$17,IF(AND(#REF!="Padrão",$H$4=#REF!),BDI!#REF!,IF(AND(#REF!="Diferenciado",$H$4=#REF!),BDI!$E$17,IF(AND(#REF!="Diferenciado",$H$4=#REF!),BDI!#REF!,IF(#REF!="ZERO",0))))),"")</f>
        <v>#REF!</v>
      </c>
      <c r="H867" s="138" t="e">
        <f t="shared" ca="1" si="40"/>
        <v>#REF!</v>
      </c>
      <c r="I867" s="136" t="e">
        <f t="shared" ca="1" si="41"/>
        <v>#REF!</v>
      </c>
    </row>
    <row r="868" spans="1:9" hidden="1" x14ac:dyDescent="0.25">
      <c r="A868" s="114" t="s">
        <v>867</v>
      </c>
      <c r="B868" s="115" t="s">
        <v>2798</v>
      </c>
      <c r="C868" s="116" t="s">
        <v>20</v>
      </c>
      <c r="D868" s="116">
        <v>0</v>
      </c>
      <c r="E868" s="135">
        <f ca="1">OFFSET(INDEX(Composições!A:J,MATCH(Orçamentária!A868,Composições!A:A,0),8),2,0)</f>
        <v>4.2161</v>
      </c>
      <c r="F868" s="136">
        <f t="shared" ca="1" si="39"/>
        <v>0</v>
      </c>
      <c r="G868" s="137" t="e">
        <f>IF(A868&lt;&gt;"",IF(AND(#REF!="Padrão",$H$4=#REF!),BDI!$B$17,IF(AND(#REF!="Padrão",$H$4=#REF!),BDI!#REF!,IF(AND(#REF!="Diferenciado",$H$4=#REF!),BDI!$E$17,IF(AND(#REF!="Diferenciado",$H$4=#REF!),BDI!#REF!,IF(#REF!="ZERO",0))))),"")</f>
        <v>#REF!</v>
      </c>
      <c r="H868" s="138" t="e">
        <f t="shared" ca="1" si="40"/>
        <v>#REF!</v>
      </c>
      <c r="I868" s="136" t="e">
        <f t="shared" ca="1" si="41"/>
        <v>#REF!</v>
      </c>
    </row>
    <row r="869" spans="1:9" hidden="1" x14ac:dyDescent="0.25">
      <c r="A869" s="114" t="s">
        <v>869</v>
      </c>
      <c r="B869" s="115" t="s">
        <v>2799</v>
      </c>
      <c r="C869" s="116" t="s">
        <v>20</v>
      </c>
      <c r="D869" s="116">
        <v>0</v>
      </c>
      <c r="E869" s="135">
        <f ca="1">OFFSET(INDEX(Composições!A:J,MATCH(Orçamentária!A869,Composições!A:A,0),8),2,0)</f>
        <v>8.4321999999999999</v>
      </c>
      <c r="F869" s="136">
        <f t="shared" ca="1" si="39"/>
        <v>0</v>
      </c>
      <c r="G869" s="137" t="e">
        <f>IF(A869&lt;&gt;"",IF(AND(#REF!="Padrão",$H$4=#REF!),BDI!$B$17,IF(AND(#REF!="Padrão",$H$4=#REF!),BDI!#REF!,IF(AND(#REF!="Diferenciado",$H$4=#REF!),BDI!$E$17,IF(AND(#REF!="Diferenciado",$H$4=#REF!),BDI!#REF!,IF(#REF!="ZERO",0))))),"")</f>
        <v>#REF!</v>
      </c>
      <c r="H869" s="138" t="e">
        <f t="shared" ca="1" si="40"/>
        <v>#REF!</v>
      </c>
      <c r="I869" s="136" t="e">
        <f t="shared" ca="1" si="41"/>
        <v>#REF!</v>
      </c>
    </row>
    <row r="870" spans="1:9" hidden="1" x14ac:dyDescent="0.25">
      <c r="A870" s="114" t="s">
        <v>871</v>
      </c>
      <c r="B870" s="115" t="s">
        <v>2800</v>
      </c>
      <c r="C870" s="116" t="s">
        <v>20</v>
      </c>
      <c r="D870" s="116">
        <v>0</v>
      </c>
      <c r="E870" s="135">
        <f ca="1">OFFSET(INDEX(Composições!A:J,MATCH(Orçamentária!A870,Composições!A:A,0),8),2,0)</f>
        <v>6.3241500000000004</v>
      </c>
      <c r="F870" s="136">
        <f t="shared" ca="1" si="39"/>
        <v>0</v>
      </c>
      <c r="G870" s="137" t="e">
        <f>IF(A870&lt;&gt;"",IF(AND(#REF!="Padrão",$H$4=#REF!),BDI!$B$17,IF(AND(#REF!="Padrão",$H$4=#REF!),BDI!#REF!,IF(AND(#REF!="Diferenciado",$H$4=#REF!),BDI!$E$17,IF(AND(#REF!="Diferenciado",$H$4=#REF!),BDI!#REF!,IF(#REF!="ZERO",0))))),"")</f>
        <v>#REF!</v>
      </c>
      <c r="H870" s="138" t="e">
        <f t="shared" ca="1" si="40"/>
        <v>#REF!</v>
      </c>
      <c r="I870" s="136" t="e">
        <f t="shared" ca="1" si="41"/>
        <v>#REF!</v>
      </c>
    </row>
    <row r="871" spans="1:9" hidden="1" x14ac:dyDescent="0.25">
      <c r="A871" s="114" t="s">
        <v>873</v>
      </c>
      <c r="B871" s="115" t="s">
        <v>2801</v>
      </c>
      <c r="C871" s="116" t="s">
        <v>93</v>
      </c>
      <c r="D871" s="116">
        <v>0</v>
      </c>
      <c r="E871" s="135">
        <f ca="1">OFFSET(INDEX(Composições!A:J,MATCH(Orçamentária!A871,Composições!A:A,0),8),2,0)</f>
        <v>11.50108</v>
      </c>
      <c r="F871" s="136">
        <f t="shared" ca="1" si="39"/>
        <v>0</v>
      </c>
      <c r="G871" s="137" t="e">
        <f>IF(A871&lt;&gt;"",IF(AND(#REF!="Padrão",$H$4=#REF!),BDI!$B$17,IF(AND(#REF!="Padrão",$H$4=#REF!),BDI!#REF!,IF(AND(#REF!="Diferenciado",$H$4=#REF!),BDI!$E$17,IF(AND(#REF!="Diferenciado",$H$4=#REF!),BDI!#REF!,IF(#REF!="ZERO",0))))),"")</f>
        <v>#REF!</v>
      </c>
      <c r="H871" s="138" t="e">
        <f t="shared" ca="1" si="40"/>
        <v>#REF!</v>
      </c>
      <c r="I871" s="136" t="e">
        <f t="shared" ca="1" si="41"/>
        <v>#REF!</v>
      </c>
    </row>
    <row r="872" spans="1:9" hidden="1" x14ac:dyDescent="0.25">
      <c r="A872" s="114" t="s">
        <v>877</v>
      </c>
      <c r="B872" s="115" t="s">
        <v>2802</v>
      </c>
      <c r="C872" s="116" t="s">
        <v>93</v>
      </c>
      <c r="D872" s="116">
        <v>0</v>
      </c>
      <c r="E872" s="135">
        <f ca="1">OFFSET(INDEX(Composições!A:J,MATCH(Orçamentária!A872,Composições!A:A,0),8),2,0)</f>
        <v>35.962516000000001</v>
      </c>
      <c r="F872" s="136">
        <f t="shared" ca="1" si="39"/>
        <v>0</v>
      </c>
      <c r="G872" s="137" t="e">
        <f>IF(A872&lt;&gt;"",IF(AND(#REF!="Padrão",$H$4=#REF!),BDI!$B$17,IF(AND(#REF!="Padrão",$H$4=#REF!),BDI!#REF!,IF(AND(#REF!="Diferenciado",$H$4=#REF!),BDI!$E$17,IF(AND(#REF!="Diferenciado",$H$4=#REF!),BDI!#REF!,IF(#REF!="ZERO",0))))),"")</f>
        <v>#REF!</v>
      </c>
      <c r="H872" s="138" t="e">
        <f t="shared" ca="1" si="40"/>
        <v>#REF!</v>
      </c>
      <c r="I872" s="136" t="e">
        <f t="shared" ca="1" si="41"/>
        <v>#REF!</v>
      </c>
    </row>
    <row r="873" spans="1:9" hidden="1" x14ac:dyDescent="0.25">
      <c r="A873" s="114" t="s">
        <v>880</v>
      </c>
      <c r="B873" s="115" t="s">
        <v>2803</v>
      </c>
      <c r="C873" s="116" t="s">
        <v>93</v>
      </c>
      <c r="D873" s="116">
        <v>0</v>
      </c>
      <c r="E873" s="135">
        <f ca="1">OFFSET(INDEX(Composições!A:J,MATCH(Orçamentária!A873,Composições!A:A,0),8),2,0)</f>
        <v>14.990202</v>
      </c>
      <c r="F873" s="136">
        <f t="shared" ca="1" si="39"/>
        <v>0</v>
      </c>
      <c r="G873" s="137" t="e">
        <f>IF(A873&lt;&gt;"",IF(AND(#REF!="Padrão",$H$4=#REF!),BDI!$B$17,IF(AND(#REF!="Padrão",$H$4=#REF!),BDI!#REF!,IF(AND(#REF!="Diferenciado",$H$4=#REF!),BDI!$E$17,IF(AND(#REF!="Diferenciado",$H$4=#REF!),BDI!#REF!,IF(#REF!="ZERO",0))))),"")</f>
        <v>#REF!</v>
      </c>
      <c r="H873" s="138" t="e">
        <f t="shared" ca="1" si="40"/>
        <v>#REF!</v>
      </c>
      <c r="I873" s="136" t="e">
        <f t="shared" ca="1" si="41"/>
        <v>#REF!</v>
      </c>
    </row>
    <row r="874" spans="1:9" hidden="1" x14ac:dyDescent="0.25">
      <c r="A874" s="114" t="s">
        <v>882</v>
      </c>
      <c r="B874" s="115" t="s">
        <v>2804</v>
      </c>
      <c r="C874" s="116" t="s">
        <v>93</v>
      </c>
      <c r="D874" s="116">
        <v>0</v>
      </c>
      <c r="E874" s="135">
        <f ca="1">OFFSET(INDEX(Composições!A:J,MATCH(Orçamentária!A874,Composições!A:A,0),8),2,0)</f>
        <v>23.616392000000001</v>
      </c>
      <c r="F874" s="136">
        <f t="shared" ca="1" si="39"/>
        <v>0</v>
      </c>
      <c r="G874" s="137" t="e">
        <f>IF(A874&lt;&gt;"",IF(AND(#REF!="Padrão",$H$4=#REF!),BDI!$B$17,IF(AND(#REF!="Padrão",$H$4=#REF!),BDI!#REF!,IF(AND(#REF!="Diferenciado",$H$4=#REF!),BDI!$E$17,IF(AND(#REF!="Diferenciado",$H$4=#REF!),BDI!#REF!,IF(#REF!="ZERO",0))))),"")</f>
        <v>#REF!</v>
      </c>
      <c r="H874" s="138" t="e">
        <f t="shared" ca="1" si="40"/>
        <v>#REF!</v>
      </c>
      <c r="I874" s="136" t="e">
        <f t="shared" ca="1" si="41"/>
        <v>#REF!</v>
      </c>
    </row>
    <row r="875" spans="1:9" hidden="1" x14ac:dyDescent="0.25">
      <c r="A875" s="114" t="s">
        <v>883</v>
      </c>
      <c r="B875" s="115" t="s">
        <v>2805</v>
      </c>
      <c r="C875" s="116" t="s">
        <v>93</v>
      </c>
      <c r="D875" s="116">
        <v>0</v>
      </c>
      <c r="E875" s="135">
        <f ca="1">OFFSET(INDEX(Composições!A:J,MATCH(Orçamentária!A875,Composições!A:A,0),8),2,0)</f>
        <v>7.3796949999999999</v>
      </c>
      <c r="F875" s="136">
        <f t="shared" ca="1" si="39"/>
        <v>0</v>
      </c>
      <c r="G875" s="137" t="e">
        <f>IF(A875&lt;&gt;"",IF(AND(#REF!="Padrão",$H$4=#REF!),BDI!$B$17,IF(AND(#REF!="Padrão",$H$4=#REF!),BDI!#REF!,IF(AND(#REF!="Diferenciado",$H$4=#REF!),BDI!$E$17,IF(AND(#REF!="Diferenciado",$H$4=#REF!),BDI!#REF!,IF(#REF!="ZERO",0))))),"")</f>
        <v>#REF!</v>
      </c>
      <c r="H875" s="138" t="e">
        <f t="shared" ca="1" si="40"/>
        <v>#REF!</v>
      </c>
      <c r="I875" s="136" t="e">
        <f t="shared" ca="1" si="41"/>
        <v>#REF!</v>
      </c>
    </row>
    <row r="876" spans="1:9" hidden="1" x14ac:dyDescent="0.25">
      <c r="A876" s="114" t="s">
        <v>885</v>
      </c>
      <c r="B876" s="115" t="s">
        <v>2806</v>
      </c>
      <c r="C876" s="116" t="s">
        <v>20</v>
      </c>
      <c r="D876" s="116">
        <v>0</v>
      </c>
      <c r="E876" s="135">
        <f ca="1">OFFSET(INDEX(Composições!A:J,MATCH(Orçamentária!A876,Composições!A:A,0),8),2,0)</f>
        <v>6.3241500000000004</v>
      </c>
      <c r="F876" s="136">
        <f t="shared" ca="1" si="39"/>
        <v>0</v>
      </c>
      <c r="G876" s="137" t="e">
        <f>IF(A876&lt;&gt;"",IF(AND(#REF!="Padrão",$H$4=#REF!),BDI!$B$17,IF(AND(#REF!="Padrão",$H$4=#REF!),BDI!#REF!,IF(AND(#REF!="Diferenciado",$H$4=#REF!),BDI!$E$17,IF(AND(#REF!="Diferenciado",$H$4=#REF!),BDI!#REF!,IF(#REF!="ZERO",0))))),"")</f>
        <v>#REF!</v>
      </c>
      <c r="H876" s="138" t="e">
        <f t="shared" ca="1" si="40"/>
        <v>#REF!</v>
      </c>
      <c r="I876" s="136" t="e">
        <f t="shared" ca="1" si="41"/>
        <v>#REF!</v>
      </c>
    </row>
    <row r="877" spans="1:9" hidden="1" x14ac:dyDescent="0.25">
      <c r="A877" s="114" t="s">
        <v>887</v>
      </c>
      <c r="B877" s="115" t="s">
        <v>2807</v>
      </c>
      <c r="C877" s="116" t="s">
        <v>93</v>
      </c>
      <c r="D877" s="116">
        <v>0</v>
      </c>
      <c r="E877" s="135">
        <f ca="1">OFFSET(INDEX(Composições!A:J,MATCH(Orçamentária!A877,Composições!A:A,0),8),2,0)</f>
        <v>6.3241500000000004</v>
      </c>
      <c r="F877" s="136">
        <f t="shared" ca="1" si="39"/>
        <v>0</v>
      </c>
      <c r="G877" s="137" t="e">
        <f>IF(A877&lt;&gt;"",IF(AND(#REF!="Padrão",$H$4=#REF!),BDI!$B$17,IF(AND(#REF!="Padrão",$H$4=#REF!),BDI!#REF!,IF(AND(#REF!="Diferenciado",$H$4=#REF!),BDI!$E$17,IF(AND(#REF!="Diferenciado",$H$4=#REF!),BDI!#REF!,IF(#REF!="ZERO",0))))),"")</f>
        <v>#REF!</v>
      </c>
      <c r="H877" s="138" t="e">
        <f t="shared" ca="1" si="40"/>
        <v>#REF!</v>
      </c>
      <c r="I877" s="136" t="e">
        <f t="shared" ca="1" si="41"/>
        <v>#REF!</v>
      </c>
    </row>
    <row r="878" spans="1:9" hidden="1" x14ac:dyDescent="0.25">
      <c r="A878" s="114" t="s">
        <v>889</v>
      </c>
      <c r="B878" s="115" t="s">
        <v>2808</v>
      </c>
      <c r="C878" s="116" t="s">
        <v>20</v>
      </c>
      <c r="D878" s="116">
        <v>0</v>
      </c>
      <c r="E878" s="135">
        <f ca="1">OFFSET(INDEX(Composições!A:J,MATCH(Orçamentária!A878,Composições!A:A,0),8),2,0)</f>
        <v>3.1620750000000002</v>
      </c>
      <c r="F878" s="136">
        <f t="shared" ca="1" si="39"/>
        <v>0</v>
      </c>
      <c r="G878" s="137" t="e">
        <f>IF(A878&lt;&gt;"",IF(AND(#REF!="Padrão",$H$4=#REF!),BDI!$B$17,IF(AND(#REF!="Padrão",$H$4=#REF!),BDI!#REF!,IF(AND(#REF!="Diferenciado",$H$4=#REF!),BDI!$E$17,IF(AND(#REF!="Diferenciado",$H$4=#REF!),BDI!#REF!,IF(#REF!="ZERO",0))))),"")</f>
        <v>#REF!</v>
      </c>
      <c r="H878" s="138" t="e">
        <f t="shared" ca="1" si="40"/>
        <v>#REF!</v>
      </c>
      <c r="I878" s="136" t="e">
        <f t="shared" ca="1" si="41"/>
        <v>#REF!</v>
      </c>
    </row>
    <row r="879" spans="1:9" hidden="1" x14ac:dyDescent="0.25">
      <c r="A879" s="114" t="s">
        <v>891</v>
      </c>
      <c r="B879" s="115" t="s">
        <v>2809</v>
      </c>
      <c r="C879" s="116" t="s">
        <v>20</v>
      </c>
      <c r="D879" s="116">
        <v>0</v>
      </c>
      <c r="E879" s="135">
        <f ca="1">OFFSET(INDEX(Composições!A:J,MATCH(Orçamentária!A879,Composições!A:A,0),8),2,0)</f>
        <v>3.1620750000000002</v>
      </c>
      <c r="F879" s="136">
        <f t="shared" ca="1" si="39"/>
        <v>0</v>
      </c>
      <c r="G879" s="137" t="e">
        <f>IF(A879&lt;&gt;"",IF(AND(#REF!="Padrão",$H$4=#REF!),BDI!$B$17,IF(AND(#REF!="Padrão",$H$4=#REF!),BDI!#REF!,IF(AND(#REF!="Diferenciado",$H$4=#REF!),BDI!$E$17,IF(AND(#REF!="Diferenciado",$H$4=#REF!),BDI!#REF!,IF(#REF!="ZERO",0))))),"")</f>
        <v>#REF!</v>
      </c>
      <c r="H879" s="138" t="e">
        <f t="shared" ca="1" si="40"/>
        <v>#REF!</v>
      </c>
      <c r="I879" s="136" t="e">
        <f t="shared" ca="1" si="41"/>
        <v>#REF!</v>
      </c>
    </row>
    <row r="880" spans="1:9" hidden="1" x14ac:dyDescent="0.25">
      <c r="A880" s="114" t="s">
        <v>893</v>
      </c>
      <c r="B880" s="115" t="s">
        <v>2810</v>
      </c>
      <c r="C880" s="116" t="s">
        <v>20</v>
      </c>
      <c r="D880" s="116">
        <v>0</v>
      </c>
      <c r="E880" s="135">
        <f ca="1">OFFSET(INDEX(Composições!A:J,MATCH(Orçamentária!A880,Composições!A:A,0),8),2,0)</f>
        <v>2.10805</v>
      </c>
      <c r="F880" s="136">
        <f t="shared" ca="1" si="39"/>
        <v>0</v>
      </c>
      <c r="G880" s="137" t="e">
        <f>IF(A880&lt;&gt;"",IF(AND(#REF!="Padrão",$H$4=#REF!),BDI!$B$17,IF(AND(#REF!="Padrão",$H$4=#REF!),BDI!#REF!,IF(AND(#REF!="Diferenciado",$H$4=#REF!),BDI!$E$17,IF(AND(#REF!="Diferenciado",$H$4=#REF!),BDI!#REF!,IF(#REF!="ZERO",0))))),"")</f>
        <v>#REF!</v>
      </c>
      <c r="H880" s="138" t="e">
        <f t="shared" ca="1" si="40"/>
        <v>#REF!</v>
      </c>
      <c r="I880" s="136" t="e">
        <f t="shared" ca="1" si="41"/>
        <v>#REF!</v>
      </c>
    </row>
    <row r="881" spans="1:9" hidden="1" x14ac:dyDescent="0.25">
      <c r="A881" s="114" t="s">
        <v>895</v>
      </c>
      <c r="B881" s="115" t="s">
        <v>2811</v>
      </c>
      <c r="C881" s="116" t="s">
        <v>20</v>
      </c>
      <c r="D881" s="116">
        <v>0</v>
      </c>
      <c r="E881" s="135">
        <f ca="1">OFFSET(INDEX(Composições!A:J,MATCH(Orçamentária!A881,Composições!A:A,0),8),2,0)</f>
        <v>8.4321999999999999</v>
      </c>
      <c r="F881" s="136">
        <f t="shared" ca="1" si="39"/>
        <v>0</v>
      </c>
      <c r="G881" s="137" t="e">
        <f>IF(A881&lt;&gt;"",IF(AND(#REF!="Padrão",$H$4=#REF!),BDI!$B$17,IF(AND(#REF!="Padrão",$H$4=#REF!),BDI!#REF!,IF(AND(#REF!="Diferenciado",$H$4=#REF!),BDI!$E$17,IF(AND(#REF!="Diferenciado",$H$4=#REF!),BDI!#REF!,IF(#REF!="ZERO",0))))),"")</f>
        <v>#REF!</v>
      </c>
      <c r="H881" s="138" t="e">
        <f t="shared" ca="1" si="40"/>
        <v>#REF!</v>
      </c>
      <c r="I881" s="136" t="e">
        <f t="shared" ca="1" si="41"/>
        <v>#REF!</v>
      </c>
    </row>
    <row r="882" spans="1:9" hidden="1" x14ac:dyDescent="0.25">
      <c r="A882" s="114" t="s">
        <v>897</v>
      </c>
      <c r="B882" s="115" t="s">
        <v>2812</v>
      </c>
      <c r="C882" s="116" t="s">
        <v>20</v>
      </c>
      <c r="D882" s="116">
        <v>0</v>
      </c>
      <c r="E882" s="135">
        <f ca="1">OFFSET(INDEX(Composições!A:J,MATCH(Orçamentária!A882,Composições!A:A,0),8),2,0)</f>
        <v>8.4321999999999999</v>
      </c>
      <c r="F882" s="136">
        <f t="shared" ca="1" si="39"/>
        <v>0</v>
      </c>
      <c r="G882" s="137" t="e">
        <f>IF(A882&lt;&gt;"",IF(AND(#REF!="Padrão",$H$4=#REF!),BDI!$B$17,IF(AND(#REF!="Padrão",$H$4=#REF!),BDI!#REF!,IF(AND(#REF!="Diferenciado",$H$4=#REF!),BDI!$E$17,IF(AND(#REF!="Diferenciado",$H$4=#REF!),BDI!#REF!,IF(#REF!="ZERO",0))))),"")</f>
        <v>#REF!</v>
      </c>
      <c r="H882" s="138" t="e">
        <f t="shared" ca="1" si="40"/>
        <v>#REF!</v>
      </c>
      <c r="I882" s="136" t="e">
        <f t="shared" ca="1" si="41"/>
        <v>#REF!</v>
      </c>
    </row>
    <row r="883" spans="1:9" hidden="1" x14ac:dyDescent="0.25">
      <c r="A883" s="114" t="s">
        <v>899</v>
      </c>
      <c r="B883" s="115" t="s">
        <v>2813</v>
      </c>
      <c r="C883" s="116" t="s">
        <v>20</v>
      </c>
      <c r="D883" s="116">
        <v>0</v>
      </c>
      <c r="E883" s="135">
        <f ca="1">OFFSET(INDEX(Composições!A:J,MATCH(Orçamentária!A883,Composições!A:A,0),8),2,0)</f>
        <v>6.3241500000000004</v>
      </c>
      <c r="F883" s="136">
        <f t="shared" ca="1" si="39"/>
        <v>0</v>
      </c>
      <c r="G883" s="137" t="e">
        <f>IF(A883&lt;&gt;"",IF(AND(#REF!="Padrão",$H$4=#REF!),BDI!$B$17,IF(AND(#REF!="Padrão",$H$4=#REF!),BDI!#REF!,IF(AND(#REF!="Diferenciado",$H$4=#REF!),BDI!$E$17,IF(AND(#REF!="Diferenciado",$H$4=#REF!),BDI!#REF!,IF(#REF!="ZERO",0))))),"")</f>
        <v>#REF!</v>
      </c>
      <c r="H883" s="138" t="e">
        <f t="shared" ca="1" si="40"/>
        <v>#REF!</v>
      </c>
      <c r="I883" s="136" t="e">
        <f t="shared" ca="1" si="41"/>
        <v>#REF!</v>
      </c>
    </row>
    <row r="884" spans="1:9" hidden="1" x14ac:dyDescent="0.25">
      <c r="A884" s="114" t="s">
        <v>901</v>
      </c>
      <c r="B884" s="115" t="s">
        <v>2814</v>
      </c>
      <c r="C884" s="116" t="s">
        <v>20</v>
      </c>
      <c r="D884" s="116">
        <v>0</v>
      </c>
      <c r="E884" s="135">
        <f ca="1">OFFSET(INDEX(Composições!A:J,MATCH(Orçamentária!A884,Composições!A:A,0),8),2,0)</f>
        <v>4.2161</v>
      </c>
      <c r="F884" s="136">
        <f t="shared" ca="1" si="39"/>
        <v>0</v>
      </c>
      <c r="G884" s="137" t="e">
        <f>IF(A884&lt;&gt;"",IF(AND(#REF!="Padrão",$H$4=#REF!),BDI!$B$17,IF(AND(#REF!="Padrão",$H$4=#REF!),BDI!#REF!,IF(AND(#REF!="Diferenciado",$H$4=#REF!),BDI!$E$17,IF(AND(#REF!="Diferenciado",$H$4=#REF!),BDI!#REF!,IF(#REF!="ZERO",0))))),"")</f>
        <v>#REF!</v>
      </c>
      <c r="H884" s="138" t="e">
        <f t="shared" ca="1" si="40"/>
        <v>#REF!</v>
      </c>
      <c r="I884" s="136" t="e">
        <f t="shared" ca="1" si="41"/>
        <v>#REF!</v>
      </c>
    </row>
    <row r="885" spans="1:9" hidden="1" x14ac:dyDescent="0.25">
      <c r="A885" s="114" t="s">
        <v>903</v>
      </c>
      <c r="B885" s="115" t="s">
        <v>2815</v>
      </c>
      <c r="C885" s="116" t="s">
        <v>20</v>
      </c>
      <c r="D885" s="116">
        <v>0</v>
      </c>
      <c r="E885" s="135">
        <f ca="1">OFFSET(INDEX(Composições!A:J,MATCH(Orçamentária!A885,Composições!A:A,0),8),2,0)</f>
        <v>4.2161</v>
      </c>
      <c r="F885" s="136">
        <f t="shared" ca="1" si="39"/>
        <v>0</v>
      </c>
      <c r="G885" s="137" t="e">
        <f>IF(A885&lt;&gt;"",IF(AND(#REF!="Padrão",$H$4=#REF!),BDI!$B$17,IF(AND(#REF!="Padrão",$H$4=#REF!),BDI!#REF!,IF(AND(#REF!="Diferenciado",$H$4=#REF!),BDI!$E$17,IF(AND(#REF!="Diferenciado",$H$4=#REF!),BDI!#REF!,IF(#REF!="ZERO",0))))),"")</f>
        <v>#REF!</v>
      </c>
      <c r="H885" s="138" t="e">
        <f t="shared" ca="1" si="40"/>
        <v>#REF!</v>
      </c>
      <c r="I885" s="136" t="e">
        <f t="shared" ca="1" si="41"/>
        <v>#REF!</v>
      </c>
    </row>
    <row r="886" spans="1:9" hidden="1" x14ac:dyDescent="0.25">
      <c r="A886" s="114" t="s">
        <v>905</v>
      </c>
      <c r="B886" s="115" t="s">
        <v>906</v>
      </c>
      <c r="C886" s="116" t="s">
        <v>95</v>
      </c>
      <c r="D886" s="116">
        <v>0</v>
      </c>
      <c r="E886" s="135">
        <f ca="1">OFFSET(INDEX(Composições!A:J,MATCH(Orçamentária!A886,Composições!A:A,0),8),2,0)</f>
        <v>518.56469149999998</v>
      </c>
      <c r="F886" s="136">
        <f t="shared" ca="1" si="39"/>
        <v>0</v>
      </c>
      <c r="G886" s="137" t="e">
        <f>IF(A886&lt;&gt;"",IF(AND(#REF!="Padrão",$H$4=#REF!),BDI!$B$17,IF(AND(#REF!="Padrão",$H$4=#REF!),BDI!#REF!,IF(AND(#REF!="Diferenciado",$H$4=#REF!),BDI!$E$17,IF(AND(#REF!="Diferenciado",$H$4=#REF!),BDI!#REF!,IF(#REF!="ZERO",0))))),"")</f>
        <v>#REF!</v>
      </c>
      <c r="H886" s="138" t="e">
        <f t="shared" ca="1" si="40"/>
        <v>#REF!</v>
      </c>
      <c r="I886" s="136" t="e">
        <f t="shared" ca="1" si="41"/>
        <v>#REF!</v>
      </c>
    </row>
    <row r="887" spans="1:9" hidden="1" x14ac:dyDescent="0.25">
      <c r="A887" s="114" t="s">
        <v>2816</v>
      </c>
      <c r="B887" s="115" t="s">
        <v>2817</v>
      </c>
      <c r="C887" s="116" t="s">
        <v>20</v>
      </c>
      <c r="D887" s="116">
        <v>0</v>
      </c>
      <c r="E887" s="135" t="s">
        <v>558</v>
      </c>
      <c r="F887" s="136" t="str">
        <f t="shared" si="39"/>
        <v/>
      </c>
      <c r="G887" s="137" t="e">
        <f>IF(A887&lt;&gt;"",IF(AND(#REF!="Padrão",$H$4=#REF!),BDI!$B$17,IF(AND(#REF!="Padrão",$H$4=#REF!),BDI!#REF!,IF(AND(#REF!="Diferenciado",$H$4=#REF!),BDI!$E$17,IF(AND(#REF!="Diferenciado",$H$4=#REF!),BDI!#REF!,IF(#REF!="ZERO",0))))),"")</f>
        <v>#REF!</v>
      </c>
      <c r="H887" s="138" t="str">
        <f t="shared" si="40"/>
        <v/>
      </c>
      <c r="I887" s="136" t="str">
        <f t="shared" si="41"/>
        <v/>
      </c>
    </row>
    <row r="888" spans="1:9" hidden="1" x14ac:dyDescent="0.25">
      <c r="A888" s="114" t="s">
        <v>907</v>
      </c>
      <c r="B888" s="115" t="s">
        <v>6393</v>
      </c>
      <c r="C888" s="116" t="s">
        <v>20</v>
      </c>
      <c r="D888" s="116">
        <v>0</v>
      </c>
      <c r="E888" s="135">
        <f ca="1">OFFSET(INDEX(Composições!A:J,MATCH(Orçamentária!A888,Composições!A:A,0),8),2,0)</f>
        <v>4.2161</v>
      </c>
      <c r="F888" s="136">
        <f t="shared" ca="1" si="39"/>
        <v>0</v>
      </c>
      <c r="G888" s="137" t="e">
        <f>IF(A888&lt;&gt;"",IF(AND(#REF!="Padrão",$H$4=#REF!),BDI!$B$17,IF(AND(#REF!="Padrão",$H$4=#REF!),BDI!#REF!,IF(AND(#REF!="Diferenciado",$H$4=#REF!),BDI!$E$17,IF(AND(#REF!="Diferenciado",$H$4=#REF!),BDI!#REF!,IF(#REF!="ZERO",0))))),"")</f>
        <v>#REF!</v>
      </c>
      <c r="H888" s="138" t="e">
        <f t="shared" ca="1" si="40"/>
        <v>#REF!</v>
      </c>
      <c r="I888" s="136" t="e">
        <f t="shared" ca="1" si="41"/>
        <v>#REF!</v>
      </c>
    </row>
    <row r="889" spans="1:9" hidden="1" x14ac:dyDescent="0.25">
      <c r="A889" s="114" t="s">
        <v>909</v>
      </c>
      <c r="B889" s="115" t="s">
        <v>2818</v>
      </c>
      <c r="C889" s="116" t="s">
        <v>20</v>
      </c>
      <c r="D889" s="116">
        <v>0</v>
      </c>
      <c r="E889" s="135">
        <f ca="1">OFFSET(INDEX(Composições!A:J,MATCH(Orçamentária!A889,Composições!A:A,0),8),2,0)</f>
        <v>4.2161</v>
      </c>
      <c r="F889" s="136">
        <f t="shared" ca="1" si="39"/>
        <v>0</v>
      </c>
      <c r="G889" s="137" t="e">
        <f>IF(A889&lt;&gt;"",IF(AND(#REF!="Padrão",$H$4=#REF!),BDI!$B$17,IF(AND(#REF!="Padrão",$H$4=#REF!),BDI!#REF!,IF(AND(#REF!="Diferenciado",$H$4=#REF!),BDI!$E$17,IF(AND(#REF!="Diferenciado",$H$4=#REF!),BDI!#REF!,IF(#REF!="ZERO",0))))),"")</f>
        <v>#REF!</v>
      </c>
      <c r="H889" s="138" t="e">
        <f t="shared" ca="1" si="40"/>
        <v>#REF!</v>
      </c>
      <c r="I889" s="136" t="e">
        <f t="shared" ca="1" si="41"/>
        <v>#REF!</v>
      </c>
    </row>
    <row r="890" spans="1:9" hidden="1" x14ac:dyDescent="0.25">
      <c r="A890" s="114" t="s">
        <v>911</v>
      </c>
      <c r="B890" s="115" t="s">
        <v>2819</v>
      </c>
      <c r="C890" s="116" t="s">
        <v>20</v>
      </c>
      <c r="D890" s="116">
        <v>0</v>
      </c>
      <c r="E890" s="135">
        <f ca="1">OFFSET(INDEX(Composições!A:J,MATCH(Orçamentária!A890,Composições!A:A,0),8),2,0)</f>
        <v>4.2161</v>
      </c>
      <c r="F890" s="136">
        <f t="shared" ca="1" si="39"/>
        <v>0</v>
      </c>
      <c r="G890" s="137" t="e">
        <f>IF(A890&lt;&gt;"",IF(AND(#REF!="Padrão",$H$4=#REF!),BDI!$B$17,IF(AND(#REF!="Padrão",$H$4=#REF!),BDI!#REF!,IF(AND(#REF!="Diferenciado",$H$4=#REF!),BDI!$E$17,IF(AND(#REF!="Diferenciado",$H$4=#REF!),BDI!#REF!,IF(#REF!="ZERO",0))))),"")</f>
        <v>#REF!</v>
      </c>
      <c r="H890" s="138" t="e">
        <f t="shared" ca="1" si="40"/>
        <v>#REF!</v>
      </c>
      <c r="I890" s="136" t="e">
        <f t="shared" ca="1" si="41"/>
        <v>#REF!</v>
      </c>
    </row>
    <row r="891" spans="1:9" hidden="1" x14ac:dyDescent="0.25">
      <c r="A891" s="114" t="s">
        <v>913</v>
      </c>
      <c r="B891" s="115" t="s">
        <v>2820</v>
      </c>
      <c r="C891" s="116" t="s">
        <v>20</v>
      </c>
      <c r="D891" s="116">
        <v>0</v>
      </c>
      <c r="E891" s="135">
        <f ca="1">OFFSET(INDEX(Composições!A:J,MATCH(Orçamentária!A891,Composições!A:A,0),8),2,0)</f>
        <v>31.620750000000001</v>
      </c>
      <c r="F891" s="136">
        <f t="shared" ca="1" si="39"/>
        <v>0</v>
      </c>
      <c r="G891" s="137" t="e">
        <f>IF(A891&lt;&gt;"",IF(AND(#REF!="Padrão",$H$4=#REF!),BDI!$B$17,IF(AND(#REF!="Padrão",$H$4=#REF!),BDI!#REF!,IF(AND(#REF!="Diferenciado",$H$4=#REF!),BDI!$E$17,IF(AND(#REF!="Diferenciado",$H$4=#REF!),BDI!#REF!,IF(#REF!="ZERO",0))))),"")</f>
        <v>#REF!</v>
      </c>
      <c r="H891" s="138" t="e">
        <f t="shared" ca="1" si="40"/>
        <v>#REF!</v>
      </c>
      <c r="I891" s="136" t="e">
        <f t="shared" ca="1" si="41"/>
        <v>#REF!</v>
      </c>
    </row>
    <row r="892" spans="1:9" hidden="1" x14ac:dyDescent="0.25">
      <c r="A892" s="114" t="s">
        <v>915</v>
      </c>
      <c r="B892" s="115" t="s">
        <v>2821</v>
      </c>
      <c r="C892" s="116" t="s">
        <v>20</v>
      </c>
      <c r="D892" s="116">
        <v>0</v>
      </c>
      <c r="E892" s="135">
        <f ca="1">OFFSET(INDEX(Composições!A:J,MATCH(Orçamentária!A892,Composições!A:A,0),8),2,0)</f>
        <v>31.620750000000001</v>
      </c>
      <c r="F892" s="136">
        <f t="shared" ca="1" si="39"/>
        <v>0</v>
      </c>
      <c r="G892" s="137" t="e">
        <f>IF(A892&lt;&gt;"",IF(AND(#REF!="Padrão",$H$4=#REF!),BDI!$B$17,IF(AND(#REF!="Padrão",$H$4=#REF!),BDI!#REF!,IF(AND(#REF!="Diferenciado",$H$4=#REF!),BDI!$E$17,IF(AND(#REF!="Diferenciado",$H$4=#REF!),BDI!#REF!,IF(#REF!="ZERO",0))))),"")</f>
        <v>#REF!</v>
      </c>
      <c r="H892" s="138" t="e">
        <f t="shared" ca="1" si="40"/>
        <v>#REF!</v>
      </c>
      <c r="I892" s="136" t="e">
        <f t="shared" ca="1" si="41"/>
        <v>#REF!</v>
      </c>
    </row>
    <row r="893" spans="1:9" hidden="1" x14ac:dyDescent="0.25">
      <c r="A893" s="114" t="s">
        <v>917</v>
      </c>
      <c r="B893" s="115" t="s">
        <v>2822</v>
      </c>
      <c r="C893" s="116" t="s">
        <v>20</v>
      </c>
      <c r="D893" s="116">
        <v>0</v>
      </c>
      <c r="E893" s="135">
        <f ca="1">OFFSET(INDEX(Composições!A:J,MATCH(Orçamentária!A893,Composições!A:A,0),8),2,0)</f>
        <v>21.080500000000001</v>
      </c>
      <c r="F893" s="136">
        <f t="shared" ca="1" si="39"/>
        <v>0</v>
      </c>
      <c r="G893" s="137" t="e">
        <f>IF(A893&lt;&gt;"",IF(AND(#REF!="Padrão",$H$4=#REF!),BDI!$B$17,IF(AND(#REF!="Padrão",$H$4=#REF!),BDI!#REF!,IF(AND(#REF!="Diferenciado",$H$4=#REF!),BDI!$E$17,IF(AND(#REF!="Diferenciado",$H$4=#REF!),BDI!#REF!,IF(#REF!="ZERO",0))))),"")</f>
        <v>#REF!</v>
      </c>
      <c r="H893" s="138" t="e">
        <f t="shared" ca="1" si="40"/>
        <v>#REF!</v>
      </c>
      <c r="I893" s="136" t="e">
        <f t="shared" ca="1" si="41"/>
        <v>#REF!</v>
      </c>
    </row>
    <row r="894" spans="1:9" hidden="1" x14ac:dyDescent="0.25">
      <c r="A894" s="114" t="s">
        <v>919</v>
      </c>
      <c r="B894" s="115" t="s">
        <v>2823</v>
      </c>
      <c r="C894" s="116" t="s">
        <v>20</v>
      </c>
      <c r="D894" s="116">
        <v>0</v>
      </c>
      <c r="E894" s="135">
        <f ca="1">OFFSET(INDEX(Composições!A:J,MATCH(Orçamentária!A894,Composições!A:A,0),8),2,0)</f>
        <v>2.10805</v>
      </c>
      <c r="F894" s="136">
        <f t="shared" ca="1" si="39"/>
        <v>0</v>
      </c>
      <c r="G894" s="137" t="e">
        <f>IF(A894&lt;&gt;"",IF(AND(#REF!="Padrão",$H$4=#REF!),BDI!$B$17,IF(AND(#REF!="Padrão",$H$4=#REF!),BDI!#REF!,IF(AND(#REF!="Diferenciado",$H$4=#REF!),BDI!$E$17,IF(AND(#REF!="Diferenciado",$H$4=#REF!),BDI!#REF!,IF(#REF!="ZERO",0))))),"")</f>
        <v>#REF!</v>
      </c>
      <c r="H894" s="138" t="e">
        <f t="shared" ca="1" si="40"/>
        <v>#REF!</v>
      </c>
      <c r="I894" s="136" t="e">
        <f t="shared" ca="1" si="41"/>
        <v>#REF!</v>
      </c>
    </row>
    <row r="895" spans="1:9" hidden="1" x14ac:dyDescent="0.25">
      <c r="A895" s="114" t="s">
        <v>921</v>
      </c>
      <c r="B895" s="115" t="s">
        <v>6394</v>
      </c>
      <c r="C895" s="116" t="s">
        <v>20</v>
      </c>
      <c r="D895" s="116">
        <v>0</v>
      </c>
      <c r="E895" s="135">
        <f ca="1">OFFSET(INDEX(Composições!A:J,MATCH(Orçamentária!A895,Composições!A:A,0),8),2,0)</f>
        <v>4.2161</v>
      </c>
      <c r="F895" s="136">
        <f t="shared" ca="1" si="39"/>
        <v>0</v>
      </c>
      <c r="G895" s="137" t="e">
        <f>IF(A895&lt;&gt;"",IF(AND(#REF!="Padrão",$H$4=#REF!),BDI!$B$17,IF(AND(#REF!="Padrão",$H$4=#REF!),BDI!#REF!,IF(AND(#REF!="Diferenciado",$H$4=#REF!),BDI!$E$17,IF(AND(#REF!="Diferenciado",$H$4=#REF!),BDI!#REF!,IF(#REF!="ZERO",0))))),"")</f>
        <v>#REF!</v>
      </c>
      <c r="H895" s="138" t="e">
        <f t="shared" ca="1" si="40"/>
        <v>#REF!</v>
      </c>
      <c r="I895" s="136" t="e">
        <f t="shared" ca="1" si="41"/>
        <v>#REF!</v>
      </c>
    </row>
    <row r="896" spans="1:9" hidden="1" x14ac:dyDescent="0.25">
      <c r="A896" s="114" t="s">
        <v>923</v>
      </c>
      <c r="B896" s="115" t="s">
        <v>2824</v>
      </c>
      <c r="C896" s="116" t="s">
        <v>20</v>
      </c>
      <c r="D896" s="116">
        <v>0</v>
      </c>
      <c r="E896" s="135">
        <f ca="1">OFFSET(INDEX(Composições!A:J,MATCH(Orçamentária!A896,Composições!A:A,0),8),2,0)</f>
        <v>4.2161</v>
      </c>
      <c r="F896" s="136">
        <f t="shared" ca="1" si="39"/>
        <v>0</v>
      </c>
      <c r="G896" s="137" t="e">
        <f>IF(A896&lt;&gt;"",IF(AND(#REF!="Padrão",$H$4=#REF!),BDI!$B$17,IF(AND(#REF!="Padrão",$H$4=#REF!),BDI!#REF!,IF(AND(#REF!="Diferenciado",$H$4=#REF!),BDI!$E$17,IF(AND(#REF!="Diferenciado",$H$4=#REF!),BDI!#REF!,IF(#REF!="ZERO",0))))),"")</f>
        <v>#REF!</v>
      </c>
      <c r="H896" s="138" t="e">
        <f t="shared" ca="1" si="40"/>
        <v>#REF!</v>
      </c>
      <c r="I896" s="136" t="e">
        <f t="shared" ca="1" si="41"/>
        <v>#REF!</v>
      </c>
    </row>
    <row r="897" spans="1:9" hidden="1" x14ac:dyDescent="0.25">
      <c r="A897" s="114" t="s">
        <v>925</v>
      </c>
      <c r="B897" s="115" t="s">
        <v>2825</v>
      </c>
      <c r="C897" s="116" t="s">
        <v>93</v>
      </c>
      <c r="D897" s="116">
        <v>0</v>
      </c>
      <c r="E897" s="135">
        <f ca="1">OFFSET(INDEX(Composições!A:J,MATCH(Orçamentária!A897,Composições!A:A,0),8),2,0)</f>
        <v>37.975850999999999</v>
      </c>
      <c r="F897" s="136">
        <f t="shared" ca="1" si="39"/>
        <v>0</v>
      </c>
      <c r="G897" s="137" t="e">
        <f>IF(A897&lt;&gt;"",IF(AND(#REF!="Padrão",$H$4=#REF!),BDI!$B$17,IF(AND(#REF!="Padrão",$H$4=#REF!),BDI!#REF!,IF(AND(#REF!="Diferenciado",$H$4=#REF!),BDI!$E$17,IF(AND(#REF!="Diferenciado",$H$4=#REF!),BDI!#REF!,IF(#REF!="ZERO",0))))),"")</f>
        <v>#REF!</v>
      </c>
      <c r="H897" s="138" t="e">
        <f t="shared" ca="1" si="40"/>
        <v>#REF!</v>
      </c>
      <c r="I897" s="136" t="e">
        <f t="shared" ca="1" si="41"/>
        <v>#REF!</v>
      </c>
    </row>
    <row r="898" spans="1:9" hidden="1" x14ac:dyDescent="0.25">
      <c r="A898" s="114" t="s">
        <v>927</v>
      </c>
      <c r="B898" s="115" t="s">
        <v>2826</v>
      </c>
      <c r="C898" s="116" t="s">
        <v>93</v>
      </c>
      <c r="D898" s="116">
        <v>0</v>
      </c>
      <c r="E898" s="135">
        <f ca="1">OFFSET(INDEX(Composições!A:J,MATCH(Orçamentária!A898,Composições!A:A,0),8),2,0)</f>
        <v>4.2161</v>
      </c>
      <c r="F898" s="136">
        <f t="shared" ca="1" si="39"/>
        <v>0</v>
      </c>
      <c r="G898" s="137" t="e">
        <f>IF(A898&lt;&gt;"",IF(AND(#REF!="Padrão",$H$4=#REF!),BDI!$B$17,IF(AND(#REF!="Padrão",$H$4=#REF!),BDI!#REF!,IF(AND(#REF!="Diferenciado",$H$4=#REF!),BDI!$E$17,IF(AND(#REF!="Diferenciado",$H$4=#REF!),BDI!#REF!,IF(#REF!="ZERO",0))))),"")</f>
        <v>#REF!</v>
      </c>
      <c r="H898" s="138" t="e">
        <f t="shared" ca="1" si="40"/>
        <v>#REF!</v>
      </c>
      <c r="I898" s="136" t="e">
        <f t="shared" ca="1" si="41"/>
        <v>#REF!</v>
      </c>
    </row>
    <row r="899" spans="1:9" hidden="1" x14ac:dyDescent="0.25">
      <c r="A899" s="114" t="s">
        <v>929</v>
      </c>
      <c r="B899" s="115" t="s">
        <v>2827</v>
      </c>
      <c r="C899" s="116" t="s">
        <v>93</v>
      </c>
      <c r="D899" s="116">
        <v>0</v>
      </c>
      <c r="E899" s="135">
        <f ca="1">OFFSET(INDEX(Composições!A:J,MATCH(Orçamentária!A899,Composições!A:A,0),8),2,0)</f>
        <v>10.886848000000001</v>
      </c>
      <c r="F899" s="136">
        <f t="shared" ca="1" si="39"/>
        <v>0</v>
      </c>
      <c r="G899" s="137" t="e">
        <f>IF(A899&lt;&gt;"",IF(AND(#REF!="Padrão",$H$4=#REF!),BDI!$B$17,IF(AND(#REF!="Padrão",$H$4=#REF!),BDI!#REF!,IF(AND(#REF!="Diferenciado",$H$4=#REF!),BDI!$E$17,IF(AND(#REF!="Diferenciado",$H$4=#REF!),BDI!#REF!,IF(#REF!="ZERO",0))))),"")</f>
        <v>#REF!</v>
      </c>
      <c r="H899" s="138" t="e">
        <f t="shared" ca="1" si="40"/>
        <v>#REF!</v>
      </c>
      <c r="I899" s="136" t="e">
        <f t="shared" ca="1" si="41"/>
        <v>#REF!</v>
      </c>
    </row>
    <row r="900" spans="1:9" hidden="1" x14ac:dyDescent="0.25">
      <c r="A900" s="114" t="s">
        <v>932</v>
      </c>
      <c r="B900" s="115" t="s">
        <v>2828</v>
      </c>
      <c r="C900" s="116" t="s">
        <v>20</v>
      </c>
      <c r="D900" s="116">
        <v>0</v>
      </c>
      <c r="E900" s="135">
        <f ca="1">OFFSET(INDEX(Composições!A:J,MATCH(Orçamentária!A900,Composições!A:A,0),8),2,0)</f>
        <v>31.620750000000001</v>
      </c>
      <c r="F900" s="136">
        <f t="shared" ca="1" si="39"/>
        <v>0</v>
      </c>
      <c r="G900" s="137" t="e">
        <f>IF(A900&lt;&gt;"",IF(AND(#REF!="Padrão",$H$4=#REF!),BDI!$B$17,IF(AND(#REF!="Padrão",$H$4=#REF!),BDI!#REF!,IF(AND(#REF!="Diferenciado",$H$4=#REF!),BDI!$E$17,IF(AND(#REF!="Diferenciado",$H$4=#REF!),BDI!#REF!,IF(#REF!="ZERO",0))))),"")</f>
        <v>#REF!</v>
      </c>
      <c r="H900" s="138" t="e">
        <f t="shared" ca="1" si="40"/>
        <v>#REF!</v>
      </c>
      <c r="I900" s="136" t="e">
        <f t="shared" ca="1" si="41"/>
        <v>#REF!</v>
      </c>
    </row>
    <row r="901" spans="1:9" hidden="1" x14ac:dyDescent="0.25">
      <c r="A901" s="114" t="s">
        <v>933</v>
      </c>
      <c r="B901" s="115" t="s">
        <v>2829</v>
      </c>
      <c r="C901" s="116" t="s">
        <v>95</v>
      </c>
      <c r="D901" s="116">
        <v>0</v>
      </c>
      <c r="E901" s="135">
        <f ca="1">OFFSET(INDEX(Composições!A:J,MATCH(Orçamentária!A901,Composições!A:A,0),8),2,0)</f>
        <v>78.992471499999994</v>
      </c>
      <c r="F901" s="136">
        <f t="shared" ca="1" si="39"/>
        <v>0</v>
      </c>
      <c r="G901" s="137" t="e">
        <f>IF(A901&lt;&gt;"",IF(AND(#REF!="Padrão",$H$4=#REF!),BDI!$B$17,IF(AND(#REF!="Padrão",$H$4=#REF!),BDI!#REF!,IF(AND(#REF!="Diferenciado",$H$4=#REF!),BDI!$E$17,IF(AND(#REF!="Diferenciado",$H$4=#REF!),BDI!#REF!,IF(#REF!="ZERO",0))))),"")</f>
        <v>#REF!</v>
      </c>
      <c r="H901" s="138" t="e">
        <f t="shared" ca="1" si="40"/>
        <v>#REF!</v>
      </c>
      <c r="I901" s="136" t="e">
        <f t="shared" ca="1" si="41"/>
        <v>#REF!</v>
      </c>
    </row>
    <row r="902" spans="1:9" hidden="1" x14ac:dyDescent="0.25">
      <c r="A902" s="114" t="s">
        <v>935</v>
      </c>
      <c r="B902" s="115" t="s">
        <v>2830</v>
      </c>
      <c r="C902" s="116" t="s">
        <v>20</v>
      </c>
      <c r="D902" s="116">
        <v>0</v>
      </c>
      <c r="E902" s="135">
        <f ca="1">OFFSET(INDEX(Composições!A:J,MATCH(Orçamentária!A902,Composições!A:A,0),8),2,0)</f>
        <v>8.4321999999999999</v>
      </c>
      <c r="F902" s="136">
        <f t="shared" ca="1" si="39"/>
        <v>0</v>
      </c>
      <c r="G902" s="137" t="e">
        <f>IF(A902&lt;&gt;"",IF(AND(#REF!="Padrão",$H$4=#REF!),BDI!$B$17,IF(AND(#REF!="Padrão",$H$4=#REF!),BDI!#REF!,IF(AND(#REF!="Diferenciado",$H$4=#REF!),BDI!$E$17,IF(AND(#REF!="Diferenciado",$H$4=#REF!),BDI!#REF!,IF(#REF!="ZERO",0))))),"")</f>
        <v>#REF!</v>
      </c>
      <c r="H902" s="138" t="e">
        <f t="shared" ca="1" si="40"/>
        <v>#REF!</v>
      </c>
      <c r="I902" s="136" t="e">
        <f t="shared" ca="1" si="41"/>
        <v>#REF!</v>
      </c>
    </row>
    <row r="903" spans="1:9" hidden="1" x14ac:dyDescent="0.25">
      <c r="A903" s="114" t="s">
        <v>937</v>
      </c>
      <c r="B903" s="115" t="s">
        <v>2831</v>
      </c>
      <c r="C903" s="116" t="s">
        <v>42</v>
      </c>
      <c r="D903" s="116">
        <v>0</v>
      </c>
      <c r="E903" s="135">
        <f ca="1">OFFSET(INDEX(Composições!A:J,MATCH(Orçamentária!A903,Composições!A:A,0),8),2,0)</f>
        <v>18.121050499999999</v>
      </c>
      <c r="F903" s="136">
        <f t="shared" ref="F903:F966" ca="1" si="42">IF(ISNUMBER(E903),D903*E903,"")</f>
        <v>0</v>
      </c>
      <c r="G903" s="137" t="e">
        <f>IF(A903&lt;&gt;"",IF(AND(#REF!="Padrão",$H$4=#REF!),BDI!$B$17,IF(AND(#REF!="Padrão",$H$4=#REF!),BDI!#REF!,IF(AND(#REF!="Diferenciado",$H$4=#REF!),BDI!$E$17,IF(AND(#REF!="Diferenciado",$H$4=#REF!),BDI!#REF!,IF(#REF!="ZERO",0))))),"")</f>
        <v>#REF!</v>
      </c>
      <c r="H903" s="138" t="e">
        <f t="shared" ref="H903:H966" ca="1" si="43">IF(ISNUMBER(E903),ROUND(E903*(1+G903),2),"")</f>
        <v>#REF!</v>
      </c>
      <c r="I903" s="136" t="e">
        <f t="shared" ref="I903:I966" ca="1" si="44">IF(ISNUMBER(E903),ROUND(H903*D903,2),"")</f>
        <v>#REF!</v>
      </c>
    </row>
    <row r="904" spans="1:9" hidden="1" x14ac:dyDescent="0.25">
      <c r="A904" s="114" t="s">
        <v>943</v>
      </c>
      <c r="B904" s="115" t="s">
        <v>2832</v>
      </c>
      <c r="C904" s="116" t="s">
        <v>20</v>
      </c>
      <c r="D904" s="116">
        <v>0</v>
      </c>
      <c r="E904" s="135">
        <f ca="1">OFFSET(INDEX(Composições!A:J,MATCH(Orçamentária!A904,Composições!A:A,0),8),2,0)</f>
        <v>4.2161</v>
      </c>
      <c r="F904" s="136">
        <f t="shared" ca="1" si="42"/>
        <v>0</v>
      </c>
      <c r="G904" s="137" t="e">
        <f>IF(A904&lt;&gt;"",IF(AND(#REF!="Padrão",$H$4=#REF!),BDI!$B$17,IF(AND(#REF!="Padrão",$H$4=#REF!),BDI!#REF!,IF(AND(#REF!="Diferenciado",$H$4=#REF!),BDI!$E$17,IF(AND(#REF!="Diferenciado",$H$4=#REF!),BDI!#REF!,IF(#REF!="ZERO",0))))),"")</f>
        <v>#REF!</v>
      </c>
      <c r="H904" s="138" t="e">
        <f t="shared" ca="1" si="43"/>
        <v>#REF!</v>
      </c>
      <c r="I904" s="136" t="e">
        <f t="shared" ca="1" si="44"/>
        <v>#REF!</v>
      </c>
    </row>
    <row r="905" spans="1:9" hidden="1" x14ac:dyDescent="0.25">
      <c r="A905" s="114" t="s">
        <v>945</v>
      </c>
      <c r="B905" s="115" t="s">
        <v>2833</v>
      </c>
      <c r="C905" s="116" t="s">
        <v>20</v>
      </c>
      <c r="D905" s="116">
        <v>0</v>
      </c>
      <c r="E905" s="135">
        <f ca="1">OFFSET(INDEX(Composições!A:J,MATCH(Orçamentária!A905,Composições!A:A,0),8),2,0)</f>
        <v>6.3241500000000004</v>
      </c>
      <c r="F905" s="136">
        <f t="shared" ca="1" si="42"/>
        <v>0</v>
      </c>
      <c r="G905" s="137" t="e">
        <f>IF(A905&lt;&gt;"",IF(AND(#REF!="Padrão",$H$4=#REF!),BDI!$B$17,IF(AND(#REF!="Padrão",$H$4=#REF!),BDI!#REF!,IF(AND(#REF!="Diferenciado",$H$4=#REF!),BDI!$E$17,IF(AND(#REF!="Diferenciado",$H$4=#REF!),BDI!#REF!,IF(#REF!="ZERO",0))))),"")</f>
        <v>#REF!</v>
      </c>
      <c r="H905" s="138" t="e">
        <f t="shared" ca="1" si="43"/>
        <v>#REF!</v>
      </c>
      <c r="I905" s="136" t="e">
        <f t="shared" ca="1" si="44"/>
        <v>#REF!</v>
      </c>
    </row>
    <row r="906" spans="1:9" hidden="1" x14ac:dyDescent="0.25">
      <c r="A906" s="114" t="s">
        <v>947</v>
      </c>
      <c r="B906" s="115" t="s">
        <v>2834</v>
      </c>
      <c r="C906" s="116" t="s">
        <v>20</v>
      </c>
      <c r="D906" s="116">
        <v>0</v>
      </c>
      <c r="E906" s="135">
        <f ca="1">OFFSET(INDEX(Composições!A:J,MATCH(Orçamentária!A906,Composições!A:A,0),8),2,0)</f>
        <v>6.3241500000000004</v>
      </c>
      <c r="F906" s="136">
        <f t="shared" ca="1" si="42"/>
        <v>0</v>
      </c>
      <c r="G906" s="137" t="e">
        <f>IF(A906&lt;&gt;"",IF(AND(#REF!="Padrão",$H$4=#REF!),BDI!$B$17,IF(AND(#REF!="Padrão",$H$4=#REF!),BDI!#REF!,IF(AND(#REF!="Diferenciado",$H$4=#REF!),BDI!$E$17,IF(AND(#REF!="Diferenciado",$H$4=#REF!),BDI!#REF!,IF(#REF!="ZERO",0))))),"")</f>
        <v>#REF!</v>
      </c>
      <c r="H906" s="138" t="e">
        <f t="shared" ca="1" si="43"/>
        <v>#REF!</v>
      </c>
      <c r="I906" s="136" t="e">
        <f t="shared" ca="1" si="44"/>
        <v>#REF!</v>
      </c>
    </row>
    <row r="907" spans="1:9" hidden="1" x14ac:dyDescent="0.25">
      <c r="A907" s="114" t="s">
        <v>949</v>
      </c>
      <c r="B907" s="115" t="s">
        <v>2835</v>
      </c>
      <c r="C907" s="116" t="s">
        <v>20</v>
      </c>
      <c r="D907" s="116">
        <v>0</v>
      </c>
      <c r="E907" s="135">
        <f ca="1">OFFSET(INDEX(Composições!A:J,MATCH(Orçamentária!A907,Composições!A:A,0),8),2,0)</f>
        <v>6.3241500000000004</v>
      </c>
      <c r="F907" s="136">
        <f t="shared" ca="1" si="42"/>
        <v>0</v>
      </c>
      <c r="G907" s="137" t="e">
        <f>IF(A907&lt;&gt;"",IF(AND(#REF!="Padrão",$H$4=#REF!),BDI!$B$17,IF(AND(#REF!="Padrão",$H$4=#REF!),BDI!#REF!,IF(AND(#REF!="Diferenciado",$H$4=#REF!),BDI!$E$17,IF(AND(#REF!="Diferenciado",$H$4=#REF!),BDI!#REF!,IF(#REF!="ZERO",0))))),"")</f>
        <v>#REF!</v>
      </c>
      <c r="H907" s="138" t="e">
        <f t="shared" ca="1" si="43"/>
        <v>#REF!</v>
      </c>
      <c r="I907" s="136" t="e">
        <f t="shared" ca="1" si="44"/>
        <v>#REF!</v>
      </c>
    </row>
    <row r="908" spans="1:9" hidden="1" x14ac:dyDescent="0.25">
      <c r="A908" s="114" t="s">
        <v>951</v>
      </c>
      <c r="B908" s="115" t="s">
        <v>2836</v>
      </c>
      <c r="C908" s="116" t="s">
        <v>20</v>
      </c>
      <c r="D908" s="116">
        <v>0</v>
      </c>
      <c r="E908" s="135">
        <f ca="1">OFFSET(INDEX(Composições!A:J,MATCH(Orçamentária!A908,Composições!A:A,0),8),2,0)</f>
        <v>3.1620750000000002</v>
      </c>
      <c r="F908" s="136">
        <f t="shared" ca="1" si="42"/>
        <v>0</v>
      </c>
      <c r="G908" s="137" t="e">
        <f>IF(A908&lt;&gt;"",IF(AND(#REF!="Padrão",$H$4=#REF!),BDI!$B$17,IF(AND(#REF!="Padrão",$H$4=#REF!),BDI!#REF!,IF(AND(#REF!="Diferenciado",$H$4=#REF!),BDI!$E$17,IF(AND(#REF!="Diferenciado",$H$4=#REF!),BDI!#REF!,IF(#REF!="ZERO",0))))),"")</f>
        <v>#REF!</v>
      </c>
      <c r="H908" s="138" t="e">
        <f t="shared" ca="1" si="43"/>
        <v>#REF!</v>
      </c>
      <c r="I908" s="136" t="e">
        <f t="shared" ca="1" si="44"/>
        <v>#REF!</v>
      </c>
    </row>
    <row r="909" spans="1:9" hidden="1" x14ac:dyDescent="0.25">
      <c r="A909" s="114" t="s">
        <v>953</v>
      </c>
      <c r="B909" s="115" t="s">
        <v>2837</v>
      </c>
      <c r="C909" s="116" t="s">
        <v>20</v>
      </c>
      <c r="D909" s="116">
        <v>0</v>
      </c>
      <c r="E909" s="135">
        <f ca="1">OFFSET(INDEX(Composições!A:J,MATCH(Orçamentária!A909,Composições!A:A,0),8),2,0)</f>
        <v>3.1620750000000002</v>
      </c>
      <c r="F909" s="136">
        <f t="shared" ca="1" si="42"/>
        <v>0</v>
      </c>
      <c r="G909" s="137" t="e">
        <f>IF(A909&lt;&gt;"",IF(AND(#REF!="Padrão",$H$4=#REF!),BDI!$B$17,IF(AND(#REF!="Padrão",$H$4=#REF!),BDI!#REF!,IF(AND(#REF!="Diferenciado",$H$4=#REF!),BDI!$E$17,IF(AND(#REF!="Diferenciado",$H$4=#REF!),BDI!#REF!,IF(#REF!="ZERO",0))))),"")</f>
        <v>#REF!</v>
      </c>
      <c r="H909" s="138" t="e">
        <f t="shared" ca="1" si="43"/>
        <v>#REF!</v>
      </c>
      <c r="I909" s="136" t="e">
        <f t="shared" ca="1" si="44"/>
        <v>#REF!</v>
      </c>
    </row>
    <row r="910" spans="1:9" hidden="1" x14ac:dyDescent="0.25">
      <c r="A910" s="114" t="s">
        <v>955</v>
      </c>
      <c r="B910" s="115" t="s">
        <v>2838</v>
      </c>
      <c r="C910" s="116" t="s">
        <v>20</v>
      </c>
      <c r="D910" s="116">
        <v>0</v>
      </c>
      <c r="E910" s="135">
        <f ca="1">OFFSET(INDEX(Composições!A:J,MATCH(Orçamentária!A910,Composições!A:A,0),8),2,0)</f>
        <v>3.1620750000000002</v>
      </c>
      <c r="F910" s="136">
        <f t="shared" ca="1" si="42"/>
        <v>0</v>
      </c>
      <c r="G910" s="137" t="e">
        <f>IF(A910&lt;&gt;"",IF(AND(#REF!="Padrão",$H$4=#REF!),BDI!$B$17,IF(AND(#REF!="Padrão",$H$4=#REF!),BDI!#REF!,IF(AND(#REF!="Diferenciado",$H$4=#REF!),BDI!$E$17,IF(AND(#REF!="Diferenciado",$H$4=#REF!),BDI!#REF!,IF(#REF!="ZERO",0))))),"")</f>
        <v>#REF!</v>
      </c>
      <c r="H910" s="138" t="e">
        <f t="shared" ca="1" si="43"/>
        <v>#REF!</v>
      </c>
      <c r="I910" s="136" t="e">
        <f t="shared" ca="1" si="44"/>
        <v>#REF!</v>
      </c>
    </row>
    <row r="911" spans="1:9" hidden="1" x14ac:dyDescent="0.25">
      <c r="A911" s="114" t="s">
        <v>957</v>
      </c>
      <c r="B911" s="115" t="s">
        <v>2839</v>
      </c>
      <c r="C911" s="116" t="s">
        <v>20</v>
      </c>
      <c r="D911" s="116">
        <v>0</v>
      </c>
      <c r="E911" s="135">
        <f ca="1">OFFSET(INDEX(Composições!A:J,MATCH(Orçamentária!A911,Composições!A:A,0),8),2,0)</f>
        <v>3.1620750000000002</v>
      </c>
      <c r="F911" s="136">
        <f t="shared" ca="1" si="42"/>
        <v>0</v>
      </c>
      <c r="G911" s="137" t="e">
        <f>IF(A911&lt;&gt;"",IF(AND(#REF!="Padrão",$H$4=#REF!),BDI!$B$17,IF(AND(#REF!="Padrão",$H$4=#REF!),BDI!#REF!,IF(AND(#REF!="Diferenciado",$H$4=#REF!),BDI!$E$17,IF(AND(#REF!="Diferenciado",$H$4=#REF!),BDI!#REF!,IF(#REF!="ZERO",0))))),"")</f>
        <v>#REF!</v>
      </c>
      <c r="H911" s="138" t="e">
        <f t="shared" ca="1" si="43"/>
        <v>#REF!</v>
      </c>
      <c r="I911" s="136" t="e">
        <f t="shared" ca="1" si="44"/>
        <v>#REF!</v>
      </c>
    </row>
    <row r="912" spans="1:9" hidden="1" x14ac:dyDescent="0.25">
      <c r="A912" s="114" t="s">
        <v>959</v>
      </c>
      <c r="B912" s="115" t="s">
        <v>2840</v>
      </c>
      <c r="C912" s="116" t="s">
        <v>20</v>
      </c>
      <c r="D912" s="116">
        <v>0</v>
      </c>
      <c r="E912" s="135">
        <f ca="1">OFFSET(INDEX(Composições!A:J,MATCH(Orçamentária!A912,Composições!A:A,0),8),2,0)</f>
        <v>8.4321999999999999</v>
      </c>
      <c r="F912" s="136">
        <f t="shared" ca="1" si="42"/>
        <v>0</v>
      </c>
      <c r="G912" s="137" t="e">
        <f>IF(A912&lt;&gt;"",IF(AND(#REF!="Padrão",$H$4=#REF!),BDI!$B$17,IF(AND(#REF!="Padrão",$H$4=#REF!),BDI!#REF!,IF(AND(#REF!="Diferenciado",$H$4=#REF!),BDI!$E$17,IF(AND(#REF!="Diferenciado",$H$4=#REF!),BDI!#REF!,IF(#REF!="ZERO",0))))),"")</f>
        <v>#REF!</v>
      </c>
      <c r="H912" s="138" t="e">
        <f t="shared" ca="1" si="43"/>
        <v>#REF!</v>
      </c>
      <c r="I912" s="136" t="e">
        <f t="shared" ca="1" si="44"/>
        <v>#REF!</v>
      </c>
    </row>
    <row r="913" spans="1:9" hidden="1" x14ac:dyDescent="0.25">
      <c r="A913" s="114" t="s">
        <v>961</v>
      </c>
      <c r="B913" s="115" t="s">
        <v>2841</v>
      </c>
      <c r="C913" s="116" t="s">
        <v>2842</v>
      </c>
      <c r="D913" s="116">
        <v>0</v>
      </c>
      <c r="E913" s="135">
        <f ca="1">OFFSET(INDEX(Composições!A:J,MATCH(Orçamentária!A913,Composições!A:A,0),8),2,0)</f>
        <v>48.866869499999993</v>
      </c>
      <c r="F913" s="136">
        <f t="shared" ca="1" si="42"/>
        <v>0</v>
      </c>
      <c r="G913" s="137" t="e">
        <f>IF(A913&lt;&gt;"",IF(AND(#REF!="Padrão",$H$4=#REF!),BDI!$B$17,IF(AND(#REF!="Padrão",$H$4=#REF!),BDI!#REF!,IF(AND(#REF!="Diferenciado",$H$4=#REF!),BDI!$E$17,IF(AND(#REF!="Diferenciado",$H$4=#REF!),BDI!#REF!,IF(#REF!="ZERO",0))))),"")</f>
        <v>#REF!</v>
      </c>
      <c r="H913" s="138" t="e">
        <f t="shared" ca="1" si="43"/>
        <v>#REF!</v>
      </c>
      <c r="I913" s="136" t="e">
        <f t="shared" ca="1" si="44"/>
        <v>#REF!</v>
      </c>
    </row>
    <row r="914" spans="1:9" hidden="1" x14ac:dyDescent="0.25">
      <c r="A914" s="114" t="s">
        <v>962</v>
      </c>
      <c r="B914" s="115" t="s">
        <v>2843</v>
      </c>
      <c r="C914" s="116" t="s">
        <v>95</v>
      </c>
      <c r="D914" s="116">
        <v>0</v>
      </c>
      <c r="E914" s="135">
        <f ca="1">OFFSET(INDEX(Composições!A:J,MATCH(Orçamentária!A914,Composições!A:A,0),8),2,0)</f>
        <v>112.73174999999999</v>
      </c>
      <c r="F914" s="136">
        <f t="shared" ca="1" si="42"/>
        <v>0</v>
      </c>
      <c r="G914" s="137" t="e">
        <f>IF(A914&lt;&gt;"",IF(AND(#REF!="Padrão",$H$4=#REF!),BDI!$B$17,IF(AND(#REF!="Padrão",$H$4=#REF!),BDI!#REF!,IF(AND(#REF!="Diferenciado",$H$4=#REF!),BDI!$E$17,IF(AND(#REF!="Diferenciado",$H$4=#REF!),BDI!#REF!,IF(#REF!="ZERO",0))))),"")</f>
        <v>#REF!</v>
      </c>
      <c r="H914" s="138" t="e">
        <f t="shared" ca="1" si="43"/>
        <v>#REF!</v>
      </c>
      <c r="I914" s="136" t="e">
        <f t="shared" ca="1" si="44"/>
        <v>#REF!</v>
      </c>
    </row>
    <row r="915" spans="1:9" hidden="1" x14ac:dyDescent="0.25">
      <c r="A915" s="114" t="s">
        <v>964</v>
      </c>
      <c r="B915" s="115" t="s">
        <v>2844</v>
      </c>
      <c r="C915" s="116" t="s">
        <v>95</v>
      </c>
      <c r="D915" s="116">
        <v>0</v>
      </c>
      <c r="E915" s="135">
        <f ca="1">OFFSET(INDEX(Composições!A:J,MATCH(Orçamentária!A915,Composições!A:A,0),8),2,0)</f>
        <v>159.54775000000001</v>
      </c>
      <c r="F915" s="136">
        <f t="shared" ca="1" si="42"/>
        <v>0</v>
      </c>
      <c r="G915" s="137" t="e">
        <f>IF(A915&lt;&gt;"",IF(AND(#REF!="Padrão",$H$4=#REF!),BDI!$B$17,IF(AND(#REF!="Padrão",$H$4=#REF!),BDI!#REF!,IF(AND(#REF!="Diferenciado",$H$4=#REF!),BDI!$E$17,IF(AND(#REF!="Diferenciado",$H$4=#REF!),BDI!#REF!,IF(#REF!="ZERO",0))))),"")</f>
        <v>#REF!</v>
      </c>
      <c r="H915" s="138" t="e">
        <f t="shared" ca="1" si="43"/>
        <v>#REF!</v>
      </c>
      <c r="I915" s="136" t="e">
        <f t="shared" ca="1" si="44"/>
        <v>#REF!</v>
      </c>
    </row>
    <row r="916" spans="1:9" hidden="1" x14ac:dyDescent="0.25">
      <c r="A916" s="114" t="s">
        <v>966</v>
      </c>
      <c r="B916" s="115" t="s">
        <v>2845</v>
      </c>
      <c r="C916" s="116" t="s">
        <v>93</v>
      </c>
      <c r="D916" s="116">
        <v>0</v>
      </c>
      <c r="E916" s="135">
        <f ca="1">OFFSET(INDEX(Composições!A:J,MATCH(Orçamentária!A916,Composições!A:A,0),8),2,0)</f>
        <v>24.545625000000001</v>
      </c>
      <c r="F916" s="136">
        <f t="shared" ca="1" si="42"/>
        <v>0</v>
      </c>
      <c r="G916" s="137" t="e">
        <f>IF(A916&lt;&gt;"",IF(AND(#REF!="Padrão",$H$4=#REF!),BDI!$B$17,IF(AND(#REF!="Padrão",$H$4=#REF!),BDI!#REF!,IF(AND(#REF!="Diferenciado",$H$4=#REF!),BDI!$E$17,IF(AND(#REF!="Diferenciado",$H$4=#REF!),BDI!#REF!,IF(#REF!="ZERO",0))))),"")</f>
        <v>#REF!</v>
      </c>
      <c r="H916" s="138" t="e">
        <f t="shared" ca="1" si="43"/>
        <v>#REF!</v>
      </c>
      <c r="I916" s="136" t="e">
        <f t="shared" ca="1" si="44"/>
        <v>#REF!</v>
      </c>
    </row>
    <row r="917" spans="1:9" hidden="1" x14ac:dyDescent="0.25">
      <c r="A917" s="114" t="s">
        <v>967</v>
      </c>
      <c r="B917" s="115" t="s">
        <v>2846</v>
      </c>
      <c r="C917" s="116" t="s">
        <v>95</v>
      </c>
      <c r="D917" s="116">
        <v>0</v>
      </c>
      <c r="E917" s="135">
        <f ca="1">OFFSET(INDEX(Composições!A:J,MATCH(Orçamentária!A917,Composições!A:A,0),8),2,0)</f>
        <v>48.350250000000003</v>
      </c>
      <c r="F917" s="136">
        <f t="shared" ca="1" si="42"/>
        <v>0</v>
      </c>
      <c r="G917" s="137" t="e">
        <f>IF(A917&lt;&gt;"",IF(AND(#REF!="Padrão",$H$4=#REF!),BDI!$B$17,IF(AND(#REF!="Padrão",$H$4=#REF!),BDI!#REF!,IF(AND(#REF!="Diferenciado",$H$4=#REF!),BDI!$E$17,IF(AND(#REF!="Diferenciado",$H$4=#REF!),BDI!#REF!,IF(#REF!="ZERO",0))))),"")</f>
        <v>#REF!</v>
      </c>
      <c r="H917" s="138" t="e">
        <f t="shared" ca="1" si="43"/>
        <v>#REF!</v>
      </c>
      <c r="I917" s="136" t="e">
        <f t="shared" ca="1" si="44"/>
        <v>#REF!</v>
      </c>
    </row>
    <row r="918" spans="1:9" hidden="1" x14ac:dyDescent="0.25">
      <c r="A918" s="114" t="s">
        <v>969</v>
      </c>
      <c r="B918" s="115" t="s">
        <v>970</v>
      </c>
      <c r="C918" s="116" t="s">
        <v>95</v>
      </c>
      <c r="D918" s="116">
        <v>0</v>
      </c>
      <c r="E918" s="135">
        <f ca="1">OFFSET(INDEX(Composições!A:J,MATCH(Orçamentária!A918,Composições!A:A,0),8),2,0)</f>
        <v>48.350250000000003</v>
      </c>
      <c r="F918" s="136">
        <f t="shared" ca="1" si="42"/>
        <v>0</v>
      </c>
      <c r="G918" s="137" t="e">
        <f>IF(A918&lt;&gt;"",IF(AND(#REF!="Padrão",$H$4=#REF!),BDI!$B$17,IF(AND(#REF!="Padrão",$H$4=#REF!),BDI!#REF!,IF(AND(#REF!="Diferenciado",$H$4=#REF!),BDI!$E$17,IF(AND(#REF!="Diferenciado",$H$4=#REF!),BDI!#REF!,IF(#REF!="ZERO",0))))),"")</f>
        <v>#REF!</v>
      </c>
      <c r="H918" s="138" t="e">
        <f t="shared" ca="1" si="43"/>
        <v>#REF!</v>
      </c>
      <c r="I918" s="136" t="e">
        <f t="shared" ca="1" si="44"/>
        <v>#REF!</v>
      </c>
    </row>
    <row r="919" spans="1:9" hidden="1" x14ac:dyDescent="0.25">
      <c r="A919" s="114" t="s">
        <v>971</v>
      </c>
      <c r="B919" s="115" t="s">
        <v>2847</v>
      </c>
      <c r="C919" s="116" t="s">
        <v>20</v>
      </c>
      <c r="D919" s="116">
        <v>0</v>
      </c>
      <c r="E919" s="135">
        <f ca="1">OFFSET(INDEX(Composições!A:J,MATCH(Orçamentária!A919,Composições!A:A,0),8),2,0)</f>
        <v>6.4020499999999991</v>
      </c>
      <c r="F919" s="136">
        <f t="shared" ca="1" si="42"/>
        <v>0</v>
      </c>
      <c r="G919" s="137" t="e">
        <f>IF(A919&lt;&gt;"",IF(AND(#REF!="Padrão",$H$4=#REF!),BDI!$B$17,IF(AND(#REF!="Padrão",$H$4=#REF!),BDI!#REF!,IF(AND(#REF!="Diferenciado",$H$4=#REF!),BDI!$E$17,IF(AND(#REF!="Diferenciado",$H$4=#REF!),BDI!#REF!,IF(#REF!="ZERO",0))))),"")</f>
        <v>#REF!</v>
      </c>
      <c r="H919" s="138" t="e">
        <f t="shared" ca="1" si="43"/>
        <v>#REF!</v>
      </c>
      <c r="I919" s="136" t="e">
        <f t="shared" ca="1" si="44"/>
        <v>#REF!</v>
      </c>
    </row>
    <row r="920" spans="1:9" hidden="1" x14ac:dyDescent="0.25">
      <c r="A920" s="114" t="s">
        <v>972</v>
      </c>
      <c r="B920" s="115" t="s">
        <v>6395</v>
      </c>
      <c r="C920" s="116" t="s">
        <v>110</v>
      </c>
      <c r="D920" s="116">
        <v>0</v>
      </c>
      <c r="E920" s="135">
        <f ca="1">OFFSET(INDEX(Composições!A:J,MATCH(Orçamentária!A920,Composições!A:A,0),8),2,0)</f>
        <v>2977.7883817000002</v>
      </c>
      <c r="F920" s="136">
        <f t="shared" ca="1" si="42"/>
        <v>0</v>
      </c>
      <c r="G920" s="137" t="e">
        <f>IF(A920&lt;&gt;"",IF(AND(#REF!="Padrão",$H$4=#REF!),BDI!$B$17,IF(AND(#REF!="Padrão",$H$4=#REF!),BDI!#REF!,IF(AND(#REF!="Diferenciado",$H$4=#REF!),BDI!$E$17,IF(AND(#REF!="Diferenciado",$H$4=#REF!),BDI!#REF!,IF(#REF!="ZERO",0))))),"")</f>
        <v>#REF!</v>
      </c>
      <c r="H920" s="138" t="e">
        <f t="shared" ca="1" si="43"/>
        <v>#REF!</v>
      </c>
      <c r="I920" s="136" t="e">
        <f t="shared" ca="1" si="44"/>
        <v>#REF!</v>
      </c>
    </row>
    <row r="921" spans="1:9" hidden="1" x14ac:dyDescent="0.25">
      <c r="A921" s="114" t="s">
        <v>974</v>
      </c>
      <c r="B921" s="115" t="s">
        <v>6458</v>
      </c>
      <c r="C921" s="116" t="s">
        <v>42</v>
      </c>
      <c r="D921" s="116">
        <v>0</v>
      </c>
      <c r="E921" s="135">
        <f ca="1">OFFSET(INDEX(Composições!A:J,MATCH(Orçamentária!A921,Composições!A:A,0),8),2,0)</f>
        <v>13.683733500000002</v>
      </c>
      <c r="F921" s="136">
        <f t="shared" ca="1" si="42"/>
        <v>0</v>
      </c>
      <c r="G921" s="137" t="e">
        <f>IF(A921&lt;&gt;"",IF(AND(#REF!="Padrão",$H$4=#REF!),BDI!$B$17,IF(AND(#REF!="Padrão",$H$4=#REF!),BDI!#REF!,IF(AND(#REF!="Diferenciado",$H$4=#REF!),BDI!$E$17,IF(AND(#REF!="Diferenciado",$H$4=#REF!),BDI!#REF!,IF(#REF!="ZERO",0))))),"")</f>
        <v>#REF!</v>
      </c>
      <c r="H921" s="138" t="e">
        <f t="shared" ca="1" si="43"/>
        <v>#REF!</v>
      </c>
      <c r="I921" s="136" t="e">
        <f t="shared" ca="1" si="44"/>
        <v>#REF!</v>
      </c>
    </row>
    <row r="922" spans="1:9" hidden="1" x14ac:dyDescent="0.25">
      <c r="A922" s="114" t="s">
        <v>976</v>
      </c>
      <c r="B922" s="115" t="s">
        <v>6459</v>
      </c>
      <c r="C922" s="116" t="s">
        <v>42</v>
      </c>
      <c r="D922" s="116">
        <v>0</v>
      </c>
      <c r="E922" s="135">
        <f ca="1">OFFSET(INDEX(Composições!A:J,MATCH(Orçamentária!A922,Composições!A:A,0),8),2,0)</f>
        <v>14.564231499999998</v>
      </c>
      <c r="F922" s="136">
        <f t="shared" ca="1" si="42"/>
        <v>0</v>
      </c>
      <c r="G922" s="137" t="e">
        <f>IF(A922&lt;&gt;"",IF(AND(#REF!="Padrão",$H$4=#REF!),BDI!$B$17,IF(AND(#REF!="Padrão",$H$4=#REF!),BDI!#REF!,IF(AND(#REF!="Diferenciado",$H$4=#REF!),BDI!$E$17,IF(AND(#REF!="Diferenciado",$H$4=#REF!),BDI!#REF!,IF(#REF!="ZERO",0))))),"")</f>
        <v>#REF!</v>
      </c>
      <c r="H922" s="138" t="e">
        <f t="shared" ca="1" si="43"/>
        <v>#REF!</v>
      </c>
      <c r="I922" s="136" t="e">
        <f t="shared" ca="1" si="44"/>
        <v>#REF!</v>
      </c>
    </row>
    <row r="923" spans="1:9" hidden="1" x14ac:dyDescent="0.25">
      <c r="A923" s="114" t="s">
        <v>978</v>
      </c>
      <c r="B923" s="115" t="s">
        <v>2848</v>
      </c>
      <c r="C923" s="116" t="s">
        <v>20</v>
      </c>
      <c r="D923" s="116">
        <v>0</v>
      </c>
      <c r="E923" s="135">
        <f ca="1">OFFSET(INDEX(Composições!A:J,MATCH(Orçamentária!A923,Composições!A:A,0),8),2,0)</f>
        <v>20.795500000000001</v>
      </c>
      <c r="F923" s="136">
        <f t="shared" ca="1" si="42"/>
        <v>0</v>
      </c>
      <c r="G923" s="137" t="e">
        <f>IF(A923&lt;&gt;"",IF(AND(#REF!="Padrão",$H$4=#REF!),BDI!$B$17,IF(AND(#REF!="Padrão",$H$4=#REF!),BDI!#REF!,IF(AND(#REF!="Diferenciado",$H$4=#REF!),BDI!$E$17,IF(AND(#REF!="Diferenciado",$H$4=#REF!),BDI!#REF!,IF(#REF!="ZERO",0))))),"")</f>
        <v>#REF!</v>
      </c>
      <c r="H923" s="138" t="e">
        <f t="shared" ca="1" si="43"/>
        <v>#REF!</v>
      </c>
      <c r="I923" s="136" t="e">
        <f t="shared" ca="1" si="44"/>
        <v>#REF!</v>
      </c>
    </row>
    <row r="924" spans="1:9" hidden="1" x14ac:dyDescent="0.25">
      <c r="A924" s="114" t="s">
        <v>979</v>
      </c>
      <c r="B924" s="115" t="s">
        <v>2849</v>
      </c>
      <c r="C924" s="116" t="s">
        <v>110</v>
      </c>
      <c r="D924" s="116">
        <v>0</v>
      </c>
      <c r="E924" s="135">
        <f ca="1">OFFSET(INDEX(Composições!A:J,MATCH(Orçamentária!A924,Composições!A:A,0),8),2,0)</f>
        <v>66.181901999999994</v>
      </c>
      <c r="F924" s="136">
        <f t="shared" ca="1" si="42"/>
        <v>0</v>
      </c>
      <c r="G924" s="137" t="e">
        <f>IF(A924&lt;&gt;"",IF(AND(#REF!="Padrão",$H$4=#REF!),BDI!$B$17,IF(AND(#REF!="Padrão",$H$4=#REF!),BDI!#REF!,IF(AND(#REF!="Diferenciado",$H$4=#REF!),BDI!$E$17,IF(AND(#REF!="Diferenciado",$H$4=#REF!),BDI!#REF!,IF(#REF!="ZERO",0))))),"")</f>
        <v>#REF!</v>
      </c>
      <c r="H924" s="138" t="e">
        <f t="shared" ca="1" si="43"/>
        <v>#REF!</v>
      </c>
      <c r="I924" s="136" t="e">
        <f t="shared" ca="1" si="44"/>
        <v>#REF!</v>
      </c>
    </row>
    <row r="925" spans="1:9" hidden="1" x14ac:dyDescent="0.25">
      <c r="A925" s="114" t="s">
        <v>980</v>
      </c>
      <c r="B925" s="115" t="s">
        <v>2850</v>
      </c>
      <c r="C925" s="116" t="s">
        <v>110</v>
      </c>
      <c r="D925" s="116">
        <v>0</v>
      </c>
      <c r="E925" s="135">
        <f ca="1">OFFSET(INDEX(Composições!A:J,MATCH(Orçamentária!A925,Composições!A:A,0),8),2,0)</f>
        <v>24.071337499999998</v>
      </c>
      <c r="F925" s="136">
        <f t="shared" ca="1" si="42"/>
        <v>0</v>
      </c>
      <c r="G925" s="137" t="e">
        <f>IF(A925&lt;&gt;"",IF(AND(#REF!="Padrão",$H$4=#REF!),BDI!$B$17,IF(AND(#REF!="Padrão",$H$4=#REF!),BDI!#REF!,IF(AND(#REF!="Diferenciado",$H$4=#REF!),BDI!$E$17,IF(AND(#REF!="Diferenciado",$H$4=#REF!),BDI!#REF!,IF(#REF!="ZERO",0))))),"")</f>
        <v>#REF!</v>
      </c>
      <c r="H925" s="138" t="e">
        <f t="shared" ca="1" si="43"/>
        <v>#REF!</v>
      </c>
      <c r="I925" s="136" t="e">
        <f t="shared" ca="1" si="44"/>
        <v>#REF!</v>
      </c>
    </row>
    <row r="926" spans="1:9" hidden="1" x14ac:dyDescent="0.25">
      <c r="A926" s="114" t="s">
        <v>986</v>
      </c>
      <c r="B926" s="115" t="s">
        <v>2851</v>
      </c>
      <c r="C926" s="116" t="s">
        <v>110</v>
      </c>
      <c r="D926" s="116">
        <v>0</v>
      </c>
      <c r="E926" s="135">
        <f ca="1">OFFSET(INDEX(Composições!A:J,MATCH(Orçamentária!A926,Composições!A:A,0),8),2,0)</f>
        <v>92.99691787499998</v>
      </c>
      <c r="F926" s="136">
        <f t="shared" ca="1" si="42"/>
        <v>0</v>
      </c>
      <c r="G926" s="137" t="e">
        <f>IF(A926&lt;&gt;"",IF(AND(#REF!="Padrão",$H$4=#REF!),BDI!$B$17,IF(AND(#REF!="Padrão",$H$4=#REF!),BDI!#REF!,IF(AND(#REF!="Diferenciado",$H$4=#REF!),BDI!$E$17,IF(AND(#REF!="Diferenciado",$H$4=#REF!),BDI!#REF!,IF(#REF!="ZERO",0))))),"")</f>
        <v>#REF!</v>
      </c>
      <c r="H926" s="138" t="e">
        <f t="shared" ca="1" si="43"/>
        <v>#REF!</v>
      </c>
      <c r="I926" s="136" t="e">
        <f t="shared" ca="1" si="44"/>
        <v>#REF!</v>
      </c>
    </row>
    <row r="927" spans="1:9" hidden="1" x14ac:dyDescent="0.25">
      <c r="A927" s="114" t="s">
        <v>991</v>
      </c>
      <c r="B927" s="115" t="s">
        <v>6456</v>
      </c>
      <c r="C927" s="116" t="s">
        <v>93</v>
      </c>
      <c r="D927" s="116">
        <v>0</v>
      </c>
      <c r="E927" s="135">
        <f ca="1">OFFSET(INDEX(Composições!A:J,MATCH(Orçamentária!A927,Composições!A:A,0),8),2,0)</f>
        <v>59.029426099999995</v>
      </c>
      <c r="F927" s="136">
        <f t="shared" ca="1" si="42"/>
        <v>0</v>
      </c>
      <c r="G927" s="137" t="e">
        <f>IF(A927&lt;&gt;"",IF(AND(#REF!="Padrão",$H$4=#REF!),BDI!$B$17,IF(AND(#REF!="Padrão",$H$4=#REF!),BDI!#REF!,IF(AND(#REF!="Diferenciado",$H$4=#REF!),BDI!$E$17,IF(AND(#REF!="Diferenciado",$H$4=#REF!),BDI!#REF!,IF(#REF!="ZERO",0))))),"")</f>
        <v>#REF!</v>
      </c>
      <c r="H927" s="138" t="e">
        <f t="shared" ca="1" si="43"/>
        <v>#REF!</v>
      </c>
      <c r="I927" s="136" t="e">
        <f t="shared" ca="1" si="44"/>
        <v>#REF!</v>
      </c>
    </row>
    <row r="928" spans="1:9" hidden="1" x14ac:dyDescent="0.25">
      <c r="A928" s="114" t="s">
        <v>995</v>
      </c>
      <c r="B928" s="115" t="s">
        <v>2852</v>
      </c>
      <c r="C928" s="116" t="s">
        <v>93</v>
      </c>
      <c r="D928" s="116">
        <v>0</v>
      </c>
      <c r="E928" s="135">
        <f ca="1">OFFSET(INDEX(Composições!A:J,MATCH(Orçamentária!A928,Composições!A:A,0),8),2,0)</f>
        <v>74.009319649999981</v>
      </c>
      <c r="F928" s="136">
        <f t="shared" ca="1" si="42"/>
        <v>0</v>
      </c>
      <c r="G928" s="137" t="e">
        <f>IF(A928&lt;&gt;"",IF(AND(#REF!="Padrão",$H$4=#REF!),BDI!$B$17,IF(AND(#REF!="Padrão",$H$4=#REF!),BDI!#REF!,IF(AND(#REF!="Diferenciado",$H$4=#REF!),BDI!$E$17,IF(AND(#REF!="Diferenciado",$H$4=#REF!),BDI!#REF!,IF(#REF!="ZERO",0))))),"")</f>
        <v>#REF!</v>
      </c>
      <c r="H928" s="138" t="e">
        <f t="shared" ca="1" si="43"/>
        <v>#REF!</v>
      </c>
      <c r="I928" s="136" t="e">
        <f t="shared" ca="1" si="44"/>
        <v>#REF!</v>
      </c>
    </row>
    <row r="929" spans="1:9" hidden="1" x14ac:dyDescent="0.25">
      <c r="A929" s="114" t="s">
        <v>997</v>
      </c>
      <c r="B929" s="115" t="s">
        <v>6457</v>
      </c>
      <c r="C929" s="116" t="s">
        <v>93</v>
      </c>
      <c r="D929" s="116">
        <v>0</v>
      </c>
      <c r="E929" s="135">
        <f ca="1">OFFSET(INDEX(Composições!A:J,MATCH(Orçamentária!A929,Composições!A:A,0),8),2,0)</f>
        <v>135.73766534999999</v>
      </c>
      <c r="F929" s="136">
        <f t="shared" ca="1" si="42"/>
        <v>0</v>
      </c>
      <c r="G929" s="137" t="e">
        <f>IF(A929&lt;&gt;"",IF(AND(#REF!="Padrão",$H$4=#REF!),BDI!$B$17,IF(AND(#REF!="Padrão",$H$4=#REF!),BDI!#REF!,IF(AND(#REF!="Diferenciado",$H$4=#REF!),BDI!$E$17,IF(AND(#REF!="Diferenciado",$H$4=#REF!),BDI!#REF!,IF(#REF!="ZERO",0))))),"")</f>
        <v>#REF!</v>
      </c>
      <c r="H929" s="138" t="e">
        <f t="shared" ca="1" si="43"/>
        <v>#REF!</v>
      </c>
      <c r="I929" s="136" t="e">
        <f t="shared" ca="1" si="44"/>
        <v>#REF!</v>
      </c>
    </row>
    <row r="930" spans="1:9" hidden="1" x14ac:dyDescent="0.25">
      <c r="A930" s="114" t="s">
        <v>999</v>
      </c>
      <c r="B930" s="115" t="s">
        <v>6460</v>
      </c>
      <c r="C930" s="116" t="s">
        <v>20</v>
      </c>
      <c r="D930" s="116">
        <v>0</v>
      </c>
      <c r="E930" s="135">
        <f ca="1">OFFSET(INDEX(Composições!A:J,MATCH(Orçamentária!A930,Composições!A:A,0),8),2,0)</f>
        <v>488.57317059999997</v>
      </c>
      <c r="F930" s="136">
        <f t="shared" ca="1" si="42"/>
        <v>0</v>
      </c>
      <c r="G930" s="137" t="e">
        <f>IF(A930&lt;&gt;"",IF(AND(#REF!="Padrão",$H$4=#REF!),BDI!$B$17,IF(AND(#REF!="Padrão",$H$4=#REF!),BDI!#REF!,IF(AND(#REF!="Diferenciado",$H$4=#REF!),BDI!$E$17,IF(AND(#REF!="Diferenciado",$H$4=#REF!),BDI!#REF!,IF(#REF!="ZERO",0))))),"")</f>
        <v>#REF!</v>
      </c>
      <c r="H930" s="138" t="e">
        <f t="shared" ca="1" si="43"/>
        <v>#REF!</v>
      </c>
      <c r="I930" s="136" t="e">
        <f t="shared" ca="1" si="44"/>
        <v>#REF!</v>
      </c>
    </row>
    <row r="931" spans="1:9" hidden="1" x14ac:dyDescent="0.25">
      <c r="A931" s="114" t="s">
        <v>1003</v>
      </c>
      <c r="B931" s="115" t="s">
        <v>2853</v>
      </c>
      <c r="C931" s="116" t="s">
        <v>20</v>
      </c>
      <c r="D931" s="116">
        <v>0</v>
      </c>
      <c r="E931" s="135">
        <f ca="1">OFFSET(INDEX(Composições!A:J,MATCH(Orçamentária!A931,Composições!A:A,0),8),2,0)</f>
        <v>1.6729499999999999</v>
      </c>
      <c r="F931" s="136">
        <f t="shared" ca="1" si="42"/>
        <v>0</v>
      </c>
      <c r="G931" s="137" t="e">
        <f>IF(A931&lt;&gt;"",IF(AND(#REF!="Padrão",$H$4=#REF!),BDI!$B$17,IF(AND(#REF!="Padrão",$H$4=#REF!),BDI!#REF!,IF(AND(#REF!="Diferenciado",$H$4=#REF!),BDI!$E$17,IF(AND(#REF!="Diferenciado",$H$4=#REF!),BDI!#REF!,IF(#REF!="ZERO",0))))),"")</f>
        <v>#REF!</v>
      </c>
      <c r="H931" s="138" t="e">
        <f t="shared" ca="1" si="43"/>
        <v>#REF!</v>
      </c>
      <c r="I931" s="136" t="e">
        <f t="shared" ca="1" si="44"/>
        <v>#REF!</v>
      </c>
    </row>
    <row r="932" spans="1:9" hidden="1" x14ac:dyDescent="0.25">
      <c r="A932" s="114" t="s">
        <v>1006</v>
      </c>
      <c r="B932" s="115" t="s">
        <v>2854</v>
      </c>
      <c r="C932" s="116" t="s">
        <v>20</v>
      </c>
      <c r="D932" s="116">
        <v>0</v>
      </c>
      <c r="E932" s="135">
        <f ca="1">OFFSET(INDEX(Composições!A:J,MATCH(Orçamentária!A932,Composições!A:A,0),8),2,0)</f>
        <v>31.454756500000002</v>
      </c>
      <c r="F932" s="136">
        <f t="shared" ca="1" si="42"/>
        <v>0</v>
      </c>
      <c r="G932" s="137" t="e">
        <f>IF(A932&lt;&gt;"",IF(AND(#REF!="Padrão",$H$4=#REF!),BDI!$B$17,IF(AND(#REF!="Padrão",$H$4=#REF!),BDI!#REF!,IF(AND(#REF!="Diferenciado",$H$4=#REF!),BDI!$E$17,IF(AND(#REF!="Diferenciado",$H$4=#REF!),BDI!#REF!,IF(#REF!="ZERO",0))))),"")</f>
        <v>#REF!</v>
      </c>
      <c r="H932" s="138" t="e">
        <f t="shared" ca="1" si="43"/>
        <v>#REF!</v>
      </c>
      <c r="I932" s="136" t="e">
        <f t="shared" ca="1" si="44"/>
        <v>#REF!</v>
      </c>
    </row>
    <row r="933" spans="1:9" hidden="1" x14ac:dyDescent="0.25">
      <c r="A933" s="114" t="s">
        <v>1008</v>
      </c>
      <c r="B933" s="115" t="s">
        <v>4114</v>
      </c>
      <c r="C933" s="116" t="s">
        <v>93</v>
      </c>
      <c r="D933" s="116">
        <v>0</v>
      </c>
      <c r="E933" s="135">
        <f ca="1">OFFSET(INDEX(Composições!A:J,MATCH(Orçamentária!A933,Composições!A:A,0),8),2,0)</f>
        <v>2.6368199999999997</v>
      </c>
      <c r="F933" s="136">
        <f t="shared" ca="1" si="42"/>
        <v>0</v>
      </c>
      <c r="G933" s="137" t="e">
        <f>IF(A933&lt;&gt;"",IF(AND(#REF!="Padrão",$H$4=#REF!),BDI!$B$17,IF(AND(#REF!="Padrão",$H$4=#REF!),BDI!#REF!,IF(AND(#REF!="Diferenciado",$H$4=#REF!),BDI!$E$17,IF(AND(#REF!="Diferenciado",$H$4=#REF!),BDI!#REF!,IF(#REF!="ZERO",0))))),"")</f>
        <v>#REF!</v>
      </c>
      <c r="H933" s="138" t="e">
        <f t="shared" ca="1" si="43"/>
        <v>#REF!</v>
      </c>
      <c r="I933" s="136" t="e">
        <f t="shared" ca="1" si="44"/>
        <v>#REF!</v>
      </c>
    </row>
    <row r="934" spans="1:9" hidden="1" x14ac:dyDescent="0.25">
      <c r="A934" s="114" t="s">
        <v>1010</v>
      </c>
      <c r="B934" s="115" t="s">
        <v>4115</v>
      </c>
      <c r="C934" s="116" t="s">
        <v>93</v>
      </c>
      <c r="D934" s="116">
        <v>0</v>
      </c>
      <c r="E934" s="135">
        <f ca="1">OFFSET(INDEX(Composições!A:J,MATCH(Orçamentária!A934,Composições!A:A,0),8),2,0)</f>
        <v>3.0031019999999993</v>
      </c>
      <c r="F934" s="136">
        <f t="shared" ca="1" si="42"/>
        <v>0</v>
      </c>
      <c r="G934" s="137" t="e">
        <f>IF(A934&lt;&gt;"",IF(AND(#REF!="Padrão",$H$4=#REF!),BDI!$B$17,IF(AND(#REF!="Padrão",$H$4=#REF!),BDI!#REF!,IF(AND(#REF!="Diferenciado",$H$4=#REF!),BDI!$E$17,IF(AND(#REF!="Diferenciado",$H$4=#REF!),BDI!#REF!,IF(#REF!="ZERO",0))))),"")</f>
        <v>#REF!</v>
      </c>
      <c r="H934" s="138" t="e">
        <f t="shared" ca="1" si="43"/>
        <v>#REF!</v>
      </c>
      <c r="I934" s="136" t="e">
        <f t="shared" ca="1" si="44"/>
        <v>#REF!</v>
      </c>
    </row>
    <row r="935" spans="1:9" hidden="1" x14ac:dyDescent="0.25">
      <c r="A935" s="114" t="s">
        <v>1012</v>
      </c>
      <c r="B935" s="115" t="s">
        <v>4116</v>
      </c>
      <c r="C935" s="116" t="s">
        <v>93</v>
      </c>
      <c r="D935" s="116">
        <v>0</v>
      </c>
      <c r="E935" s="135">
        <f ca="1">OFFSET(INDEX(Composições!A:J,MATCH(Orçamentária!A935,Composições!A:A,0),8),2,0)</f>
        <v>3.5728739999999997</v>
      </c>
      <c r="F935" s="136">
        <f t="shared" ca="1" si="42"/>
        <v>0</v>
      </c>
      <c r="G935" s="137" t="e">
        <f>IF(A935&lt;&gt;"",IF(AND(#REF!="Padrão",$H$4=#REF!),BDI!$B$17,IF(AND(#REF!="Padrão",$H$4=#REF!),BDI!#REF!,IF(AND(#REF!="Diferenciado",$H$4=#REF!),BDI!$E$17,IF(AND(#REF!="Diferenciado",$H$4=#REF!),BDI!#REF!,IF(#REF!="ZERO",0))))),"")</f>
        <v>#REF!</v>
      </c>
      <c r="H935" s="138" t="e">
        <f t="shared" ca="1" si="43"/>
        <v>#REF!</v>
      </c>
      <c r="I935" s="136" t="e">
        <f t="shared" ca="1" si="44"/>
        <v>#REF!</v>
      </c>
    </row>
    <row r="936" spans="1:9" hidden="1" x14ac:dyDescent="0.25">
      <c r="A936" s="114" t="s">
        <v>1014</v>
      </c>
      <c r="B936" s="115" t="s">
        <v>4117</v>
      </c>
      <c r="C936" s="116" t="s">
        <v>93</v>
      </c>
      <c r="D936" s="116">
        <v>0</v>
      </c>
      <c r="E936" s="135">
        <f ca="1">OFFSET(INDEX(Composições!A:J,MATCH(Orçamentária!A936,Composições!A:A,0),8),2,0)</f>
        <v>4.3054379999999997</v>
      </c>
      <c r="F936" s="136">
        <f t="shared" ca="1" si="42"/>
        <v>0</v>
      </c>
      <c r="G936" s="137" t="e">
        <f>IF(A936&lt;&gt;"",IF(AND(#REF!="Padrão",$H$4=#REF!),BDI!$B$17,IF(AND(#REF!="Padrão",$H$4=#REF!),BDI!#REF!,IF(AND(#REF!="Diferenciado",$H$4=#REF!),BDI!$E$17,IF(AND(#REF!="Diferenciado",$H$4=#REF!),BDI!#REF!,IF(#REF!="ZERO",0))))),"")</f>
        <v>#REF!</v>
      </c>
      <c r="H936" s="138" t="e">
        <f t="shared" ca="1" si="43"/>
        <v>#REF!</v>
      </c>
      <c r="I936" s="136" t="e">
        <f t="shared" ca="1" si="44"/>
        <v>#REF!</v>
      </c>
    </row>
    <row r="937" spans="1:9" hidden="1" x14ac:dyDescent="0.25">
      <c r="A937" s="114" t="s">
        <v>1016</v>
      </c>
      <c r="B937" s="115" t="s">
        <v>4118</v>
      </c>
      <c r="C937" s="116" t="s">
        <v>93</v>
      </c>
      <c r="D937" s="116">
        <v>0</v>
      </c>
      <c r="E937" s="135">
        <f ca="1">OFFSET(INDEX(Composições!A:J,MATCH(Orçamentária!A937,Composições!A:A,0),8),2,0)</f>
        <v>5.2414919999999992</v>
      </c>
      <c r="F937" s="136">
        <f t="shared" ca="1" si="42"/>
        <v>0</v>
      </c>
      <c r="G937" s="137" t="e">
        <f>IF(A937&lt;&gt;"",IF(AND(#REF!="Padrão",$H$4=#REF!),BDI!$B$17,IF(AND(#REF!="Padrão",$H$4=#REF!),BDI!#REF!,IF(AND(#REF!="Diferenciado",$H$4=#REF!),BDI!$E$17,IF(AND(#REF!="Diferenciado",$H$4=#REF!),BDI!#REF!,IF(#REF!="ZERO",0))))),"")</f>
        <v>#REF!</v>
      </c>
      <c r="H937" s="138" t="e">
        <f t="shared" ca="1" si="43"/>
        <v>#REF!</v>
      </c>
      <c r="I937" s="136" t="e">
        <f t="shared" ca="1" si="44"/>
        <v>#REF!</v>
      </c>
    </row>
    <row r="938" spans="1:9" hidden="1" x14ac:dyDescent="0.25">
      <c r="A938" s="114" t="s">
        <v>1018</v>
      </c>
      <c r="B938" s="115" t="s">
        <v>4119</v>
      </c>
      <c r="C938" s="116" t="s">
        <v>93</v>
      </c>
      <c r="D938" s="116">
        <v>0</v>
      </c>
      <c r="E938" s="135">
        <f ca="1">OFFSET(INDEX(Composições!A:J,MATCH(Orçamentária!A938,Composições!A:A,0),8),2,0)</f>
        <v>6.2182439999999986</v>
      </c>
      <c r="F938" s="136">
        <f t="shared" ca="1" si="42"/>
        <v>0</v>
      </c>
      <c r="G938" s="137" t="e">
        <f>IF(A938&lt;&gt;"",IF(AND(#REF!="Padrão",$H$4=#REF!),BDI!$B$17,IF(AND(#REF!="Padrão",$H$4=#REF!),BDI!#REF!,IF(AND(#REF!="Diferenciado",$H$4=#REF!),BDI!$E$17,IF(AND(#REF!="Diferenciado",$H$4=#REF!),BDI!#REF!,IF(#REF!="ZERO",0))))),"")</f>
        <v>#REF!</v>
      </c>
      <c r="H938" s="138" t="e">
        <f t="shared" ca="1" si="43"/>
        <v>#REF!</v>
      </c>
      <c r="I938" s="136" t="e">
        <f t="shared" ca="1" si="44"/>
        <v>#REF!</v>
      </c>
    </row>
    <row r="939" spans="1:9" hidden="1" x14ac:dyDescent="0.25">
      <c r="A939" s="114" t="s">
        <v>1020</v>
      </c>
      <c r="B939" s="115" t="s">
        <v>4120</v>
      </c>
      <c r="C939" s="116" t="s">
        <v>93</v>
      </c>
      <c r="D939" s="116">
        <v>0</v>
      </c>
      <c r="E939" s="135">
        <f ca="1">OFFSET(INDEX(Composições!A:J,MATCH(Orçamentária!A939,Composições!A:A,0),8),2,0)</f>
        <v>7.3170899999999994</v>
      </c>
      <c r="F939" s="136">
        <f t="shared" ca="1" si="42"/>
        <v>0</v>
      </c>
      <c r="G939" s="137" t="e">
        <f>IF(A939&lt;&gt;"",IF(AND(#REF!="Padrão",$H$4=#REF!),BDI!$B$17,IF(AND(#REF!="Padrão",$H$4=#REF!),BDI!#REF!,IF(AND(#REF!="Diferenciado",$H$4=#REF!),BDI!$E$17,IF(AND(#REF!="Diferenciado",$H$4=#REF!),BDI!#REF!,IF(#REF!="ZERO",0))))),"")</f>
        <v>#REF!</v>
      </c>
      <c r="H939" s="138" t="e">
        <f t="shared" ca="1" si="43"/>
        <v>#REF!</v>
      </c>
      <c r="I939" s="136" t="e">
        <f t="shared" ca="1" si="44"/>
        <v>#REF!</v>
      </c>
    </row>
    <row r="940" spans="1:9" hidden="1" x14ac:dyDescent="0.25">
      <c r="A940" s="114" t="s">
        <v>1022</v>
      </c>
      <c r="B940" s="115" t="s">
        <v>4121</v>
      </c>
      <c r="C940" s="116" t="s">
        <v>93</v>
      </c>
      <c r="D940" s="116">
        <v>0</v>
      </c>
      <c r="E940" s="135">
        <f ca="1">OFFSET(INDEX(Composições!A:J,MATCH(Orçamentária!A940,Composições!A:A,0),8),2,0)</f>
        <v>8.6601239999999997</v>
      </c>
      <c r="F940" s="136">
        <f t="shared" ca="1" si="42"/>
        <v>0</v>
      </c>
      <c r="G940" s="137" t="e">
        <f>IF(A940&lt;&gt;"",IF(AND(#REF!="Padrão",$H$4=#REF!),BDI!$B$17,IF(AND(#REF!="Padrão",$H$4=#REF!),BDI!#REF!,IF(AND(#REF!="Diferenciado",$H$4=#REF!),BDI!$E$17,IF(AND(#REF!="Diferenciado",$H$4=#REF!),BDI!#REF!,IF(#REF!="ZERO",0))))),"")</f>
        <v>#REF!</v>
      </c>
      <c r="H940" s="138" t="e">
        <f t="shared" ca="1" si="43"/>
        <v>#REF!</v>
      </c>
      <c r="I940" s="136" t="e">
        <f t="shared" ca="1" si="44"/>
        <v>#REF!</v>
      </c>
    </row>
    <row r="941" spans="1:9" hidden="1" x14ac:dyDescent="0.25">
      <c r="A941" s="114" t="s">
        <v>1024</v>
      </c>
      <c r="B941" s="115" t="s">
        <v>4122</v>
      </c>
      <c r="C941" s="116" t="s">
        <v>93</v>
      </c>
      <c r="D941" s="116">
        <v>0</v>
      </c>
      <c r="E941" s="135">
        <f ca="1">OFFSET(INDEX(Composições!A:J,MATCH(Orçamentária!A941,Composições!A:A,0),8),2,0)</f>
        <v>2.6368199999999997</v>
      </c>
      <c r="F941" s="136">
        <f t="shared" ca="1" si="42"/>
        <v>0</v>
      </c>
      <c r="G941" s="137" t="e">
        <f>IF(A941&lt;&gt;"",IF(AND(#REF!="Padrão",$H$4=#REF!),BDI!$B$17,IF(AND(#REF!="Padrão",$H$4=#REF!),BDI!#REF!,IF(AND(#REF!="Diferenciado",$H$4=#REF!),BDI!$E$17,IF(AND(#REF!="Diferenciado",$H$4=#REF!),BDI!#REF!,IF(#REF!="ZERO",0))))),"")</f>
        <v>#REF!</v>
      </c>
      <c r="H941" s="138" t="e">
        <f t="shared" ca="1" si="43"/>
        <v>#REF!</v>
      </c>
      <c r="I941" s="136" t="e">
        <f t="shared" ca="1" si="44"/>
        <v>#REF!</v>
      </c>
    </row>
    <row r="942" spans="1:9" hidden="1" x14ac:dyDescent="0.25">
      <c r="A942" s="114" t="s">
        <v>1026</v>
      </c>
      <c r="B942" s="115" t="s">
        <v>2855</v>
      </c>
      <c r="C942" s="116" t="s">
        <v>95</v>
      </c>
      <c r="D942" s="116">
        <v>0</v>
      </c>
      <c r="E942" s="135">
        <f ca="1">OFFSET(INDEX(Composições!A:J,MATCH(Orçamentária!A942,Composições!A:A,0),8),2,0)</f>
        <v>7.804456535129999</v>
      </c>
      <c r="F942" s="136">
        <f t="shared" ca="1" si="42"/>
        <v>0</v>
      </c>
      <c r="G942" s="137" t="e">
        <f>IF(A942&lt;&gt;"",IF(AND(#REF!="Padrão",$H$4=#REF!),BDI!$B$17,IF(AND(#REF!="Padrão",$H$4=#REF!),BDI!#REF!,IF(AND(#REF!="Diferenciado",$H$4=#REF!),BDI!$E$17,IF(AND(#REF!="Diferenciado",$H$4=#REF!),BDI!#REF!,IF(#REF!="ZERO",0))))),"")</f>
        <v>#REF!</v>
      </c>
      <c r="H942" s="138" t="e">
        <f t="shared" ca="1" si="43"/>
        <v>#REF!</v>
      </c>
      <c r="I942" s="136" t="e">
        <f t="shared" ca="1" si="44"/>
        <v>#REF!</v>
      </c>
    </row>
    <row r="943" spans="1:9" hidden="1" x14ac:dyDescent="0.25">
      <c r="A943" s="114" t="s">
        <v>1030</v>
      </c>
      <c r="B943" s="115" t="s">
        <v>2856</v>
      </c>
      <c r="C943" s="116" t="s">
        <v>93</v>
      </c>
      <c r="D943" s="116">
        <v>0</v>
      </c>
      <c r="E943" s="135">
        <f ca="1">OFFSET(INDEX(Composições!A:J,MATCH(Orçamentária!A943,Composições!A:A,0),8),2,0)</f>
        <v>14.437213456199999</v>
      </c>
      <c r="F943" s="136">
        <f t="shared" ca="1" si="42"/>
        <v>0</v>
      </c>
      <c r="G943" s="137" t="e">
        <f>IF(A943&lt;&gt;"",IF(AND(#REF!="Padrão",$H$4=#REF!),BDI!$B$17,IF(AND(#REF!="Padrão",$H$4=#REF!),BDI!#REF!,IF(AND(#REF!="Diferenciado",$H$4=#REF!),BDI!$E$17,IF(AND(#REF!="Diferenciado",$H$4=#REF!),BDI!#REF!,IF(#REF!="ZERO",0))))),"")</f>
        <v>#REF!</v>
      </c>
      <c r="H943" s="138" t="e">
        <f t="shared" ca="1" si="43"/>
        <v>#REF!</v>
      </c>
      <c r="I943" s="136" t="e">
        <f t="shared" ca="1" si="44"/>
        <v>#REF!</v>
      </c>
    </row>
    <row r="944" spans="1:9" hidden="1" x14ac:dyDescent="0.25">
      <c r="A944" s="114" t="s">
        <v>2857</v>
      </c>
      <c r="B944" s="115" t="s">
        <v>2858</v>
      </c>
      <c r="C944" s="116" t="s">
        <v>20</v>
      </c>
      <c r="D944" s="116">
        <v>0</v>
      </c>
      <c r="E944" s="135" t="s">
        <v>558</v>
      </c>
      <c r="F944" s="136" t="str">
        <f t="shared" si="42"/>
        <v/>
      </c>
      <c r="G944" s="137" t="e">
        <f>IF(A944&lt;&gt;"",IF(AND(#REF!="Padrão",$H$4=#REF!),BDI!$B$17,IF(AND(#REF!="Padrão",$H$4=#REF!),BDI!#REF!,IF(AND(#REF!="Diferenciado",$H$4=#REF!),BDI!$E$17,IF(AND(#REF!="Diferenciado",$H$4=#REF!),BDI!#REF!,IF(#REF!="ZERO",0))))),"")</f>
        <v>#REF!</v>
      </c>
      <c r="H944" s="138" t="str">
        <f t="shared" si="43"/>
        <v/>
      </c>
      <c r="I944" s="136" t="str">
        <f t="shared" si="44"/>
        <v/>
      </c>
    </row>
    <row r="945" spans="1:9" hidden="1" x14ac:dyDescent="0.25">
      <c r="A945" s="114" t="s">
        <v>1031</v>
      </c>
      <c r="B945" s="115" t="s">
        <v>6396</v>
      </c>
      <c r="C945" s="116" t="s">
        <v>1580</v>
      </c>
      <c r="D945" s="116">
        <v>0</v>
      </c>
      <c r="E945" s="135">
        <f ca="1">OFFSET(INDEX(Composições!A:J,MATCH(Orçamentária!A945,Composições!A:A,0),8),2,0)</f>
        <v>3.8708035000000001</v>
      </c>
      <c r="F945" s="136">
        <f t="shared" ca="1" si="42"/>
        <v>0</v>
      </c>
      <c r="G945" s="137" t="e">
        <f>IF(A945&lt;&gt;"",IF(AND(#REF!="Padrão",$H$4=#REF!),BDI!$B$17,IF(AND(#REF!="Padrão",$H$4=#REF!),BDI!#REF!,IF(AND(#REF!="Diferenciado",$H$4=#REF!),BDI!$E$17,IF(AND(#REF!="Diferenciado",$H$4=#REF!),BDI!#REF!,IF(#REF!="ZERO",0))))),"")</f>
        <v>#REF!</v>
      </c>
      <c r="H945" s="138" t="e">
        <f t="shared" ca="1" si="43"/>
        <v>#REF!</v>
      </c>
      <c r="I945" s="136" t="e">
        <f t="shared" ca="1" si="44"/>
        <v>#REF!</v>
      </c>
    </row>
    <row r="946" spans="1:9" hidden="1" x14ac:dyDescent="0.25">
      <c r="A946" s="114" t="s">
        <v>2859</v>
      </c>
      <c r="B946" s="115" t="s">
        <v>2860</v>
      </c>
      <c r="C946" s="116" t="s">
        <v>2740</v>
      </c>
      <c r="D946" s="116">
        <v>0</v>
      </c>
      <c r="E946" s="135" t="s">
        <v>558</v>
      </c>
      <c r="F946" s="136" t="str">
        <f t="shared" si="42"/>
        <v/>
      </c>
      <c r="G946" s="137" t="e">
        <f>IF(A946&lt;&gt;"",IF(AND(#REF!="Padrão",$H$4=#REF!),BDI!$B$17,IF(AND(#REF!="Padrão",$H$4=#REF!),BDI!#REF!,IF(AND(#REF!="Diferenciado",$H$4=#REF!),BDI!$E$17,IF(AND(#REF!="Diferenciado",$H$4=#REF!),BDI!#REF!,IF(#REF!="ZERO",0))))),"")</f>
        <v>#REF!</v>
      </c>
      <c r="H946" s="138" t="str">
        <f t="shared" si="43"/>
        <v/>
      </c>
      <c r="I946" s="136" t="str">
        <f t="shared" si="44"/>
        <v/>
      </c>
    </row>
    <row r="947" spans="1:9" hidden="1" x14ac:dyDescent="0.25">
      <c r="A947" s="114" t="s">
        <v>1037</v>
      </c>
      <c r="B947" s="115" t="s">
        <v>2861</v>
      </c>
      <c r="C947" s="116" t="s">
        <v>20</v>
      </c>
      <c r="D947" s="116">
        <v>0</v>
      </c>
      <c r="E947" s="135">
        <f ca="1">OFFSET(INDEX(Composições!A:J,MATCH(Orçamentária!A947,Composições!A:A,0),8),2,0)</f>
        <v>148.19999999999999</v>
      </c>
      <c r="F947" s="136">
        <f t="shared" ca="1" si="42"/>
        <v>0</v>
      </c>
      <c r="G947" s="137" t="e">
        <f>IF(A947&lt;&gt;"",IF(AND(#REF!="Padrão",$H$4=#REF!),BDI!$B$17,IF(AND(#REF!="Padrão",$H$4=#REF!),BDI!#REF!,IF(AND(#REF!="Diferenciado",$H$4=#REF!),BDI!$E$17,IF(AND(#REF!="Diferenciado",$H$4=#REF!),BDI!#REF!,IF(#REF!="ZERO",0))))),"")</f>
        <v>#REF!</v>
      </c>
      <c r="H947" s="138" t="e">
        <f t="shared" ca="1" si="43"/>
        <v>#REF!</v>
      </c>
      <c r="I947" s="136" t="e">
        <f t="shared" ca="1" si="44"/>
        <v>#REF!</v>
      </c>
    </row>
    <row r="948" spans="1:9" hidden="1" x14ac:dyDescent="0.25">
      <c r="A948" s="114" t="s">
        <v>1038</v>
      </c>
      <c r="B948" s="115" t="s">
        <v>2862</v>
      </c>
      <c r="C948" s="116" t="s">
        <v>20</v>
      </c>
      <c r="D948" s="116">
        <v>0</v>
      </c>
      <c r="E948" s="135">
        <f ca="1">OFFSET(INDEX(Composições!A:J,MATCH(Orçamentária!A948,Composições!A:A,0),8),2,0)</f>
        <v>30.759418249999996</v>
      </c>
      <c r="F948" s="136">
        <f t="shared" ca="1" si="42"/>
        <v>0</v>
      </c>
      <c r="G948" s="137" t="e">
        <f>IF(A948&lt;&gt;"",IF(AND(#REF!="Padrão",$H$4=#REF!),BDI!$B$17,IF(AND(#REF!="Padrão",$H$4=#REF!),BDI!#REF!,IF(AND(#REF!="Diferenciado",$H$4=#REF!),BDI!$E$17,IF(AND(#REF!="Diferenciado",$H$4=#REF!),BDI!#REF!,IF(#REF!="ZERO",0))))),"")</f>
        <v>#REF!</v>
      </c>
      <c r="H948" s="138" t="e">
        <f t="shared" ca="1" si="43"/>
        <v>#REF!</v>
      </c>
      <c r="I948" s="136" t="e">
        <f t="shared" ca="1" si="44"/>
        <v>#REF!</v>
      </c>
    </row>
    <row r="949" spans="1:9" hidden="1" x14ac:dyDescent="0.25">
      <c r="A949" s="114" t="s">
        <v>1040</v>
      </c>
      <c r="B949" s="115" t="s">
        <v>2863</v>
      </c>
      <c r="C949" s="116" t="s">
        <v>20</v>
      </c>
      <c r="D949" s="116">
        <v>0</v>
      </c>
      <c r="E949" s="135">
        <f ca="1">OFFSET(INDEX(Composições!A:J,MATCH(Orçamentária!A949,Composições!A:A,0),8),2,0)</f>
        <v>8.0782015000000005</v>
      </c>
      <c r="F949" s="136">
        <f t="shared" ca="1" si="42"/>
        <v>0</v>
      </c>
      <c r="G949" s="137" t="e">
        <f>IF(A949&lt;&gt;"",IF(AND(#REF!="Padrão",$H$4=#REF!),BDI!$B$17,IF(AND(#REF!="Padrão",$H$4=#REF!),BDI!#REF!,IF(AND(#REF!="Diferenciado",$H$4=#REF!),BDI!$E$17,IF(AND(#REF!="Diferenciado",$H$4=#REF!),BDI!#REF!,IF(#REF!="ZERO",0))))),"")</f>
        <v>#REF!</v>
      </c>
      <c r="H949" s="138" t="e">
        <f t="shared" ca="1" si="43"/>
        <v>#REF!</v>
      </c>
      <c r="I949" s="136" t="e">
        <f t="shared" ca="1" si="44"/>
        <v>#REF!</v>
      </c>
    </row>
    <row r="950" spans="1:9" hidden="1" x14ac:dyDescent="0.25">
      <c r="A950" s="114" t="s">
        <v>2864</v>
      </c>
      <c r="B950" s="115" t="s">
        <v>2865</v>
      </c>
      <c r="C950" s="116" t="s">
        <v>20</v>
      </c>
      <c r="D950" s="116">
        <v>0</v>
      </c>
      <c r="E950" s="135" t="s">
        <v>558</v>
      </c>
      <c r="F950" s="136" t="str">
        <f t="shared" si="42"/>
        <v/>
      </c>
      <c r="G950" s="137" t="e">
        <f>IF(A950&lt;&gt;"",IF(AND(#REF!="Padrão",$H$4=#REF!),BDI!$B$17,IF(AND(#REF!="Padrão",$H$4=#REF!),BDI!#REF!,IF(AND(#REF!="Diferenciado",$H$4=#REF!),BDI!$E$17,IF(AND(#REF!="Diferenciado",$H$4=#REF!),BDI!#REF!,IF(#REF!="ZERO",0))))),"")</f>
        <v>#REF!</v>
      </c>
      <c r="H950" s="138" t="str">
        <f t="shared" si="43"/>
        <v/>
      </c>
      <c r="I950" s="136" t="str">
        <f t="shared" si="44"/>
        <v/>
      </c>
    </row>
    <row r="951" spans="1:9" hidden="1" x14ac:dyDescent="0.25">
      <c r="A951" s="114" t="s">
        <v>1042</v>
      </c>
      <c r="B951" s="115" t="s">
        <v>2866</v>
      </c>
      <c r="C951" s="116" t="s">
        <v>20</v>
      </c>
      <c r="D951" s="116">
        <v>0</v>
      </c>
      <c r="E951" s="135">
        <f ca="1">OFFSET(INDEX(Composições!A:J,MATCH(Orçamentária!A951,Composições!A:A,0),8),2,0)</f>
        <v>285.6001998803074</v>
      </c>
      <c r="F951" s="136">
        <f t="shared" ca="1" si="42"/>
        <v>0</v>
      </c>
      <c r="G951" s="137" t="e">
        <f>IF(A951&lt;&gt;"",IF(AND(#REF!="Padrão",$H$4=#REF!),BDI!$B$17,IF(AND(#REF!="Padrão",$H$4=#REF!),BDI!#REF!,IF(AND(#REF!="Diferenciado",$H$4=#REF!),BDI!$E$17,IF(AND(#REF!="Diferenciado",$H$4=#REF!),BDI!#REF!,IF(#REF!="ZERO",0))))),"")</f>
        <v>#REF!</v>
      </c>
      <c r="H951" s="138" t="e">
        <f t="shared" ca="1" si="43"/>
        <v>#REF!</v>
      </c>
      <c r="I951" s="136" t="e">
        <f t="shared" ca="1" si="44"/>
        <v>#REF!</v>
      </c>
    </row>
    <row r="952" spans="1:9" hidden="1" x14ac:dyDescent="0.25">
      <c r="A952" s="114" t="s">
        <v>1045</v>
      </c>
      <c r="B952" s="115" t="s">
        <v>2867</v>
      </c>
      <c r="C952" s="116" t="s">
        <v>2868</v>
      </c>
      <c r="D952" s="116">
        <v>0</v>
      </c>
      <c r="E952" s="135">
        <f ca="1">OFFSET(INDEX(Composições!A:J,MATCH(Orçamentária!A952,Composições!A:A,0),8),2,0)</f>
        <v>91.96</v>
      </c>
      <c r="F952" s="136">
        <f t="shared" ca="1" si="42"/>
        <v>0</v>
      </c>
      <c r="G952" s="137" t="e">
        <f>IF(A952&lt;&gt;"",IF(AND(#REF!="Padrão",$H$4=#REF!),BDI!$B$17,IF(AND(#REF!="Padrão",$H$4=#REF!),BDI!#REF!,IF(AND(#REF!="Diferenciado",$H$4=#REF!),BDI!$E$17,IF(AND(#REF!="Diferenciado",$H$4=#REF!),BDI!#REF!,IF(#REF!="ZERO",0))))),"")</f>
        <v>#REF!</v>
      </c>
      <c r="H952" s="138" t="e">
        <f t="shared" ca="1" si="43"/>
        <v>#REF!</v>
      </c>
      <c r="I952" s="136" t="e">
        <f t="shared" ca="1" si="44"/>
        <v>#REF!</v>
      </c>
    </row>
    <row r="953" spans="1:9" hidden="1" x14ac:dyDescent="0.25">
      <c r="A953" s="114" t="s">
        <v>1047</v>
      </c>
      <c r="B953" s="115" t="s">
        <v>2869</v>
      </c>
      <c r="C953" s="116" t="s">
        <v>2870</v>
      </c>
      <c r="D953" s="116">
        <v>0</v>
      </c>
      <c r="E953" s="135">
        <f ca="1">OFFSET(INDEX(Composições!A:J,MATCH(Orçamentária!A953,Composições!A:A,0),8),2,0)</f>
        <v>536.75</v>
      </c>
      <c r="F953" s="136">
        <f t="shared" ca="1" si="42"/>
        <v>0</v>
      </c>
      <c r="G953" s="137" t="e">
        <f>IF(A953&lt;&gt;"",IF(AND(#REF!="Padrão",$H$4=#REF!),BDI!$B$17,IF(AND(#REF!="Padrão",$H$4=#REF!),BDI!#REF!,IF(AND(#REF!="Diferenciado",$H$4=#REF!),BDI!$E$17,IF(AND(#REF!="Diferenciado",$H$4=#REF!),BDI!#REF!,IF(#REF!="ZERO",0))))),"")</f>
        <v>#REF!</v>
      </c>
      <c r="H953" s="138" t="e">
        <f t="shared" ca="1" si="43"/>
        <v>#REF!</v>
      </c>
      <c r="I953" s="136" t="e">
        <f t="shared" ca="1" si="44"/>
        <v>#REF!</v>
      </c>
    </row>
    <row r="954" spans="1:9" hidden="1" x14ac:dyDescent="0.25">
      <c r="A954" s="114" t="s">
        <v>2871</v>
      </c>
      <c r="B954" s="115" t="s">
        <v>2872</v>
      </c>
      <c r="C954" s="116" t="s">
        <v>2870</v>
      </c>
      <c r="D954" s="116">
        <v>0</v>
      </c>
      <c r="E954" s="135" t="s">
        <v>558</v>
      </c>
      <c r="F954" s="136" t="str">
        <f t="shared" si="42"/>
        <v/>
      </c>
      <c r="G954" s="137" t="e">
        <f>IF(A954&lt;&gt;"",IF(AND(#REF!="Padrão",$H$4=#REF!),BDI!$B$17,IF(AND(#REF!="Padrão",$H$4=#REF!),BDI!#REF!,IF(AND(#REF!="Diferenciado",$H$4=#REF!),BDI!$E$17,IF(AND(#REF!="Diferenciado",$H$4=#REF!),BDI!#REF!,IF(#REF!="ZERO",0))))),"")</f>
        <v>#REF!</v>
      </c>
      <c r="H954" s="138" t="str">
        <f t="shared" si="43"/>
        <v/>
      </c>
      <c r="I954" s="136" t="str">
        <f t="shared" si="44"/>
        <v/>
      </c>
    </row>
    <row r="955" spans="1:9" hidden="1" x14ac:dyDescent="0.25">
      <c r="A955" s="114" t="s">
        <v>1049</v>
      </c>
      <c r="B955" s="115" t="s">
        <v>2873</v>
      </c>
      <c r="C955" s="116" t="s">
        <v>95</v>
      </c>
      <c r="D955" s="116">
        <v>0</v>
      </c>
      <c r="E955" s="135">
        <f ca="1">OFFSET(INDEX(Composições!A:J,MATCH(Orçamentária!A955,Composições!A:A,0),8),2,0)</f>
        <v>1.5058829999999996</v>
      </c>
      <c r="F955" s="136">
        <f t="shared" ca="1" si="42"/>
        <v>0</v>
      </c>
      <c r="G955" s="137" t="e">
        <f>IF(A955&lt;&gt;"",IF(AND(#REF!="Padrão",$H$4=#REF!),BDI!$B$17,IF(AND(#REF!="Padrão",$H$4=#REF!),BDI!#REF!,IF(AND(#REF!="Diferenciado",$H$4=#REF!),BDI!$E$17,IF(AND(#REF!="Diferenciado",$H$4=#REF!),BDI!#REF!,IF(#REF!="ZERO",0))))),"")</f>
        <v>#REF!</v>
      </c>
      <c r="H955" s="138" t="e">
        <f t="shared" ca="1" si="43"/>
        <v>#REF!</v>
      </c>
      <c r="I955" s="136" t="e">
        <f t="shared" ca="1" si="44"/>
        <v>#REF!</v>
      </c>
    </row>
    <row r="956" spans="1:9" hidden="1" x14ac:dyDescent="0.25">
      <c r="A956" s="114" t="s">
        <v>1051</v>
      </c>
      <c r="B956" s="115" t="s">
        <v>2874</v>
      </c>
      <c r="C956" s="116" t="s">
        <v>95</v>
      </c>
      <c r="D956" s="116">
        <v>0</v>
      </c>
      <c r="E956" s="135">
        <f ca="1">OFFSET(INDEX(Composições!A:J,MATCH(Orçamentária!A956,Composições!A:A,0),8),2,0)</f>
        <v>4.7286250000000001</v>
      </c>
      <c r="F956" s="136">
        <f t="shared" ca="1" si="42"/>
        <v>0</v>
      </c>
      <c r="G956" s="137" t="e">
        <f>IF(A956&lt;&gt;"",IF(AND(#REF!="Padrão",$H$4=#REF!),BDI!$B$17,IF(AND(#REF!="Padrão",$H$4=#REF!),BDI!#REF!,IF(AND(#REF!="Diferenciado",$H$4=#REF!),BDI!$E$17,IF(AND(#REF!="Diferenciado",$H$4=#REF!),BDI!#REF!,IF(#REF!="ZERO",0))))),"")</f>
        <v>#REF!</v>
      </c>
      <c r="H956" s="138" t="e">
        <f t="shared" ca="1" si="43"/>
        <v>#REF!</v>
      </c>
      <c r="I956" s="136" t="e">
        <f t="shared" ca="1" si="44"/>
        <v>#REF!</v>
      </c>
    </row>
    <row r="957" spans="1:9" hidden="1" x14ac:dyDescent="0.25">
      <c r="A957" s="114" t="s">
        <v>1052</v>
      </c>
      <c r="B957" s="115" t="s">
        <v>2875</v>
      </c>
      <c r="C957" s="116" t="s">
        <v>95</v>
      </c>
      <c r="D957" s="116">
        <v>0</v>
      </c>
      <c r="E957" s="135">
        <f ca="1">OFFSET(INDEX(Composições!A:J,MATCH(Orçamentária!A957,Composições!A:A,0),8),2,0)</f>
        <v>20.911874999999998</v>
      </c>
      <c r="F957" s="136">
        <f t="shared" ca="1" si="42"/>
        <v>0</v>
      </c>
      <c r="G957" s="137" t="e">
        <f>IF(A957&lt;&gt;"",IF(AND(#REF!="Padrão",$H$4=#REF!),BDI!$B$17,IF(AND(#REF!="Padrão",$H$4=#REF!),BDI!#REF!,IF(AND(#REF!="Diferenciado",$H$4=#REF!),BDI!$E$17,IF(AND(#REF!="Diferenciado",$H$4=#REF!),BDI!#REF!,IF(#REF!="ZERO",0))))),"")</f>
        <v>#REF!</v>
      </c>
      <c r="H957" s="138" t="e">
        <f t="shared" ca="1" si="43"/>
        <v>#REF!</v>
      </c>
      <c r="I957" s="136" t="e">
        <f t="shared" ca="1" si="44"/>
        <v>#REF!</v>
      </c>
    </row>
    <row r="958" spans="1:9" hidden="1" x14ac:dyDescent="0.25">
      <c r="A958" s="114" t="s">
        <v>1053</v>
      </c>
      <c r="B958" s="115" t="s">
        <v>2876</v>
      </c>
      <c r="C958" s="116" t="s">
        <v>95</v>
      </c>
      <c r="D958" s="116">
        <v>0</v>
      </c>
      <c r="E958" s="135">
        <f ca="1">OFFSET(INDEX(Composições!A:J,MATCH(Orçamentária!A958,Composições!A:A,0),8),2,0)</f>
        <v>38.383790499999996</v>
      </c>
      <c r="F958" s="136">
        <f t="shared" ca="1" si="42"/>
        <v>0</v>
      </c>
      <c r="G958" s="137" t="e">
        <f>IF(A958&lt;&gt;"",IF(AND(#REF!="Padrão",$H$4=#REF!),BDI!$B$17,IF(AND(#REF!="Padrão",$H$4=#REF!),BDI!#REF!,IF(AND(#REF!="Diferenciado",$H$4=#REF!),BDI!$E$17,IF(AND(#REF!="Diferenciado",$H$4=#REF!),BDI!#REF!,IF(#REF!="ZERO",0))))),"")</f>
        <v>#REF!</v>
      </c>
      <c r="H958" s="138" t="e">
        <f t="shared" ca="1" si="43"/>
        <v>#REF!</v>
      </c>
      <c r="I958" s="136" t="e">
        <f t="shared" ca="1" si="44"/>
        <v>#REF!</v>
      </c>
    </row>
    <row r="959" spans="1:9" hidden="1" x14ac:dyDescent="0.25">
      <c r="A959" s="114" t="s">
        <v>1057</v>
      </c>
      <c r="B959" s="115" t="s">
        <v>2877</v>
      </c>
      <c r="C959" s="116" t="s">
        <v>95</v>
      </c>
      <c r="D959" s="116">
        <v>0</v>
      </c>
      <c r="E959" s="135">
        <f ca="1">OFFSET(INDEX(Composições!A:J,MATCH(Orçamentária!A959,Composições!A:A,0),8),2,0)</f>
        <v>41.554766364687502</v>
      </c>
      <c r="F959" s="136">
        <f t="shared" ca="1" si="42"/>
        <v>0</v>
      </c>
      <c r="G959" s="137" t="e">
        <f>IF(A959&lt;&gt;"",IF(AND(#REF!="Padrão",$H$4=#REF!),BDI!$B$17,IF(AND(#REF!="Padrão",$H$4=#REF!),BDI!#REF!,IF(AND(#REF!="Diferenciado",$H$4=#REF!),BDI!$E$17,IF(AND(#REF!="Diferenciado",$H$4=#REF!),BDI!#REF!,IF(#REF!="ZERO",0))))),"")</f>
        <v>#REF!</v>
      </c>
      <c r="H959" s="138" t="e">
        <f t="shared" ca="1" si="43"/>
        <v>#REF!</v>
      </c>
      <c r="I959" s="136" t="e">
        <f t="shared" ca="1" si="44"/>
        <v>#REF!</v>
      </c>
    </row>
    <row r="960" spans="1:9" hidden="1" x14ac:dyDescent="0.25">
      <c r="A960" s="114" t="s">
        <v>1060</v>
      </c>
      <c r="B960" s="115" t="s">
        <v>2878</v>
      </c>
      <c r="C960" s="116" t="s">
        <v>95</v>
      </c>
      <c r="D960" s="116">
        <v>0</v>
      </c>
      <c r="E960" s="135">
        <f ca="1">OFFSET(INDEX(Composições!A:J,MATCH(Orçamentária!A960,Composições!A:A,0),8),2,0)</f>
        <v>55.132546364687499</v>
      </c>
      <c r="F960" s="136">
        <f t="shared" ca="1" si="42"/>
        <v>0</v>
      </c>
      <c r="G960" s="137" t="e">
        <f>IF(A960&lt;&gt;"",IF(AND(#REF!="Padrão",$H$4=#REF!),BDI!$B$17,IF(AND(#REF!="Padrão",$H$4=#REF!),BDI!#REF!,IF(AND(#REF!="Diferenciado",$H$4=#REF!),BDI!$E$17,IF(AND(#REF!="Diferenciado",$H$4=#REF!),BDI!#REF!,IF(#REF!="ZERO",0))))),"")</f>
        <v>#REF!</v>
      </c>
      <c r="H960" s="138" t="e">
        <f t="shared" ca="1" si="43"/>
        <v>#REF!</v>
      </c>
      <c r="I960" s="136" t="e">
        <f t="shared" ca="1" si="44"/>
        <v>#REF!</v>
      </c>
    </row>
    <row r="961" spans="1:9" hidden="1" x14ac:dyDescent="0.25">
      <c r="A961" s="114" t="s">
        <v>1062</v>
      </c>
      <c r="B961" s="115" t="s">
        <v>2879</v>
      </c>
      <c r="C961" s="116" t="s">
        <v>95</v>
      </c>
      <c r="D961" s="116">
        <v>0</v>
      </c>
      <c r="E961" s="135">
        <f ca="1">OFFSET(INDEX(Composições!A:J,MATCH(Orçamentária!A961,Composições!A:A,0),8),2,0)</f>
        <v>14.2576</v>
      </c>
      <c r="F961" s="136">
        <f t="shared" ca="1" si="42"/>
        <v>0</v>
      </c>
      <c r="G961" s="137" t="e">
        <f>IF(A961&lt;&gt;"",IF(AND(#REF!="Padrão",$H$4=#REF!),BDI!$B$17,IF(AND(#REF!="Padrão",$H$4=#REF!),BDI!#REF!,IF(AND(#REF!="Diferenciado",$H$4=#REF!),BDI!$E$17,IF(AND(#REF!="Diferenciado",$H$4=#REF!),BDI!#REF!,IF(#REF!="ZERO",0))))),"")</f>
        <v>#REF!</v>
      </c>
      <c r="H961" s="138" t="e">
        <f t="shared" ca="1" si="43"/>
        <v>#REF!</v>
      </c>
      <c r="I961" s="136" t="e">
        <f t="shared" ca="1" si="44"/>
        <v>#REF!</v>
      </c>
    </row>
    <row r="962" spans="1:9" hidden="1" x14ac:dyDescent="0.25">
      <c r="A962" s="114" t="s">
        <v>1063</v>
      </c>
      <c r="B962" s="115" t="s">
        <v>2880</v>
      </c>
      <c r="C962" s="116" t="s">
        <v>95</v>
      </c>
      <c r="D962" s="116">
        <v>0</v>
      </c>
      <c r="E962" s="135">
        <f ca="1">OFFSET(INDEX(Composições!A:J,MATCH(Orçamentária!A962,Composições!A:A,0),8),2,0)</f>
        <v>42.772799999999997</v>
      </c>
      <c r="F962" s="136">
        <f t="shared" ca="1" si="42"/>
        <v>0</v>
      </c>
      <c r="G962" s="137" t="e">
        <f>IF(A962&lt;&gt;"",IF(AND(#REF!="Padrão",$H$4=#REF!),BDI!$B$17,IF(AND(#REF!="Padrão",$H$4=#REF!),BDI!#REF!,IF(AND(#REF!="Diferenciado",$H$4=#REF!),BDI!$E$17,IF(AND(#REF!="Diferenciado",$H$4=#REF!),BDI!#REF!,IF(#REF!="ZERO",0))))),"")</f>
        <v>#REF!</v>
      </c>
      <c r="H962" s="138" t="e">
        <f t="shared" ca="1" si="43"/>
        <v>#REF!</v>
      </c>
      <c r="I962" s="136" t="e">
        <f t="shared" ca="1" si="44"/>
        <v>#REF!</v>
      </c>
    </row>
    <row r="963" spans="1:9" hidden="1" x14ac:dyDescent="0.25">
      <c r="A963" s="114" t="s">
        <v>1064</v>
      </c>
      <c r="B963" s="115" t="s">
        <v>2881</v>
      </c>
      <c r="C963" s="116" t="s">
        <v>95</v>
      </c>
      <c r="D963" s="116">
        <v>0</v>
      </c>
      <c r="E963" s="135">
        <f ca="1">OFFSET(INDEX(Composições!A:J,MATCH(Orçamentária!A963,Composições!A:A,0),8),2,0)</f>
        <v>7.3259249999999998</v>
      </c>
      <c r="F963" s="136">
        <f t="shared" ca="1" si="42"/>
        <v>0</v>
      </c>
      <c r="G963" s="137" t="e">
        <f>IF(A963&lt;&gt;"",IF(AND(#REF!="Padrão",$H$4=#REF!),BDI!$B$17,IF(AND(#REF!="Padrão",$H$4=#REF!),BDI!#REF!,IF(AND(#REF!="Diferenciado",$H$4=#REF!),BDI!$E$17,IF(AND(#REF!="Diferenciado",$H$4=#REF!),BDI!#REF!,IF(#REF!="ZERO",0))))),"")</f>
        <v>#REF!</v>
      </c>
      <c r="H963" s="138" t="e">
        <f t="shared" ca="1" si="43"/>
        <v>#REF!</v>
      </c>
      <c r="I963" s="136" t="e">
        <f t="shared" ca="1" si="44"/>
        <v>#REF!</v>
      </c>
    </row>
    <row r="964" spans="1:9" hidden="1" x14ac:dyDescent="0.25">
      <c r="A964" s="114" t="s">
        <v>1066</v>
      </c>
      <c r="B964" s="115" t="s">
        <v>2882</v>
      </c>
      <c r="C964" s="116" t="s">
        <v>95</v>
      </c>
      <c r="D964" s="116">
        <v>0</v>
      </c>
      <c r="E964" s="135">
        <f ca="1">OFFSET(INDEX(Composições!A:J,MATCH(Orçamentária!A964,Composições!A:A,0),8),2,0)</f>
        <v>5.0188499999999996</v>
      </c>
      <c r="F964" s="136">
        <f t="shared" ca="1" si="42"/>
        <v>0</v>
      </c>
      <c r="G964" s="137" t="e">
        <f>IF(A964&lt;&gt;"",IF(AND(#REF!="Padrão",$H$4=#REF!),BDI!$B$17,IF(AND(#REF!="Padrão",$H$4=#REF!),BDI!#REF!,IF(AND(#REF!="Diferenciado",$H$4=#REF!),BDI!$E$17,IF(AND(#REF!="Diferenciado",$H$4=#REF!),BDI!#REF!,IF(#REF!="ZERO",0))))),"")</f>
        <v>#REF!</v>
      </c>
      <c r="H964" s="138" t="e">
        <f t="shared" ca="1" si="43"/>
        <v>#REF!</v>
      </c>
      <c r="I964" s="136" t="e">
        <f t="shared" ca="1" si="44"/>
        <v>#REF!</v>
      </c>
    </row>
    <row r="965" spans="1:9" ht="25.5" hidden="1" x14ac:dyDescent="0.25">
      <c r="A965" s="114" t="s">
        <v>1067</v>
      </c>
      <c r="B965" s="115" t="s">
        <v>2883</v>
      </c>
      <c r="C965" s="116" t="s">
        <v>20</v>
      </c>
      <c r="D965" s="116">
        <v>0</v>
      </c>
      <c r="E965" s="135">
        <f ca="1">OFFSET(INDEX(Composições!A:J,MATCH(Orçamentária!A965,Composições!A:A,0),8),2,0)</f>
        <v>1.6729499999999999</v>
      </c>
      <c r="F965" s="136">
        <f t="shared" ca="1" si="42"/>
        <v>0</v>
      </c>
      <c r="G965" s="137" t="e">
        <f>IF(A965&lt;&gt;"",IF(AND(#REF!="Padrão",$H$4=#REF!),BDI!$B$17,IF(AND(#REF!="Padrão",$H$4=#REF!),BDI!#REF!,IF(AND(#REF!="Diferenciado",$H$4=#REF!),BDI!$E$17,IF(AND(#REF!="Diferenciado",$H$4=#REF!),BDI!#REF!,IF(#REF!="ZERO",0))))),"")</f>
        <v>#REF!</v>
      </c>
      <c r="H965" s="138" t="e">
        <f t="shared" ca="1" si="43"/>
        <v>#REF!</v>
      </c>
      <c r="I965" s="136" t="e">
        <f t="shared" ca="1" si="44"/>
        <v>#REF!</v>
      </c>
    </row>
    <row r="966" spans="1:9" ht="25.5" hidden="1" x14ac:dyDescent="0.25">
      <c r="A966" s="114" t="s">
        <v>1068</v>
      </c>
      <c r="B966" s="115" t="s">
        <v>2884</v>
      </c>
      <c r="C966" s="116" t="s">
        <v>20</v>
      </c>
      <c r="D966" s="116">
        <v>0</v>
      </c>
      <c r="E966" s="135">
        <f ca="1">OFFSET(INDEX(Composições!A:J,MATCH(Orçamentária!A966,Composições!A:A,0),8),2,0)</f>
        <v>8.0803926803009993</v>
      </c>
      <c r="F966" s="136">
        <f t="shared" ca="1" si="42"/>
        <v>0</v>
      </c>
      <c r="G966" s="137" t="e">
        <f>IF(A966&lt;&gt;"",IF(AND(#REF!="Padrão",$H$4=#REF!),BDI!$B$17,IF(AND(#REF!="Padrão",$H$4=#REF!),BDI!#REF!,IF(AND(#REF!="Diferenciado",$H$4=#REF!),BDI!$E$17,IF(AND(#REF!="Diferenciado",$H$4=#REF!),BDI!#REF!,IF(#REF!="ZERO",0))))),"")</f>
        <v>#REF!</v>
      </c>
      <c r="H966" s="138" t="e">
        <f t="shared" ca="1" si="43"/>
        <v>#REF!</v>
      </c>
      <c r="I966" s="136" t="e">
        <f t="shared" ca="1" si="44"/>
        <v>#REF!</v>
      </c>
    </row>
    <row r="967" spans="1:9" hidden="1" x14ac:dyDescent="0.25">
      <c r="A967" s="114" t="s">
        <v>1074</v>
      </c>
      <c r="B967" s="115" t="s">
        <v>2885</v>
      </c>
      <c r="C967" s="116" t="s">
        <v>20</v>
      </c>
      <c r="D967" s="116">
        <v>0</v>
      </c>
      <c r="E967" s="135">
        <f ca="1">OFFSET(INDEX(Composições!A:J,MATCH(Orçamentária!A967,Composições!A:A,0),8),2,0)</f>
        <v>8.0803926803009993</v>
      </c>
      <c r="F967" s="136">
        <f t="shared" ref="F967:F1030" ca="1" si="45">IF(ISNUMBER(E967),D967*E967,"")</f>
        <v>0</v>
      </c>
      <c r="G967" s="137" t="e">
        <f>IF(A967&lt;&gt;"",IF(AND(#REF!="Padrão",$H$4=#REF!),BDI!$B$17,IF(AND(#REF!="Padrão",$H$4=#REF!),BDI!#REF!,IF(AND(#REF!="Diferenciado",$H$4=#REF!),BDI!$E$17,IF(AND(#REF!="Diferenciado",$H$4=#REF!),BDI!#REF!,IF(#REF!="ZERO",0))))),"")</f>
        <v>#REF!</v>
      </c>
      <c r="H967" s="138" t="e">
        <f t="shared" ref="H967:H1030" ca="1" si="46">IF(ISNUMBER(E967),ROUND(E967*(1+G967),2),"")</f>
        <v>#REF!</v>
      </c>
      <c r="I967" s="136" t="e">
        <f t="shared" ref="I967:I1030" ca="1" si="47">IF(ISNUMBER(E967),ROUND(H967*D967,2),"")</f>
        <v>#REF!</v>
      </c>
    </row>
    <row r="968" spans="1:9" hidden="1" x14ac:dyDescent="0.25">
      <c r="A968" s="114" t="s">
        <v>2886</v>
      </c>
      <c r="B968" s="115" t="s">
        <v>2887</v>
      </c>
      <c r="C968" s="116" t="s">
        <v>20</v>
      </c>
      <c r="D968" s="116">
        <v>0</v>
      </c>
      <c r="E968" s="135" t="s">
        <v>558</v>
      </c>
      <c r="F968" s="136" t="str">
        <f t="shared" si="45"/>
        <v/>
      </c>
      <c r="G968" s="137" t="e">
        <f>IF(A968&lt;&gt;"",IF(AND(#REF!="Padrão",$H$4=#REF!),BDI!$B$17,IF(AND(#REF!="Padrão",$H$4=#REF!),BDI!#REF!,IF(AND(#REF!="Diferenciado",$H$4=#REF!),BDI!$E$17,IF(AND(#REF!="Diferenciado",$H$4=#REF!),BDI!#REF!,IF(#REF!="ZERO",0))))),"")</f>
        <v>#REF!</v>
      </c>
      <c r="H968" s="138" t="str">
        <f t="shared" si="46"/>
        <v/>
      </c>
      <c r="I968" s="136" t="str">
        <f t="shared" si="47"/>
        <v/>
      </c>
    </row>
    <row r="969" spans="1:9" hidden="1" x14ac:dyDescent="0.25">
      <c r="A969" s="114" t="s">
        <v>1076</v>
      </c>
      <c r="B969" s="115" t="s">
        <v>6461</v>
      </c>
      <c r="C969" s="116" t="s">
        <v>95</v>
      </c>
      <c r="D969" s="116">
        <v>0</v>
      </c>
      <c r="E969" s="135">
        <f ca="1">OFFSET(INDEX(Composições!A:J,MATCH(Orçamentária!A969,Composições!A:A,0),8),2,0)</f>
        <v>42.22417500000001</v>
      </c>
      <c r="F969" s="136">
        <f t="shared" ca="1" si="45"/>
        <v>0</v>
      </c>
      <c r="G969" s="137" t="e">
        <f>IF(A969&lt;&gt;"",IF(AND(#REF!="Padrão",$H$4=#REF!),BDI!$B$17,IF(AND(#REF!="Padrão",$H$4=#REF!),BDI!#REF!,IF(AND(#REF!="Diferenciado",$H$4=#REF!),BDI!$E$17,IF(AND(#REF!="Diferenciado",$H$4=#REF!),BDI!#REF!,IF(#REF!="ZERO",0))))),"")</f>
        <v>#REF!</v>
      </c>
      <c r="H969" s="138" t="e">
        <f t="shared" ca="1" si="46"/>
        <v>#REF!</v>
      </c>
      <c r="I969" s="136" t="e">
        <f t="shared" ca="1" si="47"/>
        <v>#REF!</v>
      </c>
    </row>
    <row r="970" spans="1:9" hidden="1" x14ac:dyDescent="0.25">
      <c r="A970" s="114" t="s">
        <v>1078</v>
      </c>
      <c r="B970" s="115" t="s">
        <v>6462</v>
      </c>
      <c r="C970" s="116" t="s">
        <v>95</v>
      </c>
      <c r="D970" s="116">
        <v>0</v>
      </c>
      <c r="E970" s="135">
        <f ca="1">OFFSET(INDEX(Composições!A:J,MATCH(Orçamentária!A970,Composições!A:A,0),8),2,0)</f>
        <v>57.210823170075258</v>
      </c>
      <c r="F970" s="136">
        <f t="shared" ca="1" si="45"/>
        <v>0</v>
      </c>
      <c r="G970" s="137" t="e">
        <f>IF(A970&lt;&gt;"",IF(AND(#REF!="Padrão",$H$4=#REF!),BDI!$B$17,IF(AND(#REF!="Padrão",$H$4=#REF!),BDI!#REF!,IF(AND(#REF!="Diferenciado",$H$4=#REF!),BDI!$E$17,IF(AND(#REF!="Diferenciado",$H$4=#REF!),BDI!#REF!,IF(#REF!="ZERO",0))))),"")</f>
        <v>#REF!</v>
      </c>
      <c r="H970" s="138" t="e">
        <f t="shared" ca="1" si="46"/>
        <v>#REF!</v>
      </c>
      <c r="I970" s="136" t="e">
        <f t="shared" ca="1" si="47"/>
        <v>#REF!</v>
      </c>
    </row>
    <row r="971" spans="1:9" hidden="1" x14ac:dyDescent="0.25">
      <c r="A971" s="114" t="s">
        <v>1083</v>
      </c>
      <c r="B971" s="115" t="s">
        <v>6463</v>
      </c>
      <c r="C971" s="116" t="s">
        <v>95</v>
      </c>
      <c r="D971" s="116">
        <v>0</v>
      </c>
      <c r="E971" s="135">
        <f ca="1">OFFSET(INDEX(Composições!A:J,MATCH(Orçamentária!A971,Composições!A:A,0),8),2,0)</f>
        <v>42.22417500000001</v>
      </c>
      <c r="F971" s="136">
        <f t="shared" ca="1" si="45"/>
        <v>0</v>
      </c>
      <c r="G971" s="137" t="e">
        <f>IF(A971&lt;&gt;"",IF(AND(#REF!="Padrão",$H$4=#REF!),BDI!$B$17,IF(AND(#REF!="Padrão",$H$4=#REF!),BDI!#REF!,IF(AND(#REF!="Diferenciado",$H$4=#REF!),BDI!$E$17,IF(AND(#REF!="Diferenciado",$H$4=#REF!),BDI!#REF!,IF(#REF!="ZERO",0))))),"")</f>
        <v>#REF!</v>
      </c>
      <c r="H971" s="138" t="e">
        <f t="shared" ca="1" si="46"/>
        <v>#REF!</v>
      </c>
      <c r="I971" s="136" t="e">
        <f t="shared" ca="1" si="47"/>
        <v>#REF!</v>
      </c>
    </row>
    <row r="972" spans="1:9" hidden="1" x14ac:dyDescent="0.25">
      <c r="A972" s="114" t="s">
        <v>1085</v>
      </c>
      <c r="B972" s="115" t="s">
        <v>6464</v>
      </c>
      <c r="C972" s="116" t="s">
        <v>95</v>
      </c>
      <c r="D972" s="116">
        <v>0</v>
      </c>
      <c r="E972" s="135">
        <f ca="1">OFFSET(INDEX(Composições!A:J,MATCH(Orçamentária!A972,Composições!A:A,0),8),2,0)</f>
        <v>57.210823170075258</v>
      </c>
      <c r="F972" s="136">
        <f t="shared" ca="1" si="45"/>
        <v>0</v>
      </c>
      <c r="G972" s="137" t="e">
        <f>IF(A972&lt;&gt;"",IF(AND(#REF!="Padrão",$H$4=#REF!),BDI!$B$17,IF(AND(#REF!="Padrão",$H$4=#REF!),BDI!#REF!,IF(AND(#REF!="Diferenciado",$H$4=#REF!),BDI!$E$17,IF(AND(#REF!="Diferenciado",$H$4=#REF!),BDI!#REF!,IF(#REF!="ZERO",0))))),"")</f>
        <v>#REF!</v>
      </c>
      <c r="H972" s="138" t="e">
        <f t="shared" ca="1" si="46"/>
        <v>#REF!</v>
      </c>
      <c r="I972" s="136" t="e">
        <f t="shared" ca="1" si="47"/>
        <v>#REF!</v>
      </c>
    </row>
    <row r="973" spans="1:9" ht="25.5" hidden="1" x14ac:dyDescent="0.25">
      <c r="A973" s="114" t="s">
        <v>1086</v>
      </c>
      <c r="B973" s="115" t="s">
        <v>6465</v>
      </c>
      <c r="C973" s="116" t="s">
        <v>95</v>
      </c>
      <c r="D973" s="116">
        <v>0</v>
      </c>
      <c r="E973" s="135">
        <f ca="1">OFFSET(INDEX(Composições!A:J,MATCH(Orçamentária!A973,Composições!A:A,0),8),2,0)</f>
        <v>6.4499481700752499</v>
      </c>
      <c r="F973" s="136">
        <f t="shared" ca="1" si="45"/>
        <v>0</v>
      </c>
      <c r="G973" s="137" t="e">
        <f>IF(A973&lt;&gt;"",IF(AND(#REF!="Padrão",$H$4=#REF!),BDI!$B$17,IF(AND(#REF!="Padrão",$H$4=#REF!),BDI!#REF!,IF(AND(#REF!="Diferenciado",$H$4=#REF!),BDI!$E$17,IF(AND(#REF!="Diferenciado",$H$4=#REF!),BDI!#REF!,IF(#REF!="ZERO",0))))),"")</f>
        <v>#REF!</v>
      </c>
      <c r="H973" s="138" t="e">
        <f t="shared" ca="1" si="46"/>
        <v>#REF!</v>
      </c>
      <c r="I973" s="136" t="e">
        <f t="shared" ca="1" si="47"/>
        <v>#REF!</v>
      </c>
    </row>
    <row r="974" spans="1:9" ht="25.5" hidden="1" x14ac:dyDescent="0.25">
      <c r="A974" s="114" t="s">
        <v>2888</v>
      </c>
      <c r="B974" s="115" t="s">
        <v>6466</v>
      </c>
      <c r="C974" s="116" t="s">
        <v>95</v>
      </c>
      <c r="D974" s="116">
        <v>0</v>
      </c>
      <c r="E974" s="135" t="s">
        <v>558</v>
      </c>
      <c r="F974" s="136" t="str">
        <f t="shared" si="45"/>
        <v/>
      </c>
      <c r="G974" s="137" t="e">
        <f>IF(A974&lt;&gt;"",IF(AND(#REF!="Padrão",$H$4=#REF!),BDI!$B$17,IF(AND(#REF!="Padrão",$H$4=#REF!),BDI!#REF!,IF(AND(#REF!="Diferenciado",$H$4=#REF!),BDI!$E$17,IF(AND(#REF!="Diferenciado",$H$4=#REF!),BDI!#REF!,IF(#REF!="ZERO",0))))),"")</f>
        <v>#REF!</v>
      </c>
      <c r="H974" s="138" t="str">
        <f t="shared" si="46"/>
        <v/>
      </c>
      <c r="I974" s="136" t="str">
        <f t="shared" si="47"/>
        <v/>
      </c>
    </row>
    <row r="975" spans="1:9" hidden="1" x14ac:dyDescent="0.25">
      <c r="A975" s="114" t="s">
        <v>1088</v>
      </c>
      <c r="B975" s="115" t="s">
        <v>2889</v>
      </c>
      <c r="C975" s="116" t="s">
        <v>95</v>
      </c>
      <c r="D975" s="116">
        <v>0</v>
      </c>
      <c r="E975" s="135">
        <f ca="1">OFFSET(INDEX(Composições!A:J,MATCH(Orçamentária!A975,Composições!A:A,0),8),2,0)</f>
        <v>42.22417500000001</v>
      </c>
      <c r="F975" s="136">
        <f t="shared" ca="1" si="45"/>
        <v>0</v>
      </c>
      <c r="G975" s="137" t="e">
        <f>IF(A975&lt;&gt;"",IF(AND(#REF!="Padrão",$H$4=#REF!),BDI!$B$17,IF(AND(#REF!="Padrão",$H$4=#REF!),BDI!#REF!,IF(AND(#REF!="Diferenciado",$H$4=#REF!),BDI!$E$17,IF(AND(#REF!="Diferenciado",$H$4=#REF!),BDI!#REF!,IF(#REF!="ZERO",0))))),"")</f>
        <v>#REF!</v>
      </c>
      <c r="H975" s="138" t="e">
        <f t="shared" ca="1" si="46"/>
        <v>#REF!</v>
      </c>
      <c r="I975" s="136" t="e">
        <f t="shared" ca="1" si="47"/>
        <v>#REF!</v>
      </c>
    </row>
    <row r="976" spans="1:9" ht="25.5" hidden="1" x14ac:dyDescent="0.25">
      <c r="A976" s="114" t="s">
        <v>1089</v>
      </c>
      <c r="B976" s="115" t="s">
        <v>2890</v>
      </c>
      <c r="C976" s="116" t="s">
        <v>95</v>
      </c>
      <c r="D976" s="116">
        <v>0</v>
      </c>
      <c r="E976" s="135">
        <f ca="1">OFFSET(INDEX(Composições!A:J,MATCH(Orçamentária!A976,Composições!A:A,0),8),2,0)</f>
        <v>57.210823170075258</v>
      </c>
      <c r="F976" s="136">
        <f t="shared" ca="1" si="45"/>
        <v>0</v>
      </c>
      <c r="G976" s="137" t="e">
        <f>IF(A976&lt;&gt;"",IF(AND(#REF!="Padrão",$H$4=#REF!),BDI!$B$17,IF(AND(#REF!="Padrão",$H$4=#REF!),BDI!#REF!,IF(AND(#REF!="Diferenciado",$H$4=#REF!),BDI!$E$17,IF(AND(#REF!="Diferenciado",$H$4=#REF!),BDI!#REF!,IF(#REF!="ZERO",0))))),"")</f>
        <v>#REF!</v>
      </c>
      <c r="H976" s="138" t="e">
        <f t="shared" ca="1" si="46"/>
        <v>#REF!</v>
      </c>
      <c r="I976" s="136" t="e">
        <f t="shared" ca="1" si="47"/>
        <v>#REF!</v>
      </c>
    </row>
    <row r="977" spans="1:9" hidden="1" x14ac:dyDescent="0.25">
      <c r="A977" s="114" t="s">
        <v>1090</v>
      </c>
      <c r="B977" s="115" t="s">
        <v>2891</v>
      </c>
      <c r="C977" s="116" t="s">
        <v>95</v>
      </c>
      <c r="D977" s="116">
        <v>0</v>
      </c>
      <c r="E977" s="135">
        <f ca="1">OFFSET(INDEX(Composições!A:J,MATCH(Orçamentária!A977,Composições!A:A,0),8),2,0)</f>
        <v>11.352499999999999</v>
      </c>
      <c r="F977" s="136">
        <f t="shared" ca="1" si="45"/>
        <v>0</v>
      </c>
      <c r="G977" s="137" t="e">
        <f>IF(A977&lt;&gt;"",IF(AND(#REF!="Padrão",$H$4=#REF!),BDI!$B$17,IF(AND(#REF!="Padrão",$H$4=#REF!),BDI!#REF!,IF(AND(#REF!="Diferenciado",$H$4=#REF!),BDI!$E$17,IF(AND(#REF!="Diferenciado",$H$4=#REF!),BDI!#REF!,IF(#REF!="ZERO",0))))),"")</f>
        <v>#REF!</v>
      </c>
      <c r="H977" s="138" t="e">
        <f t="shared" ca="1" si="46"/>
        <v>#REF!</v>
      </c>
      <c r="I977" s="136" t="e">
        <f t="shared" ca="1" si="47"/>
        <v>#REF!</v>
      </c>
    </row>
    <row r="978" spans="1:9" hidden="1" x14ac:dyDescent="0.25">
      <c r="A978" s="114" t="s">
        <v>1093</v>
      </c>
      <c r="B978" s="115" t="s">
        <v>2892</v>
      </c>
      <c r="C978" s="116" t="s">
        <v>93</v>
      </c>
      <c r="D978" s="116">
        <v>0</v>
      </c>
      <c r="E978" s="135">
        <f ca="1">OFFSET(INDEX(Composições!A:J,MATCH(Orçamentária!A978,Composições!A:A,0),8),2,0)</f>
        <v>18.040499999999998</v>
      </c>
      <c r="F978" s="136">
        <f t="shared" ca="1" si="45"/>
        <v>0</v>
      </c>
      <c r="G978" s="137" t="e">
        <f>IF(A978&lt;&gt;"",IF(AND(#REF!="Padrão",$H$4=#REF!),BDI!$B$17,IF(AND(#REF!="Padrão",$H$4=#REF!),BDI!#REF!,IF(AND(#REF!="Diferenciado",$H$4=#REF!),BDI!$E$17,IF(AND(#REF!="Diferenciado",$H$4=#REF!),BDI!#REF!,IF(#REF!="ZERO",0))))),"")</f>
        <v>#REF!</v>
      </c>
      <c r="H978" s="138" t="e">
        <f t="shared" ca="1" si="46"/>
        <v>#REF!</v>
      </c>
      <c r="I978" s="136" t="e">
        <f t="shared" ca="1" si="47"/>
        <v>#REF!</v>
      </c>
    </row>
    <row r="979" spans="1:9" hidden="1" x14ac:dyDescent="0.25">
      <c r="A979" s="114" t="s">
        <v>1095</v>
      </c>
      <c r="B979" s="115" t="s">
        <v>2893</v>
      </c>
      <c r="C979" s="116" t="s">
        <v>95</v>
      </c>
      <c r="D979" s="116">
        <v>0</v>
      </c>
      <c r="E979" s="135">
        <f ca="1">OFFSET(INDEX(Composições!A:J,MATCH(Orçamentária!A979,Composições!A:A,0),8),2,0)</f>
        <v>95.95115899999999</v>
      </c>
      <c r="F979" s="136">
        <f t="shared" ca="1" si="45"/>
        <v>0</v>
      </c>
      <c r="G979" s="137" t="e">
        <f>IF(A979&lt;&gt;"",IF(AND(#REF!="Padrão",$H$4=#REF!),BDI!$B$17,IF(AND(#REF!="Padrão",$H$4=#REF!),BDI!#REF!,IF(AND(#REF!="Diferenciado",$H$4=#REF!),BDI!$E$17,IF(AND(#REF!="Diferenciado",$H$4=#REF!),BDI!#REF!,IF(#REF!="ZERO",0))))),"")</f>
        <v>#REF!</v>
      </c>
      <c r="H979" s="138" t="e">
        <f t="shared" ca="1" si="46"/>
        <v>#REF!</v>
      </c>
      <c r="I979" s="136" t="e">
        <f t="shared" ca="1" si="47"/>
        <v>#REF!</v>
      </c>
    </row>
    <row r="980" spans="1:9" ht="25.5" hidden="1" x14ac:dyDescent="0.25">
      <c r="A980" s="114" t="s">
        <v>1097</v>
      </c>
      <c r="B980" s="115" t="s">
        <v>2894</v>
      </c>
      <c r="C980" s="116" t="s">
        <v>20</v>
      </c>
      <c r="D980" s="116">
        <v>0</v>
      </c>
      <c r="E980" s="135">
        <f ca="1">OFFSET(INDEX(Composições!A:J,MATCH(Orçamentária!A980,Composições!A:A,0),8),2,0)</f>
        <v>0.96187500000000004</v>
      </c>
      <c r="F980" s="136">
        <f t="shared" ca="1" si="45"/>
        <v>0</v>
      </c>
      <c r="G980" s="137" t="e">
        <f>IF(A980&lt;&gt;"",IF(AND(#REF!="Padrão",$H$4=#REF!),BDI!$B$17,IF(AND(#REF!="Padrão",$H$4=#REF!),BDI!#REF!,IF(AND(#REF!="Diferenciado",$H$4=#REF!),BDI!$E$17,IF(AND(#REF!="Diferenciado",$H$4=#REF!),BDI!#REF!,IF(#REF!="ZERO",0))))),"")</f>
        <v>#REF!</v>
      </c>
      <c r="H980" s="138" t="e">
        <f t="shared" ca="1" si="46"/>
        <v>#REF!</v>
      </c>
      <c r="I980" s="136" t="e">
        <f t="shared" ca="1" si="47"/>
        <v>#REF!</v>
      </c>
    </row>
    <row r="981" spans="1:9" hidden="1" x14ac:dyDescent="0.25">
      <c r="A981" s="114" t="s">
        <v>1101</v>
      </c>
      <c r="B981" s="115" t="s">
        <v>2895</v>
      </c>
      <c r="C981" s="116" t="s">
        <v>95</v>
      </c>
      <c r="D981" s="116">
        <v>0</v>
      </c>
      <c r="E981" s="135">
        <f ca="1">OFFSET(INDEX(Composições!A:J,MATCH(Orçamentária!A981,Composições!A:A,0),8),2,0)</f>
        <v>5.5091069999999993</v>
      </c>
      <c r="F981" s="136">
        <f t="shared" ca="1" si="45"/>
        <v>0</v>
      </c>
      <c r="G981" s="137" t="e">
        <f>IF(A981&lt;&gt;"",IF(AND(#REF!="Padrão",$H$4=#REF!),BDI!$B$17,IF(AND(#REF!="Padrão",$H$4=#REF!),BDI!#REF!,IF(AND(#REF!="Diferenciado",$H$4=#REF!),BDI!$E$17,IF(AND(#REF!="Diferenciado",$H$4=#REF!),BDI!#REF!,IF(#REF!="ZERO",0))))),"")</f>
        <v>#REF!</v>
      </c>
      <c r="H981" s="138" t="e">
        <f t="shared" ca="1" si="46"/>
        <v>#REF!</v>
      </c>
      <c r="I981" s="136" t="e">
        <f t="shared" ca="1" si="47"/>
        <v>#REF!</v>
      </c>
    </row>
    <row r="982" spans="1:9" hidden="1" x14ac:dyDescent="0.25">
      <c r="A982" s="114" t="s">
        <v>1102</v>
      </c>
      <c r="B982" s="115" t="s">
        <v>2896</v>
      </c>
      <c r="C982" s="116" t="s">
        <v>93</v>
      </c>
      <c r="D982" s="116">
        <v>0</v>
      </c>
      <c r="E982" s="135">
        <f ca="1">OFFSET(INDEX(Composições!A:J,MATCH(Orçamentária!A982,Composições!A:A,0),8),2,0)</f>
        <v>23.958906899999999</v>
      </c>
      <c r="F982" s="136">
        <f t="shared" ca="1" si="45"/>
        <v>0</v>
      </c>
      <c r="G982" s="137" t="e">
        <f>IF(A982&lt;&gt;"",IF(AND(#REF!="Padrão",$H$4=#REF!),BDI!$B$17,IF(AND(#REF!="Padrão",$H$4=#REF!),BDI!#REF!,IF(AND(#REF!="Diferenciado",$H$4=#REF!),BDI!$E$17,IF(AND(#REF!="Diferenciado",$H$4=#REF!),BDI!#REF!,IF(#REF!="ZERO",0))))),"")</f>
        <v>#REF!</v>
      </c>
      <c r="H982" s="138" t="e">
        <f t="shared" ca="1" si="46"/>
        <v>#REF!</v>
      </c>
      <c r="I982" s="136" t="e">
        <f t="shared" ca="1" si="47"/>
        <v>#REF!</v>
      </c>
    </row>
    <row r="983" spans="1:9" hidden="1" x14ac:dyDescent="0.25">
      <c r="A983" s="114" t="s">
        <v>1107</v>
      </c>
      <c r="B983" s="115" t="s">
        <v>2897</v>
      </c>
      <c r="C983" s="116" t="s">
        <v>93</v>
      </c>
      <c r="D983" s="116">
        <v>0</v>
      </c>
      <c r="E983" s="135">
        <f ca="1">OFFSET(INDEX(Composições!A:J,MATCH(Orçamentária!A983,Composições!A:A,0),8),2,0)</f>
        <v>15.605532199999999</v>
      </c>
      <c r="F983" s="136">
        <f t="shared" ca="1" si="45"/>
        <v>0</v>
      </c>
      <c r="G983" s="137" t="e">
        <f>IF(A983&lt;&gt;"",IF(AND(#REF!="Padrão",$H$4=#REF!),BDI!$B$17,IF(AND(#REF!="Padrão",$H$4=#REF!),BDI!#REF!,IF(AND(#REF!="Diferenciado",$H$4=#REF!),BDI!$E$17,IF(AND(#REF!="Diferenciado",$H$4=#REF!),BDI!#REF!,IF(#REF!="ZERO",0))))),"")</f>
        <v>#REF!</v>
      </c>
      <c r="H983" s="138" t="e">
        <f t="shared" ca="1" si="46"/>
        <v>#REF!</v>
      </c>
      <c r="I983" s="136" t="e">
        <f t="shared" ca="1" si="47"/>
        <v>#REF!</v>
      </c>
    </row>
    <row r="984" spans="1:9" hidden="1" x14ac:dyDescent="0.25">
      <c r="A984" s="114" t="s">
        <v>2898</v>
      </c>
      <c r="B984" s="115" t="s">
        <v>2899</v>
      </c>
      <c r="C984" s="116" t="s">
        <v>20</v>
      </c>
      <c r="D984" s="116">
        <v>0</v>
      </c>
      <c r="E984" s="135" t="s">
        <v>558</v>
      </c>
      <c r="F984" s="136" t="str">
        <f t="shared" si="45"/>
        <v/>
      </c>
      <c r="G984" s="137" t="e">
        <f>IF(A984&lt;&gt;"",IF(AND(#REF!="Padrão",$H$4=#REF!),BDI!$B$17,IF(AND(#REF!="Padrão",$H$4=#REF!),BDI!#REF!,IF(AND(#REF!="Diferenciado",$H$4=#REF!),BDI!$E$17,IF(AND(#REF!="Diferenciado",$H$4=#REF!),BDI!#REF!,IF(#REF!="ZERO",0))))),"")</f>
        <v>#REF!</v>
      </c>
      <c r="H984" s="138" t="str">
        <f t="shared" si="46"/>
        <v/>
      </c>
      <c r="I984" s="136" t="str">
        <f t="shared" si="47"/>
        <v/>
      </c>
    </row>
    <row r="985" spans="1:9" hidden="1" x14ac:dyDescent="0.25">
      <c r="A985" s="114" t="s">
        <v>1108</v>
      </c>
      <c r="B985" s="115" t="s">
        <v>2900</v>
      </c>
      <c r="C985" s="116" t="s">
        <v>20</v>
      </c>
      <c r="D985" s="116">
        <v>0</v>
      </c>
      <c r="E985" s="135">
        <f ca="1">OFFSET(INDEX(Composições!A:J,MATCH(Orçamentária!A985,Composições!A:A,0),8),2,0)</f>
        <v>74.253742299999999</v>
      </c>
      <c r="F985" s="136">
        <f t="shared" ca="1" si="45"/>
        <v>0</v>
      </c>
      <c r="G985" s="137" t="e">
        <f>IF(A985&lt;&gt;"",IF(AND(#REF!="Padrão",$H$4=#REF!),BDI!$B$17,IF(AND(#REF!="Padrão",$H$4=#REF!),BDI!#REF!,IF(AND(#REF!="Diferenciado",$H$4=#REF!),BDI!$E$17,IF(AND(#REF!="Diferenciado",$H$4=#REF!),BDI!#REF!,IF(#REF!="ZERO",0))))),"")</f>
        <v>#REF!</v>
      </c>
      <c r="H985" s="138" t="e">
        <f t="shared" ca="1" si="46"/>
        <v>#REF!</v>
      </c>
      <c r="I985" s="136" t="e">
        <f t="shared" ca="1" si="47"/>
        <v>#REF!</v>
      </c>
    </row>
    <row r="986" spans="1:9" hidden="1" x14ac:dyDescent="0.25">
      <c r="A986" s="114" t="s">
        <v>1111</v>
      </c>
      <c r="B986" s="115" t="s">
        <v>6397</v>
      </c>
      <c r="C986" s="116" t="s">
        <v>2901</v>
      </c>
      <c r="D986" s="116">
        <v>0</v>
      </c>
      <c r="E986" s="135">
        <f ca="1">OFFSET(INDEX(Composições!A:J,MATCH(Orçamentária!A986,Composições!A:A,0),8),2,0)</f>
        <v>527.71099014669994</v>
      </c>
      <c r="F986" s="136">
        <f t="shared" ca="1" si="45"/>
        <v>0</v>
      </c>
      <c r="G986" s="137" t="e">
        <f>IF(A986&lt;&gt;"",IF(AND(#REF!="Padrão",$H$4=#REF!),BDI!$B$17,IF(AND(#REF!="Padrão",$H$4=#REF!),BDI!#REF!,IF(AND(#REF!="Diferenciado",$H$4=#REF!),BDI!$E$17,IF(AND(#REF!="Diferenciado",$H$4=#REF!),BDI!#REF!,IF(#REF!="ZERO",0))))),"")</f>
        <v>#REF!</v>
      </c>
      <c r="H986" s="138" t="e">
        <f t="shared" ca="1" si="46"/>
        <v>#REF!</v>
      </c>
      <c r="I986" s="136" t="e">
        <f t="shared" ca="1" si="47"/>
        <v>#REF!</v>
      </c>
    </row>
    <row r="987" spans="1:9" hidden="1" x14ac:dyDescent="0.25">
      <c r="A987" s="114" t="s">
        <v>1113</v>
      </c>
      <c r="B987" s="115" t="s">
        <v>2902</v>
      </c>
      <c r="C987" s="116" t="s">
        <v>95</v>
      </c>
      <c r="D987" s="116">
        <v>0</v>
      </c>
      <c r="E987" s="135">
        <f ca="1">OFFSET(INDEX(Composições!A:J,MATCH(Orçamentária!A987,Composições!A:A,0),8),2,0)</f>
        <v>115.92915549999999</v>
      </c>
      <c r="F987" s="136">
        <f t="shared" ca="1" si="45"/>
        <v>0</v>
      </c>
      <c r="G987" s="137" t="e">
        <f>IF(A987&lt;&gt;"",IF(AND(#REF!="Padrão",$H$4=#REF!),BDI!$B$17,IF(AND(#REF!="Padrão",$H$4=#REF!),BDI!#REF!,IF(AND(#REF!="Diferenciado",$H$4=#REF!),BDI!$E$17,IF(AND(#REF!="Diferenciado",$H$4=#REF!),BDI!#REF!,IF(#REF!="ZERO",0))))),"")</f>
        <v>#REF!</v>
      </c>
      <c r="H987" s="138" t="e">
        <f t="shared" ca="1" si="46"/>
        <v>#REF!</v>
      </c>
      <c r="I987" s="136" t="e">
        <f t="shared" ca="1" si="47"/>
        <v>#REF!</v>
      </c>
    </row>
    <row r="988" spans="1:9" hidden="1" x14ac:dyDescent="0.25">
      <c r="A988" s="114" t="s">
        <v>1117</v>
      </c>
      <c r="B988" s="115" t="s">
        <v>2903</v>
      </c>
      <c r="C988" s="116" t="s">
        <v>20</v>
      </c>
      <c r="D988" s="116">
        <v>0</v>
      </c>
      <c r="E988" s="135">
        <f ca="1">OFFSET(INDEX(Composições!A:J,MATCH(Orçamentária!A988,Composições!A:A,0),8),2,0)</f>
        <v>155.87599999999998</v>
      </c>
      <c r="F988" s="136">
        <f t="shared" ca="1" si="45"/>
        <v>0</v>
      </c>
      <c r="G988" s="137" t="e">
        <f>IF(A988&lt;&gt;"",IF(AND(#REF!="Padrão",$H$4=#REF!),BDI!$B$17,IF(AND(#REF!="Padrão",$H$4=#REF!),BDI!#REF!,IF(AND(#REF!="Diferenciado",$H$4=#REF!),BDI!$E$17,IF(AND(#REF!="Diferenciado",$H$4=#REF!),BDI!#REF!,IF(#REF!="ZERO",0))))),"")</f>
        <v>#REF!</v>
      </c>
      <c r="H988" s="138" t="e">
        <f t="shared" ca="1" si="46"/>
        <v>#REF!</v>
      </c>
      <c r="I988" s="136" t="e">
        <f t="shared" ca="1" si="47"/>
        <v>#REF!</v>
      </c>
    </row>
    <row r="989" spans="1:9" x14ac:dyDescent="0.25">
      <c r="A989" s="216" t="s">
        <v>1118</v>
      </c>
      <c r="B989" s="217" t="s">
        <v>2904</v>
      </c>
      <c r="C989" s="218" t="s">
        <v>2905</v>
      </c>
      <c r="D989" s="218">
        <v>600</v>
      </c>
      <c r="E989" s="135">
        <f ca="1">OFFSET(INDEX(Composições!A:J,MATCH(Orçamentária!A989,Composições!A:A,0),8),2,0)</f>
        <v>1.9998782499999996</v>
      </c>
      <c r="F989" s="136">
        <f t="shared" ca="1" si="45"/>
        <v>1199.9269499999998</v>
      </c>
      <c r="G989" s="137">
        <f>BDI!$B$17</f>
        <v>0.191</v>
      </c>
      <c r="H989" s="138">
        <f t="shared" ca="1" si="46"/>
        <v>2.38</v>
      </c>
      <c r="I989" s="136">
        <f t="shared" ca="1" si="47"/>
        <v>1428</v>
      </c>
    </row>
    <row r="990" spans="1:9" hidden="1" x14ac:dyDescent="0.25">
      <c r="A990" s="114" t="s">
        <v>2906</v>
      </c>
      <c r="B990" s="115" t="s">
        <v>2907</v>
      </c>
      <c r="C990" s="116" t="s">
        <v>2740</v>
      </c>
      <c r="D990" s="116">
        <v>0</v>
      </c>
      <c r="E990" s="135" t="s">
        <v>558</v>
      </c>
      <c r="F990" s="136" t="str">
        <f t="shared" si="45"/>
        <v/>
      </c>
      <c r="G990" s="137" t="e">
        <f>IF(A990&lt;&gt;"",IF(AND(#REF!="Padrão",$H$4=#REF!),BDI!$B$17,IF(AND(#REF!="Padrão",$H$4=#REF!),BDI!#REF!,IF(AND(#REF!="Diferenciado",$H$4=#REF!),BDI!$E$17,IF(AND(#REF!="Diferenciado",$H$4=#REF!),BDI!#REF!,IF(#REF!="ZERO",0))))),"")</f>
        <v>#REF!</v>
      </c>
      <c r="H990" s="138" t="str">
        <f t="shared" si="46"/>
        <v/>
      </c>
      <c r="I990" s="136" t="str">
        <f t="shared" si="47"/>
        <v/>
      </c>
    </row>
    <row r="991" spans="1:9" hidden="1" x14ac:dyDescent="0.25">
      <c r="A991" s="114" t="s">
        <v>1121</v>
      </c>
      <c r="B991" s="115" t="s">
        <v>2908</v>
      </c>
      <c r="C991" s="116" t="s">
        <v>2909</v>
      </c>
      <c r="D991" s="116">
        <v>0</v>
      </c>
      <c r="E991" s="135">
        <f ca="1">OFFSET(INDEX(Composições!A:J,MATCH(Orçamentária!A991,Composições!A:A,0),8),2,0)</f>
        <v>2.9875885000000002</v>
      </c>
      <c r="F991" s="136">
        <f t="shared" ca="1" si="45"/>
        <v>0</v>
      </c>
      <c r="G991" s="137" t="e">
        <f>IF(A991&lt;&gt;"",IF(AND(#REF!="Padrão",$H$4=#REF!),BDI!$B$17,IF(AND(#REF!="Padrão",$H$4=#REF!),BDI!#REF!,IF(AND(#REF!="Diferenciado",$H$4=#REF!),BDI!$E$17,IF(AND(#REF!="Diferenciado",$H$4=#REF!),BDI!#REF!,IF(#REF!="ZERO",0))))),"")</f>
        <v>#REF!</v>
      </c>
      <c r="H991" s="138" t="e">
        <f t="shared" ca="1" si="46"/>
        <v>#REF!</v>
      </c>
      <c r="I991" s="136" t="e">
        <f t="shared" ca="1" si="47"/>
        <v>#REF!</v>
      </c>
    </row>
    <row r="992" spans="1:9" hidden="1" x14ac:dyDescent="0.25">
      <c r="A992" s="114" t="s">
        <v>1124</v>
      </c>
      <c r="B992" s="115" t="s">
        <v>2910</v>
      </c>
      <c r="C992" s="116" t="s">
        <v>2901</v>
      </c>
      <c r="D992" s="116">
        <v>0</v>
      </c>
      <c r="E992" s="135">
        <f ca="1">OFFSET(INDEX(Composições!A:J,MATCH(Orçamentária!A992,Composições!A:A,0),8),2,0)</f>
        <v>71.936849999999993</v>
      </c>
      <c r="F992" s="136">
        <f t="shared" ca="1" si="45"/>
        <v>0</v>
      </c>
      <c r="G992" s="137" t="e">
        <f>IF(A992&lt;&gt;"",IF(AND(#REF!="Padrão",$H$4=#REF!),BDI!$B$17,IF(AND(#REF!="Padrão",$H$4=#REF!),BDI!#REF!,IF(AND(#REF!="Diferenciado",$H$4=#REF!),BDI!$E$17,IF(AND(#REF!="Diferenciado",$H$4=#REF!),BDI!#REF!,IF(#REF!="ZERO",0))))),"")</f>
        <v>#REF!</v>
      </c>
      <c r="H992" s="138" t="e">
        <f t="shared" ca="1" si="46"/>
        <v>#REF!</v>
      </c>
      <c r="I992" s="136" t="e">
        <f t="shared" ca="1" si="47"/>
        <v>#REF!</v>
      </c>
    </row>
    <row r="993" spans="1:9" hidden="1" x14ac:dyDescent="0.25">
      <c r="A993" s="114" t="s">
        <v>1125</v>
      </c>
      <c r="B993" s="115" t="s">
        <v>2911</v>
      </c>
      <c r="C993" s="116" t="s">
        <v>2901</v>
      </c>
      <c r="D993" s="116">
        <v>0</v>
      </c>
      <c r="E993" s="135">
        <f ca="1">OFFSET(INDEX(Composições!A:J,MATCH(Orçamentária!A993,Composições!A:A,0),8),2,0)</f>
        <v>5.0661390999999991</v>
      </c>
      <c r="F993" s="136">
        <f t="shared" ca="1" si="45"/>
        <v>0</v>
      </c>
      <c r="G993" s="137" t="e">
        <f>IF(A993&lt;&gt;"",IF(AND(#REF!="Padrão",$H$4=#REF!),BDI!$B$17,IF(AND(#REF!="Padrão",$H$4=#REF!),BDI!#REF!,IF(AND(#REF!="Diferenciado",$H$4=#REF!),BDI!$E$17,IF(AND(#REF!="Diferenciado",$H$4=#REF!),BDI!#REF!,IF(#REF!="ZERO",0))))),"")</f>
        <v>#REF!</v>
      </c>
      <c r="H993" s="138" t="e">
        <f t="shared" ca="1" si="46"/>
        <v>#REF!</v>
      </c>
      <c r="I993" s="136" t="e">
        <f t="shared" ca="1" si="47"/>
        <v>#REF!</v>
      </c>
    </row>
    <row r="994" spans="1:9" hidden="1" x14ac:dyDescent="0.25">
      <c r="A994" s="114" t="s">
        <v>1126</v>
      </c>
      <c r="B994" s="115" t="s">
        <v>2912</v>
      </c>
      <c r="C994" s="116" t="s">
        <v>95</v>
      </c>
      <c r="D994" s="116">
        <v>0</v>
      </c>
      <c r="E994" s="135">
        <f ca="1">OFFSET(INDEX(Composições!A:J,MATCH(Orçamentária!A994,Composições!A:A,0),8),2,0)</f>
        <v>52.270195841817007</v>
      </c>
      <c r="F994" s="136">
        <f t="shared" ca="1" si="45"/>
        <v>0</v>
      </c>
      <c r="G994" s="137" t="e">
        <f>IF(A994&lt;&gt;"",IF(AND(#REF!="Padrão",$H$4=#REF!),BDI!$B$17,IF(AND(#REF!="Padrão",$H$4=#REF!),BDI!#REF!,IF(AND(#REF!="Diferenciado",$H$4=#REF!),BDI!$E$17,IF(AND(#REF!="Diferenciado",$H$4=#REF!),BDI!#REF!,IF(#REF!="ZERO",0))))),"")</f>
        <v>#REF!</v>
      </c>
      <c r="H994" s="138" t="e">
        <f t="shared" ca="1" si="46"/>
        <v>#REF!</v>
      </c>
      <c r="I994" s="136" t="e">
        <f t="shared" ca="1" si="47"/>
        <v>#REF!</v>
      </c>
    </row>
    <row r="995" spans="1:9" hidden="1" x14ac:dyDescent="0.25">
      <c r="A995" s="114" t="s">
        <v>1135</v>
      </c>
      <c r="B995" s="115" t="s">
        <v>2913</v>
      </c>
      <c r="C995" s="116" t="s">
        <v>93</v>
      </c>
      <c r="D995" s="116">
        <v>0</v>
      </c>
      <c r="E995" s="135">
        <f ca="1">OFFSET(INDEX(Composições!A:J,MATCH(Orçamentária!A995,Composições!A:A,0),8),2,0)</f>
        <v>4.7100600999999997</v>
      </c>
      <c r="F995" s="136">
        <f t="shared" ca="1" si="45"/>
        <v>0</v>
      </c>
      <c r="G995" s="137" t="e">
        <f>IF(A995&lt;&gt;"",IF(AND(#REF!="Padrão",$H$4=#REF!),BDI!$B$17,IF(AND(#REF!="Padrão",$H$4=#REF!),BDI!#REF!,IF(AND(#REF!="Diferenciado",$H$4=#REF!),BDI!$E$17,IF(AND(#REF!="Diferenciado",$H$4=#REF!),BDI!#REF!,IF(#REF!="ZERO",0))))),"")</f>
        <v>#REF!</v>
      </c>
      <c r="H995" s="138" t="e">
        <f t="shared" ca="1" si="46"/>
        <v>#REF!</v>
      </c>
      <c r="I995" s="136" t="e">
        <f t="shared" ca="1" si="47"/>
        <v>#REF!</v>
      </c>
    </row>
    <row r="996" spans="1:9" hidden="1" x14ac:dyDescent="0.25">
      <c r="A996" s="114" t="s">
        <v>1139</v>
      </c>
      <c r="B996" s="115" t="s">
        <v>2914</v>
      </c>
      <c r="C996" s="116" t="s">
        <v>93</v>
      </c>
      <c r="D996" s="116">
        <v>0</v>
      </c>
      <c r="E996" s="135">
        <f ca="1">OFFSET(INDEX(Composições!A:J,MATCH(Orçamentária!A996,Composições!A:A,0),8),2,0)</f>
        <v>48.646310182966999</v>
      </c>
      <c r="F996" s="136">
        <f t="shared" ca="1" si="45"/>
        <v>0</v>
      </c>
      <c r="G996" s="137" t="e">
        <f>IF(A996&lt;&gt;"",IF(AND(#REF!="Padrão",$H$4=#REF!),BDI!$B$17,IF(AND(#REF!="Padrão",$H$4=#REF!),BDI!#REF!,IF(AND(#REF!="Diferenciado",$H$4=#REF!),BDI!$E$17,IF(AND(#REF!="Diferenciado",$H$4=#REF!),BDI!#REF!,IF(#REF!="ZERO",0))))),"")</f>
        <v>#REF!</v>
      </c>
      <c r="H996" s="138" t="e">
        <f t="shared" ca="1" si="46"/>
        <v>#REF!</v>
      </c>
      <c r="I996" s="136" t="e">
        <f t="shared" ca="1" si="47"/>
        <v>#REF!</v>
      </c>
    </row>
    <row r="997" spans="1:9" hidden="1" x14ac:dyDescent="0.25">
      <c r="A997" s="114" t="s">
        <v>1141</v>
      </c>
      <c r="B997" s="115" t="s">
        <v>2915</v>
      </c>
      <c r="C997" s="116" t="s">
        <v>93</v>
      </c>
      <c r="D997" s="116">
        <v>0</v>
      </c>
      <c r="E997" s="135">
        <f ca="1">OFFSET(INDEX(Composições!A:J,MATCH(Orçamentária!A997,Composições!A:A,0),8),2,0)</f>
        <v>114.97631178900001</v>
      </c>
      <c r="F997" s="136">
        <f t="shared" ca="1" si="45"/>
        <v>0</v>
      </c>
      <c r="G997" s="137" t="e">
        <f>IF(A997&lt;&gt;"",IF(AND(#REF!="Padrão",$H$4=#REF!),BDI!$B$17,IF(AND(#REF!="Padrão",$H$4=#REF!),BDI!#REF!,IF(AND(#REF!="Diferenciado",$H$4=#REF!),BDI!$E$17,IF(AND(#REF!="Diferenciado",$H$4=#REF!),BDI!#REF!,IF(#REF!="ZERO",0))))),"")</f>
        <v>#REF!</v>
      </c>
      <c r="H997" s="138" t="e">
        <f t="shared" ca="1" si="46"/>
        <v>#REF!</v>
      </c>
      <c r="I997" s="136" t="e">
        <f t="shared" ca="1" si="47"/>
        <v>#REF!</v>
      </c>
    </row>
    <row r="998" spans="1:9" x14ac:dyDescent="0.25">
      <c r="A998" s="216" t="s">
        <v>2916</v>
      </c>
      <c r="B998" s="217" t="s">
        <v>2917</v>
      </c>
      <c r="C998" s="218" t="s">
        <v>95</v>
      </c>
      <c r="D998" s="218">
        <v>300</v>
      </c>
      <c r="E998" s="232">
        <v>229.5</v>
      </c>
      <c r="F998" s="136">
        <f t="shared" si="45"/>
        <v>68850</v>
      </c>
      <c r="G998" s="137">
        <f>BDI!$E$17</f>
        <v>0.11260000000000001</v>
      </c>
      <c r="H998" s="138">
        <f t="shared" si="46"/>
        <v>255.34</v>
      </c>
      <c r="I998" s="136">
        <f t="shared" si="47"/>
        <v>76602</v>
      </c>
    </row>
    <row r="999" spans="1:9" hidden="1" x14ac:dyDescent="0.25">
      <c r="A999" s="114" t="s">
        <v>1147</v>
      </c>
      <c r="B999" s="115" t="s">
        <v>2918</v>
      </c>
      <c r="C999" s="116" t="s">
        <v>20</v>
      </c>
      <c r="D999" s="116">
        <v>0</v>
      </c>
      <c r="E999" s="135">
        <f ca="1">OFFSET(INDEX(Composições!A:J,MATCH(Orçamentária!A999,Composições!A:A,0),8),2,0)</f>
        <v>8.0803926803009993</v>
      </c>
      <c r="F999" s="136">
        <f t="shared" ca="1" si="45"/>
        <v>0</v>
      </c>
      <c r="G999" s="137" t="e">
        <f>IF(A999&lt;&gt;"",IF(AND(#REF!="Padrão",$H$4=#REF!),BDI!$B$17,IF(AND(#REF!="Padrão",$H$4=#REF!),BDI!#REF!,IF(AND(#REF!="Diferenciado",$H$4=#REF!),BDI!$E$17,IF(AND(#REF!="Diferenciado",$H$4=#REF!),BDI!#REF!,IF(#REF!="ZERO",0))))),"")</f>
        <v>#REF!</v>
      </c>
      <c r="H999" s="138" t="e">
        <f t="shared" ca="1" si="46"/>
        <v>#REF!</v>
      </c>
      <c r="I999" s="136" t="e">
        <f t="shared" ca="1" si="47"/>
        <v>#REF!</v>
      </c>
    </row>
    <row r="1000" spans="1:9" hidden="1" x14ac:dyDescent="0.25">
      <c r="A1000" s="114" t="s">
        <v>2919</v>
      </c>
      <c r="B1000" s="115" t="s">
        <v>2920</v>
      </c>
      <c r="C1000" s="116" t="s">
        <v>20</v>
      </c>
      <c r="D1000" s="116">
        <v>0</v>
      </c>
      <c r="E1000" s="135" t="s">
        <v>558</v>
      </c>
      <c r="F1000" s="136" t="str">
        <f t="shared" si="45"/>
        <v/>
      </c>
      <c r="G1000" s="137" t="e">
        <f>IF(A1000&lt;&gt;"",IF(AND(#REF!="Padrão",$H$4=#REF!),BDI!$B$17,IF(AND(#REF!="Padrão",$H$4=#REF!),BDI!#REF!,IF(AND(#REF!="Diferenciado",$H$4=#REF!),BDI!$E$17,IF(AND(#REF!="Diferenciado",$H$4=#REF!),BDI!#REF!,IF(#REF!="ZERO",0))))),"")</f>
        <v>#REF!</v>
      </c>
      <c r="H1000" s="138" t="str">
        <f t="shared" si="46"/>
        <v/>
      </c>
      <c r="I1000" s="136" t="str">
        <f t="shared" si="47"/>
        <v/>
      </c>
    </row>
    <row r="1001" spans="1:9" hidden="1" x14ac:dyDescent="0.25">
      <c r="A1001" s="114" t="s">
        <v>2921</v>
      </c>
      <c r="B1001" s="115" t="s">
        <v>2922</v>
      </c>
      <c r="C1001" s="116" t="s">
        <v>20</v>
      </c>
      <c r="D1001" s="116">
        <v>0</v>
      </c>
      <c r="E1001" s="135" t="s">
        <v>558</v>
      </c>
      <c r="F1001" s="136" t="str">
        <f t="shared" si="45"/>
        <v/>
      </c>
      <c r="G1001" s="137" t="e">
        <f>IF(A1001&lt;&gt;"",IF(AND(#REF!="Padrão",$H$4=#REF!),BDI!$B$17,IF(AND(#REF!="Padrão",$H$4=#REF!),BDI!#REF!,IF(AND(#REF!="Diferenciado",$H$4=#REF!),BDI!$E$17,IF(AND(#REF!="Diferenciado",$H$4=#REF!),BDI!#REF!,IF(#REF!="ZERO",0))))),"")</f>
        <v>#REF!</v>
      </c>
      <c r="H1001" s="138" t="str">
        <f t="shared" si="46"/>
        <v/>
      </c>
      <c r="I1001" s="136" t="str">
        <f t="shared" si="47"/>
        <v/>
      </c>
    </row>
    <row r="1002" spans="1:9" hidden="1" x14ac:dyDescent="0.25">
      <c r="A1002" s="114" t="s">
        <v>2923</v>
      </c>
      <c r="B1002" s="115" t="s">
        <v>2924</v>
      </c>
      <c r="C1002" s="116" t="s">
        <v>20</v>
      </c>
      <c r="D1002" s="116">
        <v>0</v>
      </c>
      <c r="E1002" s="135" t="s">
        <v>558</v>
      </c>
      <c r="F1002" s="136" t="str">
        <f t="shared" si="45"/>
        <v/>
      </c>
      <c r="G1002" s="137" t="e">
        <f>IF(A1002&lt;&gt;"",IF(AND(#REF!="Padrão",$H$4=#REF!),BDI!$B$17,IF(AND(#REF!="Padrão",$H$4=#REF!),BDI!#REF!,IF(AND(#REF!="Diferenciado",$H$4=#REF!),BDI!$E$17,IF(AND(#REF!="Diferenciado",$H$4=#REF!),BDI!#REF!,IF(#REF!="ZERO",0))))),"")</f>
        <v>#REF!</v>
      </c>
      <c r="H1002" s="138" t="str">
        <f t="shared" si="46"/>
        <v/>
      </c>
      <c r="I1002" s="136" t="str">
        <f t="shared" si="47"/>
        <v/>
      </c>
    </row>
    <row r="1003" spans="1:9" hidden="1" x14ac:dyDescent="0.25">
      <c r="A1003" s="114" t="s">
        <v>2925</v>
      </c>
      <c r="B1003" s="115" t="s">
        <v>2926</v>
      </c>
      <c r="C1003" s="116" t="s">
        <v>2927</v>
      </c>
      <c r="D1003" s="116">
        <v>0</v>
      </c>
      <c r="E1003" s="135" t="s">
        <v>558</v>
      </c>
      <c r="F1003" s="136" t="str">
        <f t="shared" si="45"/>
        <v/>
      </c>
      <c r="G1003" s="137" t="e">
        <f>IF(A1003&lt;&gt;"",IF(AND(#REF!="Padrão",$H$4=#REF!),BDI!$B$17,IF(AND(#REF!="Padrão",$H$4=#REF!),BDI!#REF!,IF(AND(#REF!="Diferenciado",$H$4=#REF!),BDI!$E$17,IF(AND(#REF!="Diferenciado",$H$4=#REF!),BDI!#REF!,IF(#REF!="ZERO",0))))),"")</f>
        <v>#REF!</v>
      </c>
      <c r="H1003" s="138" t="str">
        <f t="shared" si="46"/>
        <v/>
      </c>
      <c r="I1003" s="136" t="str">
        <f t="shared" si="47"/>
        <v/>
      </c>
    </row>
    <row r="1004" spans="1:9" hidden="1" x14ac:dyDescent="0.25">
      <c r="A1004" s="114" t="s">
        <v>2928</v>
      </c>
      <c r="B1004" s="115" t="s">
        <v>2929</v>
      </c>
      <c r="C1004" s="116" t="s">
        <v>20</v>
      </c>
      <c r="D1004" s="116">
        <v>0</v>
      </c>
      <c r="E1004" s="135" t="s">
        <v>558</v>
      </c>
      <c r="F1004" s="136" t="str">
        <f t="shared" si="45"/>
        <v/>
      </c>
      <c r="G1004" s="137" t="e">
        <f>IF(A1004&lt;&gt;"",IF(AND(#REF!="Padrão",$H$4=#REF!),BDI!$B$17,IF(AND(#REF!="Padrão",$H$4=#REF!),BDI!#REF!,IF(AND(#REF!="Diferenciado",$H$4=#REF!),BDI!$E$17,IF(AND(#REF!="Diferenciado",$H$4=#REF!),BDI!#REF!,IF(#REF!="ZERO",0))))),"")</f>
        <v>#REF!</v>
      </c>
      <c r="H1004" s="138" t="str">
        <f t="shared" si="46"/>
        <v/>
      </c>
      <c r="I1004" s="136" t="str">
        <f t="shared" si="47"/>
        <v/>
      </c>
    </row>
    <row r="1005" spans="1:9" hidden="1" x14ac:dyDescent="0.25">
      <c r="A1005" s="114" t="s">
        <v>2930</v>
      </c>
      <c r="B1005" s="115" t="s">
        <v>2931</v>
      </c>
      <c r="C1005" s="116" t="s">
        <v>93</v>
      </c>
      <c r="D1005" s="116">
        <v>0</v>
      </c>
      <c r="E1005" s="135" t="s">
        <v>558</v>
      </c>
      <c r="F1005" s="136" t="str">
        <f t="shared" si="45"/>
        <v/>
      </c>
      <c r="G1005" s="137" t="e">
        <f>IF(A1005&lt;&gt;"",IF(AND(#REF!="Padrão",$H$4=#REF!),BDI!$B$17,IF(AND(#REF!="Padrão",$H$4=#REF!),BDI!#REF!,IF(AND(#REF!="Diferenciado",$H$4=#REF!),BDI!$E$17,IF(AND(#REF!="Diferenciado",$H$4=#REF!),BDI!#REF!,IF(#REF!="ZERO",0))))),"")</f>
        <v>#REF!</v>
      </c>
      <c r="H1005" s="138" t="str">
        <f t="shared" si="46"/>
        <v/>
      </c>
      <c r="I1005" s="136" t="str">
        <f t="shared" si="47"/>
        <v/>
      </c>
    </row>
    <row r="1006" spans="1:9" hidden="1" x14ac:dyDescent="0.25">
      <c r="A1006" s="114" t="s">
        <v>1149</v>
      </c>
      <c r="B1006" s="115" t="s">
        <v>2932</v>
      </c>
      <c r="C1006" s="116" t="s">
        <v>2933</v>
      </c>
      <c r="D1006" s="116">
        <v>0</v>
      </c>
      <c r="E1006" s="135">
        <f ca="1">OFFSET(INDEX(Composições!A:J,MATCH(Orçamentária!A1006,Composições!A:A,0),8),2,0)</f>
        <v>555.75</v>
      </c>
      <c r="F1006" s="136">
        <f t="shared" ca="1" si="45"/>
        <v>0</v>
      </c>
      <c r="G1006" s="137" t="e">
        <f>IF(A1006&lt;&gt;"",IF(AND(#REF!="Padrão",$H$4=#REF!),BDI!$B$17,IF(AND(#REF!="Padrão",$H$4=#REF!),BDI!#REF!,IF(AND(#REF!="Diferenciado",$H$4=#REF!),BDI!$E$17,IF(AND(#REF!="Diferenciado",$H$4=#REF!),BDI!#REF!,IF(#REF!="ZERO",0))))),"")</f>
        <v>#REF!</v>
      </c>
      <c r="H1006" s="138" t="e">
        <f t="shared" ca="1" si="46"/>
        <v>#REF!</v>
      </c>
      <c r="I1006" s="136" t="e">
        <f t="shared" ca="1" si="47"/>
        <v>#REF!</v>
      </c>
    </row>
    <row r="1007" spans="1:9" hidden="1" x14ac:dyDescent="0.25">
      <c r="A1007" s="114" t="s">
        <v>2934</v>
      </c>
      <c r="B1007" s="115" t="s">
        <v>2935</v>
      </c>
      <c r="C1007" s="116" t="s">
        <v>93</v>
      </c>
      <c r="D1007" s="116">
        <v>0</v>
      </c>
      <c r="E1007" s="135" t="s">
        <v>558</v>
      </c>
      <c r="F1007" s="136" t="str">
        <f t="shared" si="45"/>
        <v/>
      </c>
      <c r="G1007" s="137" t="e">
        <f>IF(A1007&lt;&gt;"",IF(AND(#REF!="Padrão",$H$4=#REF!),BDI!$B$17,IF(AND(#REF!="Padrão",$H$4=#REF!),BDI!#REF!,IF(AND(#REF!="Diferenciado",$H$4=#REF!),BDI!$E$17,IF(AND(#REF!="Diferenciado",$H$4=#REF!),BDI!#REF!,IF(#REF!="ZERO",0))))),"")</f>
        <v>#REF!</v>
      </c>
      <c r="H1007" s="138" t="str">
        <f t="shared" si="46"/>
        <v/>
      </c>
      <c r="I1007" s="136" t="str">
        <f t="shared" si="47"/>
        <v/>
      </c>
    </row>
    <row r="1008" spans="1:9" hidden="1" x14ac:dyDescent="0.25">
      <c r="A1008" s="114" t="s">
        <v>2936</v>
      </c>
      <c r="B1008" s="115" t="s">
        <v>3837</v>
      </c>
      <c r="C1008" s="116" t="s">
        <v>95</v>
      </c>
      <c r="D1008" s="116">
        <v>0</v>
      </c>
      <c r="E1008" s="135" t="s">
        <v>558</v>
      </c>
      <c r="F1008" s="136" t="str">
        <f t="shared" si="45"/>
        <v/>
      </c>
      <c r="G1008" s="137" t="e">
        <f>IF(A1008&lt;&gt;"",IF(AND(#REF!="Padrão",$H$4=#REF!),BDI!$B$17,IF(AND(#REF!="Padrão",$H$4=#REF!),BDI!#REF!,IF(AND(#REF!="Diferenciado",$H$4=#REF!),BDI!$E$17,IF(AND(#REF!="Diferenciado",$H$4=#REF!),BDI!#REF!,IF(#REF!="ZERO",0))))),"")</f>
        <v>#REF!</v>
      </c>
      <c r="H1008" s="138" t="str">
        <f t="shared" si="46"/>
        <v/>
      </c>
      <c r="I1008" s="136" t="str">
        <f t="shared" si="47"/>
        <v/>
      </c>
    </row>
    <row r="1009" spans="1:9" hidden="1" x14ac:dyDescent="0.25">
      <c r="A1009" s="114" t="s">
        <v>2937</v>
      </c>
      <c r="B1009" s="115" t="s">
        <v>2938</v>
      </c>
      <c r="C1009" s="116" t="s">
        <v>95</v>
      </c>
      <c r="D1009" s="116">
        <v>0</v>
      </c>
      <c r="E1009" s="135" t="s">
        <v>558</v>
      </c>
      <c r="F1009" s="136" t="str">
        <f t="shared" si="45"/>
        <v/>
      </c>
      <c r="G1009" s="137" t="e">
        <f>IF(A1009&lt;&gt;"",IF(AND(#REF!="Padrão",$H$4=#REF!),BDI!$B$17,IF(AND(#REF!="Padrão",$H$4=#REF!),BDI!#REF!,IF(AND(#REF!="Diferenciado",$H$4=#REF!),BDI!$E$17,IF(AND(#REF!="Diferenciado",$H$4=#REF!),BDI!#REF!,IF(#REF!="ZERO",0))))),"")</f>
        <v>#REF!</v>
      </c>
      <c r="H1009" s="138" t="str">
        <f t="shared" si="46"/>
        <v/>
      </c>
      <c r="I1009" s="136" t="str">
        <f t="shared" si="47"/>
        <v/>
      </c>
    </row>
    <row r="1010" spans="1:9" hidden="1" x14ac:dyDescent="0.25">
      <c r="A1010" s="114" t="s">
        <v>2939</v>
      </c>
      <c r="B1010" s="115" t="s">
        <v>3838</v>
      </c>
      <c r="C1010" s="116" t="s">
        <v>95</v>
      </c>
      <c r="D1010" s="116">
        <v>0</v>
      </c>
      <c r="E1010" s="135" t="s">
        <v>558</v>
      </c>
      <c r="F1010" s="136" t="str">
        <f t="shared" si="45"/>
        <v/>
      </c>
      <c r="G1010" s="137" t="e">
        <f>IF(A1010&lt;&gt;"",IF(AND(#REF!="Padrão",$H$4=#REF!),BDI!$B$17,IF(AND(#REF!="Padrão",$H$4=#REF!),BDI!#REF!,IF(AND(#REF!="Diferenciado",$H$4=#REF!),BDI!$E$17,IF(AND(#REF!="Diferenciado",$H$4=#REF!),BDI!#REF!,IF(#REF!="ZERO",0))))),"")</f>
        <v>#REF!</v>
      </c>
      <c r="H1010" s="138" t="str">
        <f t="shared" si="46"/>
        <v/>
      </c>
      <c r="I1010" s="136" t="str">
        <f t="shared" si="47"/>
        <v/>
      </c>
    </row>
    <row r="1011" spans="1:9" hidden="1" x14ac:dyDescent="0.25">
      <c r="A1011" s="114" t="s">
        <v>2940</v>
      </c>
      <c r="B1011" s="115" t="s">
        <v>2941</v>
      </c>
      <c r="C1011" s="116" t="s">
        <v>95</v>
      </c>
      <c r="D1011" s="116">
        <v>0</v>
      </c>
      <c r="E1011" s="135" t="s">
        <v>558</v>
      </c>
      <c r="F1011" s="136" t="str">
        <f t="shared" si="45"/>
        <v/>
      </c>
      <c r="G1011" s="137" t="e">
        <f>IF(A1011&lt;&gt;"",IF(AND(#REF!="Padrão",$H$4=#REF!),BDI!$B$17,IF(AND(#REF!="Padrão",$H$4=#REF!),BDI!#REF!,IF(AND(#REF!="Diferenciado",$H$4=#REF!),BDI!$E$17,IF(AND(#REF!="Diferenciado",$H$4=#REF!),BDI!#REF!,IF(#REF!="ZERO",0))))),"")</f>
        <v>#REF!</v>
      </c>
      <c r="H1011" s="138" t="str">
        <f t="shared" si="46"/>
        <v/>
      </c>
      <c r="I1011" s="136" t="str">
        <f t="shared" si="47"/>
        <v/>
      </c>
    </row>
    <row r="1012" spans="1:9" hidden="1" x14ac:dyDescent="0.25">
      <c r="A1012" s="114" t="s">
        <v>2942</v>
      </c>
      <c r="B1012" s="115" t="s">
        <v>2943</v>
      </c>
      <c r="C1012" s="116" t="s">
        <v>95</v>
      </c>
      <c r="D1012" s="116">
        <v>0</v>
      </c>
      <c r="E1012" s="135" t="s">
        <v>558</v>
      </c>
      <c r="F1012" s="136" t="str">
        <f t="shared" si="45"/>
        <v/>
      </c>
      <c r="G1012" s="137" t="e">
        <f>IF(A1012&lt;&gt;"",IF(AND(#REF!="Padrão",$H$4=#REF!),BDI!$B$17,IF(AND(#REF!="Padrão",$H$4=#REF!),BDI!#REF!,IF(AND(#REF!="Diferenciado",$H$4=#REF!),BDI!$E$17,IF(AND(#REF!="Diferenciado",$H$4=#REF!),BDI!#REF!,IF(#REF!="ZERO",0))))),"")</f>
        <v>#REF!</v>
      </c>
      <c r="H1012" s="138" t="str">
        <f t="shared" si="46"/>
        <v/>
      </c>
      <c r="I1012" s="136" t="str">
        <f t="shared" si="47"/>
        <v/>
      </c>
    </row>
    <row r="1013" spans="1:9" hidden="1" x14ac:dyDescent="0.25">
      <c r="A1013" s="114" t="s">
        <v>2944</v>
      </c>
      <c r="B1013" s="115" t="s">
        <v>2945</v>
      </c>
      <c r="C1013" s="116" t="s">
        <v>20</v>
      </c>
      <c r="D1013" s="116">
        <v>0</v>
      </c>
      <c r="E1013" s="135" t="s">
        <v>558</v>
      </c>
      <c r="F1013" s="136" t="str">
        <f t="shared" si="45"/>
        <v/>
      </c>
      <c r="G1013" s="137" t="e">
        <f>IF(A1013&lt;&gt;"",IF(AND(#REF!="Padrão",$H$4=#REF!),BDI!$B$17,IF(AND(#REF!="Padrão",$H$4=#REF!),BDI!#REF!,IF(AND(#REF!="Diferenciado",$H$4=#REF!),BDI!$E$17,IF(AND(#REF!="Diferenciado",$H$4=#REF!),BDI!#REF!,IF(#REF!="ZERO",0))))),"")</f>
        <v>#REF!</v>
      </c>
      <c r="H1013" s="138" t="str">
        <f t="shared" si="46"/>
        <v/>
      </c>
      <c r="I1013" s="136" t="str">
        <f t="shared" si="47"/>
        <v/>
      </c>
    </row>
    <row r="1014" spans="1:9" hidden="1" x14ac:dyDescent="0.25">
      <c r="A1014" s="114" t="s">
        <v>2946</v>
      </c>
      <c r="B1014" s="115" t="s">
        <v>2947</v>
      </c>
      <c r="C1014" s="116" t="s">
        <v>2909</v>
      </c>
      <c r="D1014" s="116">
        <v>0</v>
      </c>
      <c r="E1014" s="135" t="s">
        <v>558</v>
      </c>
      <c r="F1014" s="136" t="str">
        <f t="shared" si="45"/>
        <v/>
      </c>
      <c r="G1014" s="137" t="e">
        <f>IF(A1014&lt;&gt;"",IF(AND(#REF!="Padrão",$H$4=#REF!),BDI!$B$17,IF(AND(#REF!="Padrão",$H$4=#REF!),BDI!#REF!,IF(AND(#REF!="Diferenciado",$H$4=#REF!),BDI!$E$17,IF(AND(#REF!="Diferenciado",$H$4=#REF!),BDI!#REF!,IF(#REF!="ZERO",0))))),"")</f>
        <v>#REF!</v>
      </c>
      <c r="H1014" s="138" t="str">
        <f t="shared" si="46"/>
        <v/>
      </c>
      <c r="I1014" s="136" t="str">
        <f t="shared" si="47"/>
        <v/>
      </c>
    </row>
    <row r="1015" spans="1:9" hidden="1" x14ac:dyDescent="0.25">
      <c r="A1015" s="114" t="s">
        <v>2948</v>
      </c>
      <c r="B1015" s="115" t="s">
        <v>2949</v>
      </c>
      <c r="C1015" s="116" t="s">
        <v>20</v>
      </c>
      <c r="D1015" s="116">
        <v>0</v>
      </c>
      <c r="E1015" s="135" t="s">
        <v>558</v>
      </c>
      <c r="F1015" s="136" t="str">
        <f t="shared" si="45"/>
        <v/>
      </c>
      <c r="G1015" s="137" t="e">
        <f>IF(A1015&lt;&gt;"",IF(AND(#REF!="Padrão",$H$4=#REF!),BDI!$B$17,IF(AND(#REF!="Padrão",$H$4=#REF!),BDI!#REF!,IF(AND(#REF!="Diferenciado",$H$4=#REF!),BDI!$E$17,IF(AND(#REF!="Diferenciado",$H$4=#REF!),BDI!#REF!,IF(#REF!="ZERO",0))))),"")</f>
        <v>#REF!</v>
      </c>
      <c r="H1015" s="138" t="str">
        <f t="shared" si="46"/>
        <v/>
      </c>
      <c r="I1015" s="136" t="str">
        <f t="shared" si="47"/>
        <v/>
      </c>
    </row>
    <row r="1016" spans="1:9" hidden="1" x14ac:dyDescent="0.25">
      <c r="A1016" s="114" t="s">
        <v>1151</v>
      </c>
      <c r="B1016" s="115" t="s">
        <v>2950</v>
      </c>
      <c r="C1016" s="116" t="s">
        <v>93</v>
      </c>
      <c r="D1016" s="116">
        <v>0</v>
      </c>
      <c r="E1016" s="135">
        <f ca="1">OFFSET(INDEX(Composições!A:J,MATCH(Orçamentária!A1016,Composições!A:A,0),8),2,0)</f>
        <v>37.224530731468001</v>
      </c>
      <c r="F1016" s="136">
        <f t="shared" ca="1" si="45"/>
        <v>0</v>
      </c>
      <c r="G1016" s="137" t="e">
        <f>IF(A1016&lt;&gt;"",IF(AND(#REF!="Padrão",$H$4=#REF!),BDI!$B$17,IF(AND(#REF!="Padrão",$H$4=#REF!),BDI!#REF!,IF(AND(#REF!="Diferenciado",$H$4=#REF!),BDI!$E$17,IF(AND(#REF!="Diferenciado",$H$4=#REF!),BDI!#REF!,IF(#REF!="ZERO",0))))),"")</f>
        <v>#REF!</v>
      </c>
      <c r="H1016" s="138" t="e">
        <f t="shared" ca="1" si="46"/>
        <v>#REF!</v>
      </c>
      <c r="I1016" s="136" t="e">
        <f t="shared" ca="1" si="47"/>
        <v>#REF!</v>
      </c>
    </row>
    <row r="1017" spans="1:9" hidden="1" x14ac:dyDescent="0.25">
      <c r="A1017" s="114" t="s">
        <v>1154</v>
      </c>
      <c r="B1017" s="115" t="s">
        <v>2951</v>
      </c>
      <c r="C1017" s="116" t="s">
        <v>95</v>
      </c>
      <c r="D1017" s="116">
        <v>0</v>
      </c>
      <c r="E1017" s="135">
        <f ca="1">OFFSET(INDEX(Composições!A:J,MATCH(Orçamentária!A1017,Composições!A:A,0),8),2,0)</f>
        <v>9.0143219999999999</v>
      </c>
      <c r="F1017" s="136">
        <f t="shared" ca="1" si="45"/>
        <v>0</v>
      </c>
      <c r="G1017" s="137" t="e">
        <f>IF(A1017&lt;&gt;"",IF(AND(#REF!="Padrão",$H$4=#REF!),BDI!$B$17,IF(AND(#REF!="Padrão",$H$4=#REF!),BDI!#REF!,IF(AND(#REF!="Diferenciado",$H$4=#REF!),BDI!$E$17,IF(AND(#REF!="Diferenciado",$H$4=#REF!),BDI!#REF!,IF(#REF!="ZERO",0))))),"")</f>
        <v>#REF!</v>
      </c>
      <c r="H1017" s="138" t="e">
        <f t="shared" ca="1" si="46"/>
        <v>#REF!</v>
      </c>
      <c r="I1017" s="136" t="e">
        <f t="shared" ca="1" si="47"/>
        <v>#REF!</v>
      </c>
    </row>
    <row r="1018" spans="1:9" hidden="1" x14ac:dyDescent="0.25">
      <c r="A1018" s="114" t="s">
        <v>1155</v>
      </c>
      <c r="B1018" s="115" t="s">
        <v>2952</v>
      </c>
      <c r="C1018" s="116" t="s">
        <v>95</v>
      </c>
      <c r="D1018" s="116">
        <v>0</v>
      </c>
      <c r="E1018" s="135">
        <f ca="1">OFFSET(INDEX(Composições!A:J,MATCH(Orçamentária!A1018,Composições!A:A,0),8),2,0)</f>
        <v>18.641849999999998</v>
      </c>
      <c r="F1018" s="136">
        <f t="shared" ca="1" si="45"/>
        <v>0</v>
      </c>
      <c r="G1018" s="137" t="e">
        <f>IF(A1018&lt;&gt;"",IF(AND(#REF!="Padrão",$H$4=#REF!),BDI!$B$17,IF(AND(#REF!="Padrão",$H$4=#REF!),BDI!#REF!,IF(AND(#REF!="Diferenciado",$H$4=#REF!),BDI!$E$17,IF(AND(#REF!="Diferenciado",$H$4=#REF!),BDI!#REF!,IF(#REF!="ZERO",0))))),"")</f>
        <v>#REF!</v>
      </c>
      <c r="H1018" s="138" t="e">
        <f t="shared" ca="1" si="46"/>
        <v>#REF!</v>
      </c>
      <c r="I1018" s="136" t="e">
        <f t="shared" ca="1" si="47"/>
        <v>#REF!</v>
      </c>
    </row>
    <row r="1019" spans="1:9" hidden="1" x14ac:dyDescent="0.25">
      <c r="A1019" s="114" t="s">
        <v>1159</v>
      </c>
      <c r="B1019" s="115" t="s">
        <v>2953</v>
      </c>
      <c r="C1019" s="116" t="s">
        <v>95</v>
      </c>
      <c r="D1019" s="116">
        <v>0</v>
      </c>
      <c r="E1019" s="135">
        <f ca="1">OFFSET(INDEX(Composições!A:J,MATCH(Orçamentária!A1019,Composições!A:A,0),8),2,0)</f>
        <v>124.56808500000002</v>
      </c>
      <c r="F1019" s="136">
        <f t="shared" ca="1" si="45"/>
        <v>0</v>
      </c>
      <c r="G1019" s="137" t="e">
        <f>IF(A1019&lt;&gt;"",IF(AND(#REF!="Padrão",$H$4=#REF!),BDI!$B$17,IF(AND(#REF!="Padrão",$H$4=#REF!),BDI!#REF!,IF(AND(#REF!="Diferenciado",$H$4=#REF!),BDI!$E$17,IF(AND(#REF!="Diferenciado",$H$4=#REF!),BDI!#REF!,IF(#REF!="ZERO",0))))),"")</f>
        <v>#REF!</v>
      </c>
      <c r="H1019" s="138" t="e">
        <f t="shared" ca="1" si="46"/>
        <v>#REF!</v>
      </c>
      <c r="I1019" s="136" t="e">
        <f t="shared" ca="1" si="47"/>
        <v>#REF!</v>
      </c>
    </row>
    <row r="1020" spans="1:9" hidden="1" x14ac:dyDescent="0.25">
      <c r="A1020" s="114" t="s">
        <v>2954</v>
      </c>
      <c r="B1020" s="115" t="s">
        <v>2955</v>
      </c>
      <c r="C1020" s="116" t="s">
        <v>20</v>
      </c>
      <c r="D1020" s="116">
        <v>0</v>
      </c>
      <c r="E1020" s="135" t="s">
        <v>558</v>
      </c>
      <c r="F1020" s="136" t="str">
        <f t="shared" si="45"/>
        <v/>
      </c>
      <c r="G1020" s="137" t="e">
        <f>IF(A1020&lt;&gt;"",IF(AND(#REF!="Padrão",$H$4=#REF!),BDI!$B$17,IF(AND(#REF!="Padrão",$H$4=#REF!),BDI!#REF!,IF(AND(#REF!="Diferenciado",$H$4=#REF!),BDI!$E$17,IF(AND(#REF!="Diferenciado",$H$4=#REF!),BDI!#REF!,IF(#REF!="ZERO",0))))),"")</f>
        <v>#REF!</v>
      </c>
      <c r="H1020" s="138" t="str">
        <f t="shared" si="46"/>
        <v/>
      </c>
      <c r="I1020" s="136" t="str">
        <f t="shared" si="47"/>
        <v/>
      </c>
    </row>
    <row r="1021" spans="1:9" hidden="1" x14ac:dyDescent="0.25">
      <c r="A1021" s="114" t="s">
        <v>2956</v>
      </c>
      <c r="B1021" s="115" t="s">
        <v>2957</v>
      </c>
      <c r="C1021" s="116" t="s">
        <v>20</v>
      </c>
      <c r="D1021" s="116">
        <v>0</v>
      </c>
      <c r="E1021" s="135" t="s">
        <v>558</v>
      </c>
      <c r="F1021" s="136" t="str">
        <f t="shared" si="45"/>
        <v/>
      </c>
      <c r="G1021" s="137" t="e">
        <f>IF(A1021&lt;&gt;"",IF(AND(#REF!="Padrão",$H$4=#REF!),BDI!$B$17,IF(AND(#REF!="Padrão",$H$4=#REF!),BDI!#REF!,IF(AND(#REF!="Diferenciado",$H$4=#REF!),BDI!$E$17,IF(AND(#REF!="Diferenciado",$H$4=#REF!),BDI!#REF!,IF(#REF!="ZERO",0))))),"")</f>
        <v>#REF!</v>
      </c>
      <c r="H1021" s="138" t="str">
        <f t="shared" si="46"/>
        <v/>
      </c>
      <c r="I1021" s="136" t="str">
        <f t="shared" si="47"/>
        <v/>
      </c>
    </row>
    <row r="1022" spans="1:9" ht="25.5" hidden="1" x14ac:dyDescent="0.25">
      <c r="A1022" s="114" t="s">
        <v>2958</v>
      </c>
      <c r="B1022" s="115" t="s">
        <v>2959</v>
      </c>
      <c r="C1022" s="116" t="s">
        <v>20</v>
      </c>
      <c r="D1022" s="116">
        <v>0</v>
      </c>
      <c r="E1022" s="135" t="s">
        <v>558</v>
      </c>
      <c r="F1022" s="136" t="str">
        <f t="shared" si="45"/>
        <v/>
      </c>
      <c r="G1022" s="137" t="e">
        <f>IF(A1022&lt;&gt;"",IF(AND(#REF!="Padrão",$H$4=#REF!),BDI!$B$17,IF(AND(#REF!="Padrão",$H$4=#REF!),BDI!#REF!,IF(AND(#REF!="Diferenciado",$H$4=#REF!),BDI!$E$17,IF(AND(#REF!="Diferenciado",$H$4=#REF!),BDI!#REF!,IF(#REF!="ZERO",0))))),"")</f>
        <v>#REF!</v>
      </c>
      <c r="H1022" s="138" t="str">
        <f t="shared" si="46"/>
        <v/>
      </c>
      <c r="I1022" s="136" t="str">
        <f t="shared" si="47"/>
        <v/>
      </c>
    </row>
    <row r="1023" spans="1:9" ht="25.5" hidden="1" x14ac:dyDescent="0.25">
      <c r="A1023" s="114" t="s">
        <v>2960</v>
      </c>
      <c r="B1023" s="115" t="s">
        <v>2961</v>
      </c>
      <c r="C1023" s="116" t="s">
        <v>20</v>
      </c>
      <c r="D1023" s="116">
        <v>0</v>
      </c>
      <c r="E1023" s="135" t="s">
        <v>558</v>
      </c>
      <c r="F1023" s="136" t="str">
        <f t="shared" si="45"/>
        <v/>
      </c>
      <c r="G1023" s="137" t="e">
        <f>IF(A1023&lt;&gt;"",IF(AND(#REF!="Padrão",$H$4=#REF!),BDI!$B$17,IF(AND(#REF!="Padrão",$H$4=#REF!),BDI!#REF!,IF(AND(#REF!="Diferenciado",$H$4=#REF!),BDI!$E$17,IF(AND(#REF!="Diferenciado",$H$4=#REF!),BDI!#REF!,IF(#REF!="ZERO",0))))),"")</f>
        <v>#REF!</v>
      </c>
      <c r="H1023" s="138" t="str">
        <f t="shared" si="46"/>
        <v/>
      </c>
      <c r="I1023" s="136" t="str">
        <f t="shared" si="47"/>
        <v/>
      </c>
    </row>
    <row r="1024" spans="1:9" ht="25.5" hidden="1" x14ac:dyDescent="0.25">
      <c r="A1024" s="114" t="s">
        <v>2962</v>
      </c>
      <c r="B1024" s="115" t="s">
        <v>2963</v>
      </c>
      <c r="C1024" s="116" t="s">
        <v>20</v>
      </c>
      <c r="D1024" s="116">
        <v>0</v>
      </c>
      <c r="E1024" s="135" t="s">
        <v>558</v>
      </c>
      <c r="F1024" s="136" t="str">
        <f t="shared" si="45"/>
        <v/>
      </c>
      <c r="G1024" s="137" t="e">
        <f>IF(A1024&lt;&gt;"",IF(AND(#REF!="Padrão",$H$4=#REF!),BDI!$B$17,IF(AND(#REF!="Padrão",$H$4=#REF!),BDI!#REF!,IF(AND(#REF!="Diferenciado",$H$4=#REF!),BDI!$E$17,IF(AND(#REF!="Diferenciado",$H$4=#REF!),BDI!#REF!,IF(#REF!="ZERO",0))))),"")</f>
        <v>#REF!</v>
      </c>
      <c r="H1024" s="138" t="str">
        <f t="shared" si="46"/>
        <v/>
      </c>
      <c r="I1024" s="136" t="str">
        <f t="shared" si="47"/>
        <v/>
      </c>
    </row>
    <row r="1025" spans="1:9" ht="25.5" hidden="1" x14ac:dyDescent="0.25">
      <c r="A1025" s="114" t="s">
        <v>2964</v>
      </c>
      <c r="B1025" s="115" t="s">
        <v>2965</v>
      </c>
      <c r="C1025" s="116" t="s">
        <v>20</v>
      </c>
      <c r="D1025" s="116">
        <v>0</v>
      </c>
      <c r="E1025" s="135" t="s">
        <v>558</v>
      </c>
      <c r="F1025" s="136" t="str">
        <f t="shared" si="45"/>
        <v/>
      </c>
      <c r="G1025" s="137" t="e">
        <f>IF(A1025&lt;&gt;"",IF(AND(#REF!="Padrão",$H$4=#REF!),BDI!$B$17,IF(AND(#REF!="Padrão",$H$4=#REF!),BDI!#REF!,IF(AND(#REF!="Diferenciado",$H$4=#REF!),BDI!$E$17,IF(AND(#REF!="Diferenciado",$H$4=#REF!),BDI!#REF!,IF(#REF!="ZERO",0))))),"")</f>
        <v>#REF!</v>
      </c>
      <c r="H1025" s="138" t="str">
        <f t="shared" si="46"/>
        <v/>
      </c>
      <c r="I1025" s="136" t="str">
        <f t="shared" si="47"/>
        <v/>
      </c>
    </row>
    <row r="1026" spans="1:9" ht="25.5" hidden="1" x14ac:dyDescent="0.25">
      <c r="A1026" s="114" t="s">
        <v>2966</v>
      </c>
      <c r="B1026" s="115" t="s">
        <v>2967</v>
      </c>
      <c r="C1026" s="116" t="s">
        <v>20</v>
      </c>
      <c r="D1026" s="116">
        <v>0</v>
      </c>
      <c r="E1026" s="135" t="s">
        <v>558</v>
      </c>
      <c r="F1026" s="136" t="str">
        <f t="shared" si="45"/>
        <v/>
      </c>
      <c r="G1026" s="137" t="e">
        <f>IF(A1026&lt;&gt;"",IF(AND(#REF!="Padrão",$H$4=#REF!),BDI!$B$17,IF(AND(#REF!="Padrão",$H$4=#REF!),BDI!#REF!,IF(AND(#REF!="Diferenciado",$H$4=#REF!),BDI!$E$17,IF(AND(#REF!="Diferenciado",$H$4=#REF!),BDI!#REF!,IF(#REF!="ZERO",0))))),"")</f>
        <v>#REF!</v>
      </c>
      <c r="H1026" s="138" t="str">
        <f t="shared" si="46"/>
        <v/>
      </c>
      <c r="I1026" s="136" t="str">
        <f t="shared" si="47"/>
        <v/>
      </c>
    </row>
    <row r="1027" spans="1:9" hidden="1" x14ac:dyDescent="0.25">
      <c r="A1027" s="114" t="s">
        <v>2968</v>
      </c>
      <c r="B1027" s="115" t="s">
        <v>2969</v>
      </c>
      <c r="C1027" s="116" t="s">
        <v>93</v>
      </c>
      <c r="D1027" s="116">
        <v>0</v>
      </c>
      <c r="E1027" s="135" t="s">
        <v>558</v>
      </c>
      <c r="F1027" s="136" t="str">
        <f t="shared" si="45"/>
        <v/>
      </c>
      <c r="G1027" s="137" t="e">
        <f>IF(A1027&lt;&gt;"",IF(AND(#REF!="Padrão",$H$4=#REF!),BDI!$B$17,IF(AND(#REF!="Padrão",$H$4=#REF!),BDI!#REF!,IF(AND(#REF!="Diferenciado",$H$4=#REF!),BDI!$E$17,IF(AND(#REF!="Diferenciado",$H$4=#REF!),BDI!#REF!,IF(#REF!="ZERO",0))))),"")</f>
        <v>#REF!</v>
      </c>
      <c r="H1027" s="138" t="str">
        <f t="shared" si="46"/>
        <v/>
      </c>
      <c r="I1027" s="136" t="str">
        <f t="shared" si="47"/>
        <v/>
      </c>
    </row>
    <row r="1028" spans="1:9" hidden="1" x14ac:dyDescent="0.25">
      <c r="A1028" s="114" t="s">
        <v>2970</v>
      </c>
      <c r="B1028" s="115" t="s">
        <v>2971</v>
      </c>
      <c r="C1028" s="116" t="s">
        <v>93</v>
      </c>
      <c r="D1028" s="116">
        <v>0</v>
      </c>
      <c r="E1028" s="135" t="s">
        <v>558</v>
      </c>
      <c r="F1028" s="136" t="str">
        <f t="shared" si="45"/>
        <v/>
      </c>
      <c r="G1028" s="137" t="e">
        <f>IF(A1028&lt;&gt;"",IF(AND(#REF!="Padrão",$H$4=#REF!),BDI!$B$17,IF(AND(#REF!="Padrão",$H$4=#REF!),BDI!#REF!,IF(AND(#REF!="Diferenciado",$H$4=#REF!),BDI!$E$17,IF(AND(#REF!="Diferenciado",$H$4=#REF!),BDI!#REF!,IF(#REF!="ZERO",0))))),"")</f>
        <v>#REF!</v>
      </c>
      <c r="H1028" s="138" t="str">
        <f t="shared" si="46"/>
        <v/>
      </c>
      <c r="I1028" s="136" t="str">
        <f t="shared" si="47"/>
        <v/>
      </c>
    </row>
    <row r="1029" spans="1:9" hidden="1" x14ac:dyDescent="0.25">
      <c r="A1029" s="114" t="s">
        <v>2972</v>
      </c>
      <c r="B1029" s="115" t="s">
        <v>2973</v>
      </c>
      <c r="C1029" s="116" t="s">
        <v>93</v>
      </c>
      <c r="D1029" s="116">
        <v>0</v>
      </c>
      <c r="E1029" s="135" t="s">
        <v>558</v>
      </c>
      <c r="F1029" s="136" t="str">
        <f t="shared" si="45"/>
        <v/>
      </c>
      <c r="G1029" s="137" t="e">
        <f>IF(A1029&lt;&gt;"",IF(AND(#REF!="Padrão",$H$4=#REF!),BDI!$B$17,IF(AND(#REF!="Padrão",$H$4=#REF!),BDI!#REF!,IF(AND(#REF!="Diferenciado",$H$4=#REF!),BDI!$E$17,IF(AND(#REF!="Diferenciado",$H$4=#REF!),BDI!#REF!,IF(#REF!="ZERO",0))))),"")</f>
        <v>#REF!</v>
      </c>
      <c r="H1029" s="138" t="str">
        <f t="shared" si="46"/>
        <v/>
      </c>
      <c r="I1029" s="136" t="str">
        <f t="shared" si="47"/>
        <v/>
      </c>
    </row>
    <row r="1030" spans="1:9" hidden="1" x14ac:dyDescent="0.25">
      <c r="A1030" s="114" t="s">
        <v>2974</v>
      </c>
      <c r="B1030" s="115" t="s">
        <v>2975</v>
      </c>
      <c r="C1030" s="116" t="s">
        <v>93</v>
      </c>
      <c r="D1030" s="116">
        <v>0</v>
      </c>
      <c r="E1030" s="135" t="s">
        <v>558</v>
      </c>
      <c r="F1030" s="136" t="str">
        <f t="shared" si="45"/>
        <v/>
      </c>
      <c r="G1030" s="137" t="e">
        <f>IF(A1030&lt;&gt;"",IF(AND(#REF!="Padrão",$H$4=#REF!),BDI!$B$17,IF(AND(#REF!="Padrão",$H$4=#REF!),BDI!#REF!,IF(AND(#REF!="Diferenciado",$H$4=#REF!),BDI!$E$17,IF(AND(#REF!="Diferenciado",$H$4=#REF!),BDI!#REF!,IF(#REF!="ZERO",0))))),"")</f>
        <v>#REF!</v>
      </c>
      <c r="H1030" s="138" t="str">
        <f t="shared" si="46"/>
        <v/>
      </c>
      <c r="I1030" s="136" t="str">
        <f t="shared" si="47"/>
        <v/>
      </c>
    </row>
    <row r="1031" spans="1:9" hidden="1" x14ac:dyDescent="0.25">
      <c r="A1031" s="114" t="s">
        <v>2976</v>
      </c>
      <c r="B1031" s="115" t="s">
        <v>2977</v>
      </c>
      <c r="C1031" s="116" t="s">
        <v>93</v>
      </c>
      <c r="D1031" s="116">
        <v>0</v>
      </c>
      <c r="E1031" s="135" t="s">
        <v>558</v>
      </c>
      <c r="F1031" s="136" t="str">
        <f t="shared" ref="F1031:F1094" si="48">IF(ISNUMBER(E1031),D1031*E1031,"")</f>
        <v/>
      </c>
      <c r="G1031" s="137" t="e">
        <f>IF(A1031&lt;&gt;"",IF(AND(#REF!="Padrão",$H$4=#REF!),BDI!$B$17,IF(AND(#REF!="Padrão",$H$4=#REF!),BDI!#REF!,IF(AND(#REF!="Diferenciado",$H$4=#REF!),BDI!$E$17,IF(AND(#REF!="Diferenciado",$H$4=#REF!),BDI!#REF!,IF(#REF!="ZERO",0))))),"")</f>
        <v>#REF!</v>
      </c>
      <c r="H1031" s="138" t="str">
        <f t="shared" ref="H1031:H1094" si="49">IF(ISNUMBER(E1031),ROUND(E1031*(1+G1031),2),"")</f>
        <v/>
      </c>
      <c r="I1031" s="136" t="str">
        <f t="shared" ref="I1031:I1094" si="50">IF(ISNUMBER(E1031),ROUND(H1031*D1031,2),"")</f>
        <v/>
      </c>
    </row>
    <row r="1032" spans="1:9" hidden="1" x14ac:dyDescent="0.25">
      <c r="A1032" s="114" t="s">
        <v>2978</v>
      </c>
      <c r="B1032" s="115" t="s">
        <v>2979</v>
      </c>
      <c r="C1032" s="116" t="s">
        <v>93</v>
      </c>
      <c r="D1032" s="116">
        <v>0</v>
      </c>
      <c r="E1032" s="135" t="s">
        <v>558</v>
      </c>
      <c r="F1032" s="136" t="str">
        <f t="shared" si="48"/>
        <v/>
      </c>
      <c r="G1032" s="137" t="e">
        <f>IF(A1032&lt;&gt;"",IF(AND(#REF!="Padrão",$H$4=#REF!),BDI!$B$17,IF(AND(#REF!="Padrão",$H$4=#REF!),BDI!#REF!,IF(AND(#REF!="Diferenciado",$H$4=#REF!),BDI!$E$17,IF(AND(#REF!="Diferenciado",$H$4=#REF!),BDI!#REF!,IF(#REF!="ZERO",0))))),"")</f>
        <v>#REF!</v>
      </c>
      <c r="H1032" s="138" t="str">
        <f t="shared" si="49"/>
        <v/>
      </c>
      <c r="I1032" s="136" t="str">
        <f t="shared" si="50"/>
        <v/>
      </c>
    </row>
    <row r="1033" spans="1:9" hidden="1" x14ac:dyDescent="0.25">
      <c r="A1033" s="114" t="s">
        <v>2980</v>
      </c>
      <c r="B1033" s="115" t="s">
        <v>2981</v>
      </c>
      <c r="C1033" s="116" t="s">
        <v>93</v>
      </c>
      <c r="D1033" s="116">
        <v>0</v>
      </c>
      <c r="E1033" s="135" t="s">
        <v>558</v>
      </c>
      <c r="F1033" s="136" t="str">
        <f t="shared" si="48"/>
        <v/>
      </c>
      <c r="G1033" s="137" t="e">
        <f>IF(A1033&lt;&gt;"",IF(AND(#REF!="Padrão",$H$4=#REF!),BDI!$B$17,IF(AND(#REF!="Padrão",$H$4=#REF!),BDI!#REF!,IF(AND(#REF!="Diferenciado",$H$4=#REF!),BDI!$E$17,IF(AND(#REF!="Diferenciado",$H$4=#REF!),BDI!#REF!,IF(#REF!="ZERO",0))))),"")</f>
        <v>#REF!</v>
      </c>
      <c r="H1033" s="138" t="str">
        <f t="shared" si="49"/>
        <v/>
      </c>
      <c r="I1033" s="136" t="str">
        <f t="shared" si="50"/>
        <v/>
      </c>
    </row>
    <row r="1034" spans="1:9" hidden="1" x14ac:dyDescent="0.25">
      <c r="A1034" s="114" t="s">
        <v>1163</v>
      </c>
      <c r="B1034" s="115" t="s">
        <v>2982</v>
      </c>
      <c r="C1034" s="116" t="s">
        <v>2933</v>
      </c>
      <c r="D1034" s="116">
        <v>0</v>
      </c>
      <c r="E1034" s="135">
        <f ca="1">OFFSET(INDEX(Composições!A:J,MATCH(Orçamentária!A1034,Composições!A:A,0),8),2,0)</f>
        <v>694.6875</v>
      </c>
      <c r="F1034" s="136">
        <f t="shared" ca="1" si="48"/>
        <v>0</v>
      </c>
      <c r="G1034" s="137" t="e">
        <f>IF(A1034&lt;&gt;"",IF(AND(#REF!="Padrão",$H$4=#REF!),BDI!$B$17,IF(AND(#REF!="Padrão",$H$4=#REF!),BDI!#REF!,IF(AND(#REF!="Diferenciado",$H$4=#REF!),BDI!$E$17,IF(AND(#REF!="Diferenciado",$H$4=#REF!),BDI!#REF!,IF(#REF!="ZERO",0))))),"")</f>
        <v>#REF!</v>
      </c>
      <c r="H1034" s="138" t="e">
        <f t="shared" ca="1" si="49"/>
        <v>#REF!</v>
      </c>
      <c r="I1034" s="136" t="e">
        <f t="shared" ca="1" si="50"/>
        <v>#REF!</v>
      </c>
    </row>
    <row r="1035" spans="1:9" hidden="1" x14ac:dyDescent="0.25">
      <c r="A1035" s="114" t="s">
        <v>1165</v>
      </c>
      <c r="B1035" s="115" t="s">
        <v>2983</v>
      </c>
      <c r="C1035" s="116" t="s">
        <v>2933</v>
      </c>
      <c r="D1035" s="116">
        <v>0</v>
      </c>
      <c r="E1035" s="135">
        <f ca="1">OFFSET(INDEX(Composições!A:J,MATCH(Orçamentária!A1035,Composições!A:A,0),8),2,0)</f>
        <v>434.17849999999993</v>
      </c>
      <c r="F1035" s="136">
        <f t="shared" ca="1" si="48"/>
        <v>0</v>
      </c>
      <c r="G1035" s="137" t="e">
        <f>IF(A1035&lt;&gt;"",IF(AND(#REF!="Padrão",$H$4=#REF!),BDI!$B$17,IF(AND(#REF!="Padrão",$H$4=#REF!),BDI!#REF!,IF(AND(#REF!="Diferenciado",$H$4=#REF!),BDI!$E$17,IF(AND(#REF!="Diferenciado",$H$4=#REF!),BDI!#REF!,IF(#REF!="ZERO",0))))),"")</f>
        <v>#REF!</v>
      </c>
      <c r="H1035" s="138" t="e">
        <f t="shared" ca="1" si="49"/>
        <v>#REF!</v>
      </c>
      <c r="I1035" s="136" t="e">
        <f t="shared" ca="1" si="50"/>
        <v>#REF!</v>
      </c>
    </row>
    <row r="1036" spans="1:9" hidden="1" x14ac:dyDescent="0.25">
      <c r="A1036" s="114" t="s">
        <v>1167</v>
      </c>
      <c r="B1036" s="115" t="s">
        <v>2984</v>
      </c>
      <c r="C1036" s="116" t="s">
        <v>95</v>
      </c>
      <c r="D1036" s="116">
        <v>0</v>
      </c>
      <c r="E1036" s="135">
        <f ca="1">OFFSET(INDEX(Composições!A:J,MATCH(Orçamentária!A1036,Composições!A:A,0),8),2,0)</f>
        <v>213.75</v>
      </c>
      <c r="F1036" s="136">
        <f t="shared" ca="1" si="48"/>
        <v>0</v>
      </c>
      <c r="G1036" s="137" t="e">
        <f>IF(A1036&lt;&gt;"",IF(AND(#REF!="Padrão",$H$4=#REF!),BDI!$B$17,IF(AND(#REF!="Padrão",$H$4=#REF!),BDI!#REF!,IF(AND(#REF!="Diferenciado",$H$4=#REF!),BDI!$E$17,IF(AND(#REF!="Diferenciado",$H$4=#REF!),BDI!#REF!,IF(#REF!="ZERO",0))))),"")</f>
        <v>#REF!</v>
      </c>
      <c r="H1036" s="138" t="e">
        <f t="shared" ca="1" si="49"/>
        <v>#REF!</v>
      </c>
      <c r="I1036" s="136" t="e">
        <f t="shared" ca="1" si="50"/>
        <v>#REF!</v>
      </c>
    </row>
    <row r="1037" spans="1:9" ht="25.5" hidden="1" x14ac:dyDescent="0.25">
      <c r="A1037" s="114" t="s">
        <v>2985</v>
      </c>
      <c r="B1037" s="115" t="s">
        <v>2986</v>
      </c>
      <c r="C1037" s="116" t="s">
        <v>2533</v>
      </c>
      <c r="D1037" s="116">
        <v>0</v>
      </c>
      <c r="E1037" s="135" t="s">
        <v>558</v>
      </c>
      <c r="F1037" s="136" t="str">
        <f t="shared" si="48"/>
        <v/>
      </c>
      <c r="G1037" s="137" t="e">
        <f>IF(A1037&lt;&gt;"",IF(AND(#REF!="Padrão",$H$4=#REF!),BDI!$B$17,IF(AND(#REF!="Padrão",$H$4=#REF!),BDI!#REF!,IF(AND(#REF!="Diferenciado",$H$4=#REF!),BDI!$E$17,IF(AND(#REF!="Diferenciado",$H$4=#REF!),BDI!#REF!,IF(#REF!="ZERO",0))))),"")</f>
        <v>#REF!</v>
      </c>
      <c r="H1037" s="138" t="str">
        <f t="shared" si="49"/>
        <v/>
      </c>
      <c r="I1037" s="136" t="str">
        <f t="shared" si="50"/>
        <v/>
      </c>
    </row>
    <row r="1038" spans="1:9" hidden="1" x14ac:dyDescent="0.25">
      <c r="A1038" s="114" t="s">
        <v>2987</v>
      </c>
      <c r="B1038" s="115" t="s">
        <v>2988</v>
      </c>
      <c r="C1038" s="116" t="s">
        <v>2533</v>
      </c>
      <c r="D1038" s="116">
        <v>0</v>
      </c>
      <c r="E1038" s="135" t="s">
        <v>558</v>
      </c>
      <c r="F1038" s="136" t="str">
        <f t="shared" si="48"/>
        <v/>
      </c>
      <c r="G1038" s="137" t="e">
        <f>IF(A1038&lt;&gt;"",IF(AND(#REF!="Padrão",$H$4=#REF!),BDI!$B$17,IF(AND(#REF!="Padrão",$H$4=#REF!),BDI!#REF!,IF(AND(#REF!="Diferenciado",$H$4=#REF!),BDI!$E$17,IF(AND(#REF!="Diferenciado",$H$4=#REF!),BDI!#REF!,IF(#REF!="ZERO",0))))),"")</f>
        <v>#REF!</v>
      </c>
      <c r="H1038" s="138" t="str">
        <f t="shared" si="49"/>
        <v/>
      </c>
      <c r="I1038" s="136" t="str">
        <f t="shared" si="50"/>
        <v/>
      </c>
    </row>
    <row r="1039" spans="1:9" hidden="1" x14ac:dyDescent="0.25">
      <c r="A1039" s="114" t="s">
        <v>2989</v>
      </c>
      <c r="B1039" s="115" t="s">
        <v>2990</v>
      </c>
      <c r="C1039" s="116" t="s">
        <v>2533</v>
      </c>
      <c r="D1039" s="116">
        <v>0</v>
      </c>
      <c r="E1039" s="135" t="s">
        <v>558</v>
      </c>
      <c r="F1039" s="136" t="str">
        <f t="shared" si="48"/>
        <v/>
      </c>
      <c r="G1039" s="137" t="e">
        <f>IF(A1039&lt;&gt;"",IF(AND(#REF!="Padrão",$H$4=#REF!),BDI!$B$17,IF(AND(#REF!="Padrão",$H$4=#REF!),BDI!#REF!,IF(AND(#REF!="Diferenciado",$H$4=#REF!),BDI!$E$17,IF(AND(#REF!="Diferenciado",$H$4=#REF!),BDI!#REF!,IF(#REF!="ZERO",0))))),"")</f>
        <v>#REF!</v>
      </c>
      <c r="H1039" s="138" t="str">
        <f t="shared" si="49"/>
        <v/>
      </c>
      <c r="I1039" s="136" t="str">
        <f t="shared" si="50"/>
        <v/>
      </c>
    </row>
    <row r="1040" spans="1:9" hidden="1" x14ac:dyDescent="0.25">
      <c r="A1040" s="114" t="s">
        <v>2991</v>
      </c>
      <c r="B1040" s="115" t="s">
        <v>2992</v>
      </c>
      <c r="C1040" s="116" t="s">
        <v>2533</v>
      </c>
      <c r="D1040" s="116">
        <v>0</v>
      </c>
      <c r="E1040" s="135" t="s">
        <v>558</v>
      </c>
      <c r="F1040" s="136" t="str">
        <f t="shared" si="48"/>
        <v/>
      </c>
      <c r="G1040" s="137" t="e">
        <f>IF(A1040&lt;&gt;"",IF(AND(#REF!="Padrão",$H$4=#REF!),BDI!$B$17,IF(AND(#REF!="Padrão",$H$4=#REF!),BDI!#REF!,IF(AND(#REF!="Diferenciado",$H$4=#REF!),BDI!$E$17,IF(AND(#REF!="Diferenciado",$H$4=#REF!),BDI!#REF!,IF(#REF!="ZERO",0))))),"")</f>
        <v>#REF!</v>
      </c>
      <c r="H1040" s="138" t="str">
        <f t="shared" si="49"/>
        <v/>
      </c>
      <c r="I1040" s="136" t="str">
        <f t="shared" si="50"/>
        <v/>
      </c>
    </row>
    <row r="1041" spans="1:9" hidden="1" x14ac:dyDescent="0.25">
      <c r="A1041" s="114" t="s">
        <v>2993</v>
      </c>
      <c r="B1041" s="115" t="s">
        <v>2994</v>
      </c>
      <c r="C1041" s="116" t="s">
        <v>2533</v>
      </c>
      <c r="D1041" s="116">
        <v>0</v>
      </c>
      <c r="E1041" s="135" t="s">
        <v>558</v>
      </c>
      <c r="F1041" s="136" t="str">
        <f t="shared" si="48"/>
        <v/>
      </c>
      <c r="G1041" s="137" t="e">
        <f>IF(A1041&lt;&gt;"",IF(AND(#REF!="Padrão",$H$4=#REF!),BDI!$B$17,IF(AND(#REF!="Padrão",$H$4=#REF!),BDI!#REF!,IF(AND(#REF!="Diferenciado",$H$4=#REF!),BDI!$E$17,IF(AND(#REF!="Diferenciado",$H$4=#REF!),BDI!#REF!,IF(#REF!="ZERO",0))))),"")</f>
        <v>#REF!</v>
      </c>
      <c r="H1041" s="138" t="str">
        <f t="shared" si="49"/>
        <v/>
      </c>
      <c r="I1041" s="136" t="str">
        <f t="shared" si="50"/>
        <v/>
      </c>
    </row>
    <row r="1042" spans="1:9" hidden="1" x14ac:dyDescent="0.25">
      <c r="A1042" s="114" t="s">
        <v>2995</v>
      </c>
      <c r="B1042" s="115" t="s">
        <v>2996</v>
      </c>
      <c r="C1042" s="116" t="s">
        <v>2533</v>
      </c>
      <c r="D1042" s="116">
        <v>0</v>
      </c>
      <c r="E1042" s="135" t="s">
        <v>558</v>
      </c>
      <c r="F1042" s="136" t="str">
        <f t="shared" si="48"/>
        <v/>
      </c>
      <c r="G1042" s="137" t="e">
        <f>IF(A1042&lt;&gt;"",IF(AND(#REF!="Padrão",$H$4=#REF!),BDI!$B$17,IF(AND(#REF!="Padrão",$H$4=#REF!),BDI!#REF!,IF(AND(#REF!="Diferenciado",$H$4=#REF!),BDI!$E$17,IF(AND(#REF!="Diferenciado",$H$4=#REF!),BDI!#REF!,IF(#REF!="ZERO",0))))),"")</f>
        <v>#REF!</v>
      </c>
      <c r="H1042" s="138" t="str">
        <f t="shared" si="49"/>
        <v/>
      </c>
      <c r="I1042" s="136" t="str">
        <f t="shared" si="50"/>
        <v/>
      </c>
    </row>
    <row r="1043" spans="1:9" hidden="1" x14ac:dyDescent="0.25">
      <c r="A1043" s="114" t="s">
        <v>2997</v>
      </c>
      <c r="B1043" s="115" t="s">
        <v>2998</v>
      </c>
      <c r="C1043" s="116" t="s">
        <v>2533</v>
      </c>
      <c r="D1043" s="116">
        <v>0</v>
      </c>
      <c r="E1043" s="135" t="s">
        <v>558</v>
      </c>
      <c r="F1043" s="136" t="str">
        <f t="shared" si="48"/>
        <v/>
      </c>
      <c r="G1043" s="137" t="e">
        <f>IF(A1043&lt;&gt;"",IF(AND(#REF!="Padrão",$H$4=#REF!),BDI!$B$17,IF(AND(#REF!="Padrão",$H$4=#REF!),BDI!#REF!,IF(AND(#REF!="Diferenciado",$H$4=#REF!),BDI!$E$17,IF(AND(#REF!="Diferenciado",$H$4=#REF!),BDI!#REF!,IF(#REF!="ZERO",0))))),"")</f>
        <v>#REF!</v>
      </c>
      <c r="H1043" s="138" t="str">
        <f t="shared" si="49"/>
        <v/>
      </c>
      <c r="I1043" s="136" t="str">
        <f t="shared" si="50"/>
        <v/>
      </c>
    </row>
    <row r="1044" spans="1:9" hidden="1" x14ac:dyDescent="0.25">
      <c r="A1044" s="114" t="s">
        <v>2999</v>
      </c>
      <c r="B1044" s="115" t="s">
        <v>3000</v>
      </c>
      <c r="C1044" s="116" t="s">
        <v>2533</v>
      </c>
      <c r="D1044" s="116">
        <v>0</v>
      </c>
      <c r="E1044" s="135" t="s">
        <v>558</v>
      </c>
      <c r="F1044" s="136" t="str">
        <f t="shared" si="48"/>
        <v/>
      </c>
      <c r="G1044" s="137" t="e">
        <f>IF(A1044&lt;&gt;"",IF(AND(#REF!="Padrão",$H$4=#REF!),BDI!$B$17,IF(AND(#REF!="Padrão",$H$4=#REF!),BDI!#REF!,IF(AND(#REF!="Diferenciado",$H$4=#REF!),BDI!$E$17,IF(AND(#REF!="Diferenciado",$H$4=#REF!),BDI!#REF!,IF(#REF!="ZERO",0))))),"")</f>
        <v>#REF!</v>
      </c>
      <c r="H1044" s="138" t="str">
        <f t="shared" si="49"/>
        <v/>
      </c>
      <c r="I1044" s="136" t="str">
        <f t="shared" si="50"/>
        <v/>
      </c>
    </row>
    <row r="1045" spans="1:9" hidden="1" x14ac:dyDescent="0.25">
      <c r="A1045" s="114" t="s">
        <v>3001</v>
      </c>
      <c r="B1045" s="115" t="s">
        <v>3002</v>
      </c>
      <c r="C1045" s="116" t="s">
        <v>2533</v>
      </c>
      <c r="D1045" s="116">
        <v>0</v>
      </c>
      <c r="E1045" s="135" t="s">
        <v>558</v>
      </c>
      <c r="F1045" s="136" t="str">
        <f t="shared" si="48"/>
        <v/>
      </c>
      <c r="G1045" s="137" t="e">
        <f>IF(A1045&lt;&gt;"",IF(AND(#REF!="Padrão",$H$4=#REF!),BDI!$B$17,IF(AND(#REF!="Padrão",$H$4=#REF!),BDI!#REF!,IF(AND(#REF!="Diferenciado",$H$4=#REF!),BDI!$E$17,IF(AND(#REF!="Diferenciado",$H$4=#REF!),BDI!#REF!,IF(#REF!="ZERO",0))))),"")</f>
        <v>#REF!</v>
      </c>
      <c r="H1045" s="138" t="str">
        <f t="shared" si="49"/>
        <v/>
      </c>
      <c r="I1045" s="136" t="str">
        <f t="shared" si="50"/>
        <v/>
      </c>
    </row>
    <row r="1046" spans="1:9" hidden="1" x14ac:dyDescent="0.25">
      <c r="A1046" s="114" t="s">
        <v>1169</v>
      </c>
      <c r="B1046" s="115" t="s">
        <v>3003</v>
      </c>
      <c r="C1046" s="116" t="s">
        <v>2533</v>
      </c>
      <c r="D1046" s="116">
        <v>0</v>
      </c>
      <c r="E1046" s="135">
        <f ca="1">OFFSET(INDEX(Composições!A:J,MATCH(Orçamentária!A1046,Composições!A:A,0),8),2,0)</f>
        <v>3900.9940325999996</v>
      </c>
      <c r="F1046" s="136">
        <f t="shared" ca="1" si="48"/>
        <v>0</v>
      </c>
      <c r="G1046" s="137" t="e">
        <f>IF(A1046&lt;&gt;"",IF(AND(#REF!="Padrão",$H$4=#REF!),BDI!$B$17,IF(AND(#REF!="Padrão",$H$4=#REF!),BDI!#REF!,IF(AND(#REF!="Diferenciado",$H$4=#REF!),BDI!$E$17,IF(AND(#REF!="Diferenciado",$H$4=#REF!),BDI!#REF!,IF(#REF!="ZERO",0))))),"")</f>
        <v>#REF!</v>
      </c>
      <c r="H1046" s="138" t="e">
        <f t="shared" ca="1" si="49"/>
        <v>#REF!</v>
      </c>
      <c r="I1046" s="136" t="e">
        <f t="shared" ca="1" si="50"/>
        <v>#REF!</v>
      </c>
    </row>
    <row r="1047" spans="1:9" hidden="1" x14ac:dyDescent="0.25">
      <c r="A1047" s="114" t="s">
        <v>3004</v>
      </c>
      <c r="B1047" s="115" t="s">
        <v>3005</v>
      </c>
      <c r="C1047" s="116" t="s">
        <v>2744</v>
      </c>
      <c r="D1047" s="116">
        <v>0</v>
      </c>
      <c r="E1047" s="135" t="s">
        <v>558</v>
      </c>
      <c r="F1047" s="136" t="str">
        <f t="shared" si="48"/>
        <v/>
      </c>
      <c r="G1047" s="137" t="e">
        <f>IF(A1047&lt;&gt;"",IF(AND(#REF!="Padrão",$H$4=#REF!),BDI!$B$17,IF(AND(#REF!="Padrão",$H$4=#REF!),BDI!#REF!,IF(AND(#REF!="Diferenciado",$H$4=#REF!),BDI!$E$17,IF(AND(#REF!="Diferenciado",$H$4=#REF!),BDI!#REF!,IF(#REF!="ZERO",0))))),"")</f>
        <v>#REF!</v>
      </c>
      <c r="H1047" s="138" t="str">
        <f t="shared" si="49"/>
        <v/>
      </c>
      <c r="I1047" s="136" t="str">
        <f t="shared" si="50"/>
        <v/>
      </c>
    </row>
    <row r="1048" spans="1:9" hidden="1" x14ac:dyDescent="0.25">
      <c r="A1048" s="114" t="s">
        <v>3006</v>
      </c>
      <c r="B1048" s="115" t="s">
        <v>3007</v>
      </c>
      <c r="C1048" s="116" t="s">
        <v>2744</v>
      </c>
      <c r="D1048" s="116">
        <v>0</v>
      </c>
      <c r="E1048" s="135" t="s">
        <v>558</v>
      </c>
      <c r="F1048" s="136" t="str">
        <f t="shared" si="48"/>
        <v/>
      </c>
      <c r="G1048" s="137" t="e">
        <f>IF(A1048&lt;&gt;"",IF(AND(#REF!="Padrão",$H$4=#REF!),BDI!$B$17,IF(AND(#REF!="Padrão",$H$4=#REF!),BDI!#REF!,IF(AND(#REF!="Diferenciado",$H$4=#REF!),BDI!$E$17,IF(AND(#REF!="Diferenciado",$H$4=#REF!),BDI!#REF!,IF(#REF!="ZERO",0))))),"")</f>
        <v>#REF!</v>
      </c>
      <c r="H1048" s="138" t="str">
        <f t="shared" si="49"/>
        <v/>
      </c>
      <c r="I1048" s="136" t="str">
        <f t="shared" si="50"/>
        <v/>
      </c>
    </row>
    <row r="1049" spans="1:9" hidden="1" x14ac:dyDescent="0.25">
      <c r="A1049" s="114" t="s">
        <v>3008</v>
      </c>
      <c r="B1049" s="115" t="s">
        <v>3009</v>
      </c>
      <c r="C1049" s="116" t="s">
        <v>2744</v>
      </c>
      <c r="D1049" s="116">
        <v>0</v>
      </c>
      <c r="E1049" s="135" t="s">
        <v>558</v>
      </c>
      <c r="F1049" s="136" t="str">
        <f t="shared" si="48"/>
        <v/>
      </c>
      <c r="G1049" s="137" t="e">
        <f>IF(A1049&lt;&gt;"",IF(AND(#REF!="Padrão",$H$4=#REF!),BDI!$B$17,IF(AND(#REF!="Padrão",$H$4=#REF!),BDI!#REF!,IF(AND(#REF!="Diferenciado",$H$4=#REF!),BDI!$E$17,IF(AND(#REF!="Diferenciado",$H$4=#REF!),BDI!#REF!,IF(#REF!="ZERO",0))))),"")</f>
        <v>#REF!</v>
      </c>
      <c r="H1049" s="138" t="str">
        <f t="shared" si="49"/>
        <v/>
      </c>
      <c r="I1049" s="136" t="str">
        <f t="shared" si="50"/>
        <v/>
      </c>
    </row>
    <row r="1050" spans="1:9" hidden="1" x14ac:dyDescent="0.25">
      <c r="A1050" s="114" t="s">
        <v>3010</v>
      </c>
      <c r="B1050" s="115" t="s">
        <v>3011</v>
      </c>
      <c r="C1050" s="116" t="s">
        <v>2744</v>
      </c>
      <c r="D1050" s="116">
        <v>0</v>
      </c>
      <c r="E1050" s="135" t="s">
        <v>558</v>
      </c>
      <c r="F1050" s="136" t="str">
        <f t="shared" si="48"/>
        <v/>
      </c>
      <c r="G1050" s="137" t="e">
        <f>IF(A1050&lt;&gt;"",IF(AND(#REF!="Padrão",$H$4=#REF!),BDI!$B$17,IF(AND(#REF!="Padrão",$H$4=#REF!),BDI!#REF!,IF(AND(#REF!="Diferenciado",$H$4=#REF!),BDI!$E$17,IF(AND(#REF!="Diferenciado",$H$4=#REF!),BDI!#REF!,IF(#REF!="ZERO",0))))),"")</f>
        <v>#REF!</v>
      </c>
      <c r="H1050" s="138" t="str">
        <f t="shared" si="49"/>
        <v/>
      </c>
      <c r="I1050" s="136" t="str">
        <f t="shared" si="50"/>
        <v/>
      </c>
    </row>
    <row r="1051" spans="1:9" hidden="1" x14ac:dyDescent="0.25">
      <c r="A1051" s="114" t="s">
        <v>3012</v>
      </c>
      <c r="B1051" s="115" t="s">
        <v>3013</v>
      </c>
      <c r="C1051" s="116" t="s">
        <v>20</v>
      </c>
      <c r="D1051" s="116">
        <v>0</v>
      </c>
      <c r="E1051" s="135" t="s">
        <v>558</v>
      </c>
      <c r="F1051" s="136" t="str">
        <f t="shared" si="48"/>
        <v/>
      </c>
      <c r="G1051" s="137" t="e">
        <f>IF(A1051&lt;&gt;"",IF(AND(#REF!="Padrão",$H$4=#REF!),BDI!$B$17,IF(AND(#REF!="Padrão",$H$4=#REF!),BDI!#REF!,IF(AND(#REF!="Diferenciado",$H$4=#REF!),BDI!$E$17,IF(AND(#REF!="Diferenciado",$H$4=#REF!),BDI!#REF!,IF(#REF!="ZERO",0))))),"")</f>
        <v>#REF!</v>
      </c>
      <c r="H1051" s="138" t="str">
        <f t="shared" si="49"/>
        <v/>
      </c>
      <c r="I1051" s="136" t="str">
        <f t="shared" si="50"/>
        <v/>
      </c>
    </row>
    <row r="1052" spans="1:9" hidden="1" x14ac:dyDescent="0.25">
      <c r="A1052" s="114" t="s">
        <v>3014</v>
      </c>
      <c r="B1052" s="115" t="s">
        <v>3015</v>
      </c>
      <c r="C1052" s="116" t="s">
        <v>615</v>
      </c>
      <c r="D1052" s="116">
        <v>0</v>
      </c>
      <c r="E1052" s="135" t="s">
        <v>558</v>
      </c>
      <c r="F1052" s="136" t="str">
        <f t="shared" si="48"/>
        <v/>
      </c>
      <c r="G1052" s="137" t="e">
        <f>IF(A1052&lt;&gt;"",IF(AND(#REF!="Padrão",$H$4=#REF!),BDI!$B$17,IF(AND(#REF!="Padrão",$H$4=#REF!),BDI!#REF!,IF(AND(#REF!="Diferenciado",$H$4=#REF!),BDI!$E$17,IF(AND(#REF!="Diferenciado",$H$4=#REF!),BDI!#REF!,IF(#REF!="ZERO",0))))),"")</f>
        <v>#REF!</v>
      </c>
      <c r="H1052" s="138" t="str">
        <f t="shared" si="49"/>
        <v/>
      </c>
      <c r="I1052" s="136" t="str">
        <f t="shared" si="50"/>
        <v/>
      </c>
    </row>
    <row r="1053" spans="1:9" hidden="1" x14ac:dyDescent="0.25">
      <c r="A1053" s="114" t="s">
        <v>3016</v>
      </c>
      <c r="B1053" s="115" t="s">
        <v>3017</v>
      </c>
      <c r="C1053" s="116" t="s">
        <v>615</v>
      </c>
      <c r="D1053" s="116">
        <v>0</v>
      </c>
      <c r="E1053" s="135" t="s">
        <v>558</v>
      </c>
      <c r="F1053" s="136" t="str">
        <f t="shared" si="48"/>
        <v/>
      </c>
      <c r="G1053" s="137" t="e">
        <f>IF(A1053&lt;&gt;"",IF(AND(#REF!="Padrão",$H$4=#REF!),BDI!$B$17,IF(AND(#REF!="Padrão",$H$4=#REF!),BDI!#REF!,IF(AND(#REF!="Diferenciado",$H$4=#REF!),BDI!$E$17,IF(AND(#REF!="Diferenciado",$H$4=#REF!),BDI!#REF!,IF(#REF!="ZERO",0))))),"")</f>
        <v>#REF!</v>
      </c>
      <c r="H1053" s="138" t="str">
        <f t="shared" si="49"/>
        <v/>
      </c>
      <c r="I1053" s="136" t="str">
        <f t="shared" si="50"/>
        <v/>
      </c>
    </row>
    <row r="1054" spans="1:9" hidden="1" x14ac:dyDescent="0.25">
      <c r="A1054" s="114" t="s">
        <v>3018</v>
      </c>
      <c r="B1054" s="115" t="s">
        <v>3019</v>
      </c>
      <c r="C1054" s="116" t="s">
        <v>2744</v>
      </c>
      <c r="D1054" s="116">
        <v>0</v>
      </c>
      <c r="E1054" s="135" t="s">
        <v>558</v>
      </c>
      <c r="F1054" s="136" t="str">
        <f t="shared" si="48"/>
        <v/>
      </c>
      <c r="G1054" s="137" t="e">
        <f>IF(A1054&lt;&gt;"",IF(AND(#REF!="Padrão",$H$4=#REF!),BDI!$B$17,IF(AND(#REF!="Padrão",$H$4=#REF!),BDI!#REF!,IF(AND(#REF!="Diferenciado",$H$4=#REF!),BDI!$E$17,IF(AND(#REF!="Diferenciado",$H$4=#REF!),BDI!#REF!,IF(#REF!="ZERO",0))))),"")</f>
        <v>#REF!</v>
      </c>
      <c r="H1054" s="138" t="str">
        <f t="shared" si="49"/>
        <v/>
      </c>
      <c r="I1054" s="136" t="str">
        <f t="shared" si="50"/>
        <v/>
      </c>
    </row>
    <row r="1055" spans="1:9" hidden="1" x14ac:dyDescent="0.25">
      <c r="A1055" s="114" t="s">
        <v>3020</v>
      </c>
      <c r="B1055" s="115" t="s">
        <v>6398</v>
      </c>
      <c r="C1055" s="116" t="s">
        <v>20</v>
      </c>
      <c r="D1055" s="116">
        <v>0</v>
      </c>
      <c r="E1055" s="135" t="s">
        <v>558</v>
      </c>
      <c r="F1055" s="136" t="str">
        <f t="shared" si="48"/>
        <v/>
      </c>
      <c r="G1055" s="137" t="e">
        <f>IF(A1055&lt;&gt;"",IF(AND(#REF!="Padrão",$H$4=#REF!),BDI!$B$17,IF(AND(#REF!="Padrão",$H$4=#REF!),BDI!#REF!,IF(AND(#REF!="Diferenciado",$H$4=#REF!),BDI!$E$17,IF(AND(#REF!="Diferenciado",$H$4=#REF!),BDI!#REF!,IF(#REF!="ZERO",0))))),"")</f>
        <v>#REF!</v>
      </c>
      <c r="H1055" s="138" t="str">
        <f t="shared" si="49"/>
        <v/>
      </c>
      <c r="I1055" s="136" t="str">
        <f t="shared" si="50"/>
        <v/>
      </c>
    </row>
    <row r="1056" spans="1:9" hidden="1" x14ac:dyDescent="0.25">
      <c r="A1056" s="114" t="s">
        <v>3021</v>
      </c>
      <c r="B1056" s="115" t="s">
        <v>3022</v>
      </c>
      <c r="C1056" s="116" t="s">
        <v>2744</v>
      </c>
      <c r="D1056" s="116">
        <v>0</v>
      </c>
      <c r="E1056" s="135" t="s">
        <v>558</v>
      </c>
      <c r="F1056" s="136" t="str">
        <f t="shared" si="48"/>
        <v/>
      </c>
      <c r="G1056" s="137" t="e">
        <f>IF(A1056&lt;&gt;"",IF(AND(#REF!="Padrão",$H$4=#REF!),BDI!$B$17,IF(AND(#REF!="Padrão",$H$4=#REF!),BDI!#REF!,IF(AND(#REF!="Diferenciado",$H$4=#REF!),BDI!$E$17,IF(AND(#REF!="Diferenciado",$H$4=#REF!),BDI!#REF!,IF(#REF!="ZERO",0))))),"")</f>
        <v>#REF!</v>
      </c>
      <c r="H1056" s="138" t="str">
        <f t="shared" si="49"/>
        <v/>
      </c>
      <c r="I1056" s="136" t="str">
        <f t="shared" si="50"/>
        <v/>
      </c>
    </row>
    <row r="1057" spans="1:9" hidden="1" x14ac:dyDescent="0.25">
      <c r="A1057" s="114" t="s">
        <v>3023</v>
      </c>
      <c r="B1057" s="115" t="s">
        <v>3024</v>
      </c>
      <c r="C1057" s="116" t="s">
        <v>1994</v>
      </c>
      <c r="D1057" s="116">
        <v>0</v>
      </c>
      <c r="E1057" s="135" t="s">
        <v>558</v>
      </c>
      <c r="F1057" s="136" t="str">
        <f t="shared" si="48"/>
        <v/>
      </c>
      <c r="G1057" s="137" t="e">
        <f>IF(A1057&lt;&gt;"",IF(AND(#REF!="Padrão",$H$4=#REF!),BDI!$B$17,IF(AND(#REF!="Padrão",$H$4=#REF!),BDI!#REF!,IF(AND(#REF!="Diferenciado",$H$4=#REF!),BDI!$E$17,IF(AND(#REF!="Diferenciado",$H$4=#REF!),BDI!#REF!,IF(#REF!="ZERO",0))))),"")</f>
        <v>#REF!</v>
      </c>
      <c r="H1057" s="138" t="str">
        <f t="shared" si="49"/>
        <v/>
      </c>
      <c r="I1057" s="136" t="str">
        <f t="shared" si="50"/>
        <v/>
      </c>
    </row>
    <row r="1058" spans="1:9" hidden="1" x14ac:dyDescent="0.25">
      <c r="A1058" s="114" t="s">
        <v>1171</v>
      </c>
      <c r="B1058" s="115" t="s">
        <v>3025</v>
      </c>
      <c r="C1058" s="116" t="s">
        <v>6353</v>
      </c>
      <c r="D1058" s="116">
        <v>0</v>
      </c>
      <c r="E1058" s="135">
        <f ca="1">OFFSET(INDEX(Composições!A:J,MATCH(Orçamentária!A1058,Composições!A:A,0),8),2,0)</f>
        <v>0.18914500000000001</v>
      </c>
      <c r="F1058" s="136">
        <f t="shared" ca="1" si="48"/>
        <v>0</v>
      </c>
      <c r="G1058" s="137" t="e">
        <f>IF(A1058&lt;&gt;"",IF(AND(#REF!="Padrão",$H$4=#REF!),BDI!$B$17,IF(AND(#REF!="Padrão",$H$4=#REF!),BDI!#REF!,IF(AND(#REF!="Diferenciado",$H$4=#REF!),BDI!$E$17,IF(AND(#REF!="Diferenciado",$H$4=#REF!),BDI!#REF!,IF(#REF!="ZERO",0))))),"")</f>
        <v>#REF!</v>
      </c>
      <c r="H1058" s="138" t="e">
        <f t="shared" ca="1" si="49"/>
        <v>#REF!</v>
      </c>
      <c r="I1058" s="136" t="e">
        <f t="shared" ca="1" si="50"/>
        <v>#REF!</v>
      </c>
    </row>
    <row r="1059" spans="1:9" hidden="1" x14ac:dyDescent="0.25">
      <c r="A1059" s="114" t="s">
        <v>1173</v>
      </c>
      <c r="B1059" s="115" t="s">
        <v>3026</v>
      </c>
      <c r="C1059" s="116" t="s">
        <v>93</v>
      </c>
      <c r="D1059" s="116">
        <v>0</v>
      </c>
      <c r="E1059" s="135">
        <f ca="1">OFFSET(INDEX(Composições!A:J,MATCH(Orçamentária!A1059,Composições!A:A,0),8),2,0)</f>
        <v>31.385361043721694</v>
      </c>
      <c r="F1059" s="136">
        <f t="shared" ca="1" si="48"/>
        <v>0</v>
      </c>
      <c r="G1059" s="137" t="e">
        <f>IF(A1059&lt;&gt;"",IF(AND(#REF!="Padrão",$H$4=#REF!),BDI!$B$17,IF(AND(#REF!="Padrão",$H$4=#REF!),BDI!#REF!,IF(AND(#REF!="Diferenciado",$H$4=#REF!),BDI!$E$17,IF(AND(#REF!="Diferenciado",$H$4=#REF!),BDI!#REF!,IF(#REF!="ZERO",0))))),"")</f>
        <v>#REF!</v>
      </c>
      <c r="H1059" s="138" t="e">
        <f t="shared" ca="1" si="49"/>
        <v>#REF!</v>
      </c>
      <c r="I1059" s="136" t="e">
        <f t="shared" ca="1" si="50"/>
        <v>#REF!</v>
      </c>
    </row>
    <row r="1060" spans="1:9" hidden="1" x14ac:dyDescent="0.25">
      <c r="A1060" s="114" t="s">
        <v>3027</v>
      </c>
      <c r="B1060" s="115" t="s">
        <v>6399</v>
      </c>
      <c r="C1060" s="116" t="s">
        <v>20</v>
      </c>
      <c r="D1060" s="116">
        <v>0</v>
      </c>
      <c r="E1060" s="135" t="s">
        <v>558</v>
      </c>
      <c r="F1060" s="136" t="str">
        <f t="shared" si="48"/>
        <v/>
      </c>
      <c r="G1060" s="137" t="e">
        <f>IF(A1060&lt;&gt;"",IF(AND(#REF!="Padrão",$H$4=#REF!),BDI!$B$17,IF(AND(#REF!="Padrão",$H$4=#REF!),BDI!#REF!,IF(AND(#REF!="Diferenciado",$H$4=#REF!),BDI!$E$17,IF(AND(#REF!="Diferenciado",$H$4=#REF!),BDI!#REF!,IF(#REF!="ZERO",0))))),"")</f>
        <v>#REF!</v>
      </c>
      <c r="H1060" s="138" t="str">
        <f t="shared" si="49"/>
        <v/>
      </c>
      <c r="I1060" s="136" t="str">
        <f t="shared" si="50"/>
        <v/>
      </c>
    </row>
    <row r="1061" spans="1:9" ht="25.5" hidden="1" x14ac:dyDescent="0.25">
      <c r="A1061" s="114" t="s">
        <v>3028</v>
      </c>
      <c r="B1061" s="115" t="s">
        <v>3029</v>
      </c>
      <c r="C1061" s="116" t="s">
        <v>20</v>
      </c>
      <c r="D1061" s="116">
        <v>0</v>
      </c>
      <c r="E1061" s="135" t="s">
        <v>558</v>
      </c>
      <c r="F1061" s="136" t="str">
        <f t="shared" si="48"/>
        <v/>
      </c>
      <c r="G1061" s="137" t="e">
        <f>IF(A1061&lt;&gt;"",IF(AND(#REF!="Padrão",$H$4=#REF!),BDI!$B$17,IF(AND(#REF!="Padrão",$H$4=#REF!),BDI!#REF!,IF(AND(#REF!="Diferenciado",$H$4=#REF!),BDI!$E$17,IF(AND(#REF!="Diferenciado",$H$4=#REF!),BDI!#REF!,IF(#REF!="ZERO",0))))),"")</f>
        <v>#REF!</v>
      </c>
      <c r="H1061" s="138" t="str">
        <f t="shared" si="49"/>
        <v/>
      </c>
      <c r="I1061" s="136" t="str">
        <f t="shared" si="50"/>
        <v/>
      </c>
    </row>
    <row r="1062" spans="1:9" hidden="1" x14ac:dyDescent="0.25">
      <c r="A1062" s="114" t="s">
        <v>3030</v>
      </c>
      <c r="B1062" s="115" t="s">
        <v>3031</v>
      </c>
      <c r="C1062" s="116" t="s">
        <v>20</v>
      </c>
      <c r="D1062" s="116">
        <v>0</v>
      </c>
      <c r="E1062" s="135" t="s">
        <v>558</v>
      </c>
      <c r="F1062" s="136" t="str">
        <f t="shared" si="48"/>
        <v/>
      </c>
      <c r="G1062" s="137" t="e">
        <f>IF(A1062&lt;&gt;"",IF(AND(#REF!="Padrão",$H$4=#REF!),BDI!$B$17,IF(AND(#REF!="Padrão",$H$4=#REF!),BDI!#REF!,IF(AND(#REF!="Diferenciado",$H$4=#REF!),BDI!$E$17,IF(AND(#REF!="Diferenciado",$H$4=#REF!),BDI!#REF!,IF(#REF!="ZERO",0))))),"")</f>
        <v>#REF!</v>
      </c>
      <c r="H1062" s="138" t="str">
        <f t="shared" si="49"/>
        <v/>
      </c>
      <c r="I1062" s="136" t="str">
        <f t="shared" si="50"/>
        <v/>
      </c>
    </row>
    <row r="1063" spans="1:9" hidden="1" x14ac:dyDescent="0.25">
      <c r="A1063" s="114" t="s">
        <v>3032</v>
      </c>
      <c r="B1063" s="115" t="s">
        <v>3033</v>
      </c>
      <c r="C1063" s="116" t="s">
        <v>20</v>
      </c>
      <c r="D1063" s="116">
        <v>0</v>
      </c>
      <c r="E1063" s="135" t="s">
        <v>558</v>
      </c>
      <c r="F1063" s="136" t="str">
        <f t="shared" si="48"/>
        <v/>
      </c>
      <c r="G1063" s="137" t="e">
        <f>IF(A1063&lt;&gt;"",IF(AND(#REF!="Padrão",$H$4=#REF!),BDI!$B$17,IF(AND(#REF!="Padrão",$H$4=#REF!),BDI!#REF!,IF(AND(#REF!="Diferenciado",$H$4=#REF!),BDI!$E$17,IF(AND(#REF!="Diferenciado",$H$4=#REF!),BDI!#REF!,IF(#REF!="ZERO",0))))),"")</f>
        <v>#REF!</v>
      </c>
      <c r="H1063" s="138" t="str">
        <f t="shared" si="49"/>
        <v/>
      </c>
      <c r="I1063" s="136" t="str">
        <f t="shared" si="50"/>
        <v/>
      </c>
    </row>
    <row r="1064" spans="1:9" hidden="1" x14ac:dyDescent="0.25">
      <c r="A1064" s="114" t="s">
        <v>1177</v>
      </c>
      <c r="B1064" s="115" t="s">
        <v>3034</v>
      </c>
      <c r="C1064" s="116" t="s">
        <v>95</v>
      </c>
      <c r="D1064" s="116">
        <v>0</v>
      </c>
      <c r="E1064" s="135">
        <f ca="1">OFFSET(INDEX(Composições!A:J,MATCH(Orçamentária!A1064,Composições!A:A,0),8),2,0)</f>
        <v>122.71869719999999</v>
      </c>
      <c r="F1064" s="136">
        <f t="shared" ca="1" si="48"/>
        <v>0</v>
      </c>
      <c r="G1064" s="137" t="e">
        <f>IF(A1064&lt;&gt;"",IF(AND(#REF!="Padrão",$H$4=#REF!),BDI!$B$17,IF(AND(#REF!="Padrão",$H$4=#REF!),BDI!#REF!,IF(AND(#REF!="Diferenciado",$H$4=#REF!),BDI!$E$17,IF(AND(#REF!="Diferenciado",$H$4=#REF!),BDI!#REF!,IF(#REF!="ZERO",0))))),"")</f>
        <v>#REF!</v>
      </c>
      <c r="H1064" s="138" t="e">
        <f t="shared" ca="1" si="49"/>
        <v>#REF!</v>
      </c>
      <c r="I1064" s="136" t="e">
        <f t="shared" ca="1" si="50"/>
        <v>#REF!</v>
      </c>
    </row>
    <row r="1065" spans="1:9" hidden="1" x14ac:dyDescent="0.25">
      <c r="A1065" s="114" t="s">
        <v>1179</v>
      </c>
      <c r="B1065" s="115" t="s">
        <v>3035</v>
      </c>
      <c r="C1065" s="116" t="s">
        <v>95</v>
      </c>
      <c r="D1065" s="116">
        <v>0</v>
      </c>
      <c r="E1065" s="135">
        <f ca="1">OFFSET(INDEX(Composições!A:J,MATCH(Orçamentária!A1065,Composições!A:A,0),8),2,0)</f>
        <v>462.84292790000001</v>
      </c>
      <c r="F1065" s="136">
        <f t="shared" ca="1" si="48"/>
        <v>0</v>
      </c>
      <c r="G1065" s="137" t="e">
        <f>IF(A1065&lt;&gt;"",IF(AND(#REF!="Padrão",$H$4=#REF!),BDI!$B$17,IF(AND(#REF!="Padrão",$H$4=#REF!),BDI!#REF!,IF(AND(#REF!="Diferenciado",$H$4=#REF!),BDI!$E$17,IF(AND(#REF!="Diferenciado",$H$4=#REF!),BDI!#REF!,IF(#REF!="ZERO",0))))),"")</f>
        <v>#REF!</v>
      </c>
      <c r="H1065" s="138" t="e">
        <f t="shared" ca="1" si="49"/>
        <v>#REF!</v>
      </c>
      <c r="I1065" s="136" t="e">
        <f t="shared" ca="1" si="50"/>
        <v>#REF!</v>
      </c>
    </row>
    <row r="1066" spans="1:9" hidden="1" x14ac:dyDescent="0.25">
      <c r="A1066" s="114" t="s">
        <v>1184</v>
      </c>
      <c r="B1066" s="115" t="s">
        <v>6400</v>
      </c>
      <c r="C1066" s="116" t="s">
        <v>95</v>
      </c>
      <c r="D1066" s="116">
        <v>0</v>
      </c>
      <c r="E1066" s="135">
        <f ca="1">OFFSET(INDEX(Composições!A:J,MATCH(Orçamentária!A1066,Composições!A:A,0),8),2,0)</f>
        <v>486.86990419999995</v>
      </c>
      <c r="F1066" s="136">
        <f t="shared" ca="1" si="48"/>
        <v>0</v>
      </c>
      <c r="G1066" s="137" t="e">
        <f>IF(A1066&lt;&gt;"",IF(AND(#REF!="Padrão",$H$4=#REF!),BDI!$B$17,IF(AND(#REF!="Padrão",$H$4=#REF!),BDI!#REF!,IF(AND(#REF!="Diferenciado",$H$4=#REF!),BDI!$E$17,IF(AND(#REF!="Diferenciado",$H$4=#REF!),BDI!#REF!,IF(#REF!="ZERO",0))))),"")</f>
        <v>#REF!</v>
      </c>
      <c r="H1066" s="138" t="e">
        <f t="shared" ca="1" si="49"/>
        <v>#REF!</v>
      </c>
      <c r="I1066" s="136" t="e">
        <f t="shared" ca="1" si="50"/>
        <v>#REF!</v>
      </c>
    </row>
    <row r="1067" spans="1:9" hidden="1" x14ac:dyDescent="0.25">
      <c r="A1067" s="114" t="s">
        <v>1187</v>
      </c>
      <c r="B1067" s="115" t="s">
        <v>3036</v>
      </c>
      <c r="C1067" s="116" t="s">
        <v>95</v>
      </c>
      <c r="D1067" s="116">
        <v>0</v>
      </c>
      <c r="E1067" s="135">
        <f ca="1">OFFSET(INDEX(Composições!A:J,MATCH(Orçamentária!A1067,Composições!A:A,0),8),2,0)</f>
        <v>443.41251303589996</v>
      </c>
      <c r="F1067" s="136">
        <f t="shared" ca="1" si="48"/>
        <v>0</v>
      </c>
      <c r="G1067" s="137" t="e">
        <f>IF(A1067&lt;&gt;"",IF(AND(#REF!="Padrão",$H$4=#REF!),BDI!$B$17,IF(AND(#REF!="Padrão",$H$4=#REF!),BDI!#REF!,IF(AND(#REF!="Diferenciado",$H$4=#REF!),BDI!$E$17,IF(AND(#REF!="Diferenciado",$H$4=#REF!),BDI!#REF!,IF(#REF!="ZERO",0))))),"")</f>
        <v>#REF!</v>
      </c>
      <c r="H1067" s="138" t="e">
        <f t="shared" ca="1" si="49"/>
        <v>#REF!</v>
      </c>
      <c r="I1067" s="136" t="e">
        <f t="shared" ca="1" si="50"/>
        <v>#REF!</v>
      </c>
    </row>
    <row r="1068" spans="1:9" hidden="1" x14ac:dyDescent="0.25">
      <c r="A1068" s="114" t="s">
        <v>1189</v>
      </c>
      <c r="B1068" s="115" t="s">
        <v>3037</v>
      </c>
      <c r="C1068" s="116" t="s">
        <v>20</v>
      </c>
      <c r="D1068" s="116">
        <v>0</v>
      </c>
      <c r="E1068" s="135">
        <f ca="1">OFFSET(INDEX(Composições!A:J,MATCH(Orçamentária!A1068,Composições!A:A,0),8),2,0)</f>
        <v>581.99892369999998</v>
      </c>
      <c r="F1068" s="136">
        <f t="shared" ca="1" si="48"/>
        <v>0</v>
      </c>
      <c r="G1068" s="137" t="e">
        <f>IF(A1068&lt;&gt;"",IF(AND(#REF!="Padrão",$H$4=#REF!),BDI!$B$17,IF(AND(#REF!="Padrão",$H$4=#REF!),BDI!#REF!,IF(AND(#REF!="Diferenciado",$H$4=#REF!),BDI!$E$17,IF(AND(#REF!="Diferenciado",$H$4=#REF!),BDI!#REF!,IF(#REF!="ZERO",0))))),"")</f>
        <v>#REF!</v>
      </c>
      <c r="H1068" s="138" t="e">
        <f t="shared" ca="1" si="49"/>
        <v>#REF!</v>
      </c>
      <c r="I1068" s="136" t="e">
        <f t="shared" ca="1" si="50"/>
        <v>#REF!</v>
      </c>
    </row>
    <row r="1069" spans="1:9" hidden="1" x14ac:dyDescent="0.25">
      <c r="A1069" s="114" t="s">
        <v>1199</v>
      </c>
      <c r="B1069" s="115" t="s">
        <v>3038</v>
      </c>
      <c r="C1069" s="116" t="s">
        <v>20</v>
      </c>
      <c r="D1069" s="116">
        <v>0</v>
      </c>
      <c r="E1069" s="135">
        <f ca="1">OFFSET(INDEX(Composições!A:J,MATCH(Orçamentária!A1069,Composições!A:A,0),8),2,0)</f>
        <v>8.0782015000000005</v>
      </c>
      <c r="F1069" s="136">
        <f t="shared" ca="1" si="48"/>
        <v>0</v>
      </c>
      <c r="G1069" s="137" t="e">
        <f>IF(A1069&lt;&gt;"",IF(AND(#REF!="Padrão",$H$4=#REF!),BDI!$B$17,IF(AND(#REF!="Padrão",$H$4=#REF!),BDI!#REF!,IF(AND(#REF!="Diferenciado",$H$4=#REF!),BDI!$E$17,IF(AND(#REF!="Diferenciado",$H$4=#REF!),BDI!#REF!,IF(#REF!="ZERO",0))))),"")</f>
        <v>#REF!</v>
      </c>
      <c r="H1069" s="138" t="e">
        <f t="shared" ca="1" si="49"/>
        <v>#REF!</v>
      </c>
      <c r="I1069" s="136" t="e">
        <f t="shared" ca="1" si="50"/>
        <v>#REF!</v>
      </c>
    </row>
    <row r="1070" spans="1:9" hidden="1" x14ac:dyDescent="0.25">
      <c r="A1070" s="114" t="s">
        <v>1201</v>
      </c>
      <c r="B1070" s="115" t="s">
        <v>3039</v>
      </c>
      <c r="C1070" s="116" t="s">
        <v>110</v>
      </c>
      <c r="D1070" s="116">
        <v>0</v>
      </c>
      <c r="E1070" s="135">
        <f ca="1">OFFSET(INDEX(Composições!A:J,MATCH(Orçamentária!A1070,Composições!A:A,0),8),2,0)</f>
        <v>3049.9222795666492</v>
      </c>
      <c r="F1070" s="136">
        <f t="shared" ca="1" si="48"/>
        <v>0</v>
      </c>
      <c r="G1070" s="137" t="e">
        <f>IF(A1070&lt;&gt;"",IF(AND(#REF!="Padrão",$H$4=#REF!),BDI!$B$17,IF(AND(#REF!="Padrão",$H$4=#REF!),BDI!#REF!,IF(AND(#REF!="Diferenciado",$H$4=#REF!),BDI!$E$17,IF(AND(#REF!="Diferenciado",$H$4=#REF!),BDI!#REF!,IF(#REF!="ZERO",0))))),"")</f>
        <v>#REF!</v>
      </c>
      <c r="H1070" s="138" t="e">
        <f t="shared" ca="1" si="49"/>
        <v>#REF!</v>
      </c>
      <c r="I1070" s="136" t="e">
        <f t="shared" ca="1" si="50"/>
        <v>#REF!</v>
      </c>
    </row>
    <row r="1071" spans="1:9" hidden="1" x14ac:dyDescent="0.25">
      <c r="A1071" s="114" t="s">
        <v>1211</v>
      </c>
      <c r="B1071" s="115" t="s">
        <v>3040</v>
      </c>
      <c r="C1071" s="116" t="s">
        <v>93</v>
      </c>
      <c r="D1071" s="116">
        <v>0</v>
      </c>
      <c r="E1071" s="135">
        <f ca="1">OFFSET(INDEX(Composições!A:J,MATCH(Orçamentária!A1071,Composições!A:A,0),8),2,0)</f>
        <v>17.904308</v>
      </c>
      <c r="F1071" s="136">
        <f t="shared" ca="1" si="48"/>
        <v>0</v>
      </c>
      <c r="G1071" s="137" t="e">
        <f>IF(A1071&lt;&gt;"",IF(AND(#REF!="Padrão",$H$4=#REF!),BDI!$B$17,IF(AND(#REF!="Padrão",$H$4=#REF!),BDI!#REF!,IF(AND(#REF!="Diferenciado",$H$4=#REF!),BDI!$E$17,IF(AND(#REF!="Diferenciado",$H$4=#REF!),BDI!#REF!,IF(#REF!="ZERO",0))))),"")</f>
        <v>#REF!</v>
      </c>
      <c r="H1071" s="138" t="e">
        <f t="shared" ca="1" si="49"/>
        <v>#REF!</v>
      </c>
      <c r="I1071" s="136" t="e">
        <f t="shared" ca="1" si="50"/>
        <v>#REF!</v>
      </c>
    </row>
    <row r="1072" spans="1:9" hidden="1" x14ac:dyDescent="0.25">
      <c r="A1072" s="114" t="s">
        <v>3041</v>
      </c>
      <c r="B1072" s="115" t="s">
        <v>3042</v>
      </c>
      <c r="C1072" s="116" t="s">
        <v>20</v>
      </c>
      <c r="D1072" s="116">
        <v>0</v>
      </c>
      <c r="E1072" s="135" t="s">
        <v>558</v>
      </c>
      <c r="F1072" s="136" t="str">
        <f t="shared" si="48"/>
        <v/>
      </c>
      <c r="G1072" s="137" t="e">
        <f>IF(A1072&lt;&gt;"",IF(AND(#REF!="Padrão",$H$4=#REF!),BDI!$B$17,IF(AND(#REF!="Padrão",$H$4=#REF!),BDI!#REF!,IF(AND(#REF!="Diferenciado",$H$4=#REF!),BDI!$E$17,IF(AND(#REF!="Diferenciado",$H$4=#REF!),BDI!#REF!,IF(#REF!="ZERO",0))))),"")</f>
        <v>#REF!</v>
      </c>
      <c r="H1072" s="138" t="str">
        <f t="shared" si="49"/>
        <v/>
      </c>
      <c r="I1072" s="136" t="str">
        <f t="shared" si="50"/>
        <v/>
      </c>
    </row>
    <row r="1073" spans="1:9" hidden="1" x14ac:dyDescent="0.25">
      <c r="A1073" s="114" t="s">
        <v>1215</v>
      </c>
      <c r="B1073" s="115" t="s">
        <v>3043</v>
      </c>
      <c r="C1073" s="116" t="s">
        <v>93</v>
      </c>
      <c r="D1073" s="116">
        <v>0</v>
      </c>
      <c r="E1073" s="135">
        <f ca="1">OFFSET(INDEX(Composições!A:J,MATCH(Orçamentária!A1073,Composições!A:A,0),8),2,0)</f>
        <v>40.697999999999993</v>
      </c>
      <c r="F1073" s="136">
        <f t="shared" ca="1" si="48"/>
        <v>0</v>
      </c>
      <c r="G1073" s="137" t="e">
        <f>IF(A1073&lt;&gt;"",IF(AND(#REF!="Padrão",$H$4=#REF!),BDI!$B$17,IF(AND(#REF!="Padrão",$H$4=#REF!),BDI!#REF!,IF(AND(#REF!="Diferenciado",$H$4=#REF!),BDI!$E$17,IF(AND(#REF!="Diferenciado",$H$4=#REF!),BDI!#REF!,IF(#REF!="ZERO",0))))),"")</f>
        <v>#REF!</v>
      </c>
      <c r="H1073" s="138" t="e">
        <f t="shared" ca="1" si="49"/>
        <v>#REF!</v>
      </c>
      <c r="I1073" s="136" t="e">
        <f t="shared" ca="1" si="50"/>
        <v>#REF!</v>
      </c>
    </row>
    <row r="1074" spans="1:9" hidden="1" x14ac:dyDescent="0.25">
      <c r="A1074" s="114" t="s">
        <v>1217</v>
      </c>
      <c r="B1074" s="115" t="s">
        <v>3044</v>
      </c>
      <c r="C1074" s="116" t="s">
        <v>93</v>
      </c>
      <c r="D1074" s="116">
        <v>0</v>
      </c>
      <c r="E1074" s="135">
        <f ca="1">OFFSET(INDEX(Composições!A:J,MATCH(Orçamentária!A1074,Composições!A:A,0),8),2,0)</f>
        <v>26.421115</v>
      </c>
      <c r="F1074" s="136">
        <f t="shared" ca="1" si="48"/>
        <v>0</v>
      </c>
      <c r="G1074" s="137" t="e">
        <f>IF(A1074&lt;&gt;"",IF(AND(#REF!="Padrão",$H$4=#REF!),BDI!$B$17,IF(AND(#REF!="Padrão",$H$4=#REF!),BDI!#REF!,IF(AND(#REF!="Diferenciado",$H$4=#REF!),BDI!$E$17,IF(AND(#REF!="Diferenciado",$H$4=#REF!),BDI!#REF!,IF(#REF!="ZERO",0))))),"")</f>
        <v>#REF!</v>
      </c>
      <c r="H1074" s="138" t="e">
        <f t="shared" ca="1" si="49"/>
        <v>#REF!</v>
      </c>
      <c r="I1074" s="136" t="e">
        <f t="shared" ca="1" si="50"/>
        <v>#REF!</v>
      </c>
    </row>
    <row r="1075" spans="1:9" hidden="1" x14ac:dyDescent="0.25">
      <c r="A1075" s="114" t="s">
        <v>1219</v>
      </c>
      <c r="B1075" s="115" t="s">
        <v>3045</v>
      </c>
      <c r="C1075" s="116" t="s">
        <v>95</v>
      </c>
      <c r="D1075" s="116">
        <v>0</v>
      </c>
      <c r="E1075" s="135">
        <f ca="1">OFFSET(INDEX(Composições!A:J,MATCH(Orçamentária!A1075,Composições!A:A,0),8),2,0)</f>
        <v>110.69779715000001</v>
      </c>
      <c r="F1075" s="136">
        <f t="shared" ca="1" si="48"/>
        <v>0</v>
      </c>
      <c r="G1075" s="137" t="e">
        <f>IF(A1075&lt;&gt;"",IF(AND(#REF!="Padrão",$H$4=#REF!),BDI!$B$17,IF(AND(#REF!="Padrão",$H$4=#REF!),BDI!#REF!,IF(AND(#REF!="Diferenciado",$H$4=#REF!),BDI!$E$17,IF(AND(#REF!="Diferenciado",$H$4=#REF!),BDI!#REF!,IF(#REF!="ZERO",0))))),"")</f>
        <v>#REF!</v>
      </c>
      <c r="H1075" s="138" t="e">
        <f t="shared" ca="1" si="49"/>
        <v>#REF!</v>
      </c>
      <c r="I1075" s="136" t="e">
        <f t="shared" ca="1" si="50"/>
        <v>#REF!</v>
      </c>
    </row>
    <row r="1076" spans="1:9" hidden="1" x14ac:dyDescent="0.25">
      <c r="A1076" s="114" t="s">
        <v>1221</v>
      </c>
      <c r="B1076" s="115" t="s">
        <v>3046</v>
      </c>
      <c r="C1076" s="116" t="s">
        <v>20</v>
      </c>
      <c r="D1076" s="116">
        <v>0</v>
      </c>
      <c r="E1076" s="135">
        <f ca="1">OFFSET(INDEX(Composições!A:J,MATCH(Orçamentária!A1076,Composições!A:A,0),8),2,0)</f>
        <v>10.764858499999999</v>
      </c>
      <c r="F1076" s="136">
        <f t="shared" ca="1" si="48"/>
        <v>0</v>
      </c>
      <c r="G1076" s="137" t="e">
        <f>IF(A1076&lt;&gt;"",IF(AND(#REF!="Padrão",$H$4=#REF!),BDI!$B$17,IF(AND(#REF!="Padrão",$H$4=#REF!),BDI!#REF!,IF(AND(#REF!="Diferenciado",$H$4=#REF!),BDI!$E$17,IF(AND(#REF!="Diferenciado",$H$4=#REF!),BDI!#REF!,IF(#REF!="ZERO",0))))),"")</f>
        <v>#REF!</v>
      </c>
      <c r="H1076" s="138" t="e">
        <f t="shared" ca="1" si="49"/>
        <v>#REF!</v>
      </c>
      <c r="I1076" s="136" t="e">
        <f t="shared" ca="1" si="50"/>
        <v>#REF!</v>
      </c>
    </row>
    <row r="1077" spans="1:9" hidden="1" x14ac:dyDescent="0.25">
      <c r="A1077" s="114" t="s">
        <v>1223</v>
      </c>
      <c r="B1077" s="115" t="s">
        <v>3047</v>
      </c>
      <c r="C1077" s="116" t="s">
        <v>95</v>
      </c>
      <c r="D1077" s="116">
        <v>0</v>
      </c>
      <c r="E1077" s="135">
        <f ca="1">OFFSET(INDEX(Composições!A:J,MATCH(Orçamentária!A1077,Composições!A:A,0),8),2,0)</f>
        <v>25.688688749999997</v>
      </c>
      <c r="F1077" s="136">
        <f t="shared" ca="1" si="48"/>
        <v>0</v>
      </c>
      <c r="G1077" s="137" t="e">
        <f>IF(A1077&lt;&gt;"",IF(AND(#REF!="Padrão",$H$4=#REF!),BDI!$B$17,IF(AND(#REF!="Padrão",$H$4=#REF!),BDI!#REF!,IF(AND(#REF!="Diferenciado",$H$4=#REF!),BDI!$E$17,IF(AND(#REF!="Diferenciado",$H$4=#REF!),BDI!#REF!,IF(#REF!="ZERO",0))))),"")</f>
        <v>#REF!</v>
      </c>
      <c r="H1077" s="138" t="e">
        <f t="shared" ca="1" si="49"/>
        <v>#REF!</v>
      </c>
      <c r="I1077" s="136" t="e">
        <f t="shared" ca="1" si="50"/>
        <v>#REF!</v>
      </c>
    </row>
    <row r="1078" spans="1:9" hidden="1" x14ac:dyDescent="0.25">
      <c r="A1078" s="114" t="s">
        <v>1225</v>
      </c>
      <c r="B1078" s="115" t="s">
        <v>3048</v>
      </c>
      <c r="C1078" s="116" t="s">
        <v>95</v>
      </c>
      <c r="D1078" s="116">
        <v>0</v>
      </c>
      <c r="E1078" s="135">
        <f ca="1">OFFSET(INDEX(Composições!A:J,MATCH(Orçamentária!A1078,Composições!A:A,0),8),2,0)</f>
        <v>86.363872999999998</v>
      </c>
      <c r="F1078" s="136">
        <f t="shared" ca="1" si="48"/>
        <v>0</v>
      </c>
      <c r="G1078" s="137" t="e">
        <f>IF(A1078&lt;&gt;"",IF(AND(#REF!="Padrão",$H$4=#REF!),BDI!$B$17,IF(AND(#REF!="Padrão",$H$4=#REF!),BDI!#REF!,IF(AND(#REF!="Diferenciado",$H$4=#REF!),BDI!$E$17,IF(AND(#REF!="Diferenciado",$H$4=#REF!),BDI!#REF!,IF(#REF!="ZERO",0))))),"")</f>
        <v>#REF!</v>
      </c>
      <c r="H1078" s="138" t="e">
        <f t="shared" ca="1" si="49"/>
        <v>#REF!</v>
      </c>
      <c r="I1078" s="136" t="e">
        <f t="shared" ca="1" si="50"/>
        <v>#REF!</v>
      </c>
    </row>
    <row r="1079" spans="1:9" hidden="1" x14ac:dyDescent="0.25">
      <c r="A1079" s="114" t="s">
        <v>1226</v>
      </c>
      <c r="B1079" s="115" t="s">
        <v>3049</v>
      </c>
      <c r="C1079" s="116" t="s">
        <v>20</v>
      </c>
      <c r="D1079" s="116">
        <v>0</v>
      </c>
      <c r="E1079" s="135">
        <f ca="1">OFFSET(INDEX(Composições!A:J,MATCH(Orçamentária!A1079,Composições!A:A,0),8),2,0)</f>
        <v>137.13419988030739</v>
      </c>
      <c r="F1079" s="136">
        <f t="shared" ca="1" si="48"/>
        <v>0</v>
      </c>
      <c r="G1079" s="137" t="e">
        <f>IF(A1079&lt;&gt;"",IF(AND(#REF!="Padrão",$H$4=#REF!),BDI!$B$17,IF(AND(#REF!="Padrão",$H$4=#REF!),BDI!#REF!,IF(AND(#REF!="Diferenciado",$H$4=#REF!),BDI!$E$17,IF(AND(#REF!="Diferenciado",$H$4=#REF!),BDI!#REF!,IF(#REF!="ZERO",0))))),"")</f>
        <v>#REF!</v>
      </c>
      <c r="H1079" s="138" t="e">
        <f t="shared" ca="1" si="49"/>
        <v>#REF!</v>
      </c>
      <c r="I1079" s="136" t="e">
        <f t="shared" ca="1" si="50"/>
        <v>#REF!</v>
      </c>
    </row>
    <row r="1080" spans="1:9" hidden="1" x14ac:dyDescent="0.25">
      <c r="A1080" s="114" t="s">
        <v>3050</v>
      </c>
      <c r="B1080" s="115" t="s">
        <v>3051</v>
      </c>
      <c r="C1080" s="116" t="s">
        <v>20</v>
      </c>
      <c r="D1080" s="116">
        <v>0</v>
      </c>
      <c r="E1080" s="135" t="s">
        <v>558</v>
      </c>
      <c r="F1080" s="136" t="str">
        <f t="shared" si="48"/>
        <v/>
      </c>
      <c r="G1080" s="137" t="e">
        <f>IF(A1080&lt;&gt;"",IF(AND(#REF!="Padrão",$H$4=#REF!),BDI!$B$17,IF(AND(#REF!="Padrão",$H$4=#REF!),BDI!#REF!,IF(AND(#REF!="Diferenciado",$H$4=#REF!),BDI!$E$17,IF(AND(#REF!="Diferenciado",$H$4=#REF!),BDI!#REF!,IF(#REF!="ZERO",0))))),"")</f>
        <v>#REF!</v>
      </c>
      <c r="H1080" s="138" t="str">
        <f t="shared" si="49"/>
        <v/>
      </c>
      <c r="I1080" s="136" t="str">
        <f t="shared" si="50"/>
        <v/>
      </c>
    </row>
    <row r="1081" spans="1:9" hidden="1" x14ac:dyDescent="0.25">
      <c r="A1081" s="114" t="s">
        <v>1228</v>
      </c>
      <c r="B1081" s="115" t="s">
        <v>3052</v>
      </c>
      <c r="C1081" s="116" t="s">
        <v>95</v>
      </c>
      <c r="D1081" s="116">
        <v>0</v>
      </c>
      <c r="E1081" s="135">
        <f ca="1">OFFSET(INDEX(Composições!A:J,MATCH(Orçamentária!A1081,Composições!A:A,0),8),2,0)</f>
        <v>26.350909999999999</v>
      </c>
      <c r="F1081" s="136">
        <f t="shared" ca="1" si="48"/>
        <v>0</v>
      </c>
      <c r="G1081" s="137" t="e">
        <f>IF(A1081&lt;&gt;"",IF(AND(#REF!="Padrão",$H$4=#REF!),BDI!$B$17,IF(AND(#REF!="Padrão",$H$4=#REF!),BDI!#REF!,IF(AND(#REF!="Diferenciado",$H$4=#REF!),BDI!$E$17,IF(AND(#REF!="Diferenciado",$H$4=#REF!),BDI!#REF!,IF(#REF!="ZERO",0))))),"")</f>
        <v>#REF!</v>
      </c>
      <c r="H1081" s="138" t="e">
        <f t="shared" ca="1" si="49"/>
        <v>#REF!</v>
      </c>
      <c r="I1081" s="136" t="e">
        <f t="shared" ca="1" si="50"/>
        <v>#REF!</v>
      </c>
    </row>
    <row r="1082" spans="1:9" hidden="1" x14ac:dyDescent="0.25">
      <c r="A1082" s="114" t="s">
        <v>1230</v>
      </c>
      <c r="B1082" s="115" t="s">
        <v>3053</v>
      </c>
      <c r="C1082" s="116" t="s">
        <v>110</v>
      </c>
      <c r="D1082" s="116">
        <v>0</v>
      </c>
      <c r="E1082" s="135">
        <f ca="1">OFFSET(INDEX(Composições!A:J,MATCH(Orçamentária!A1082,Composições!A:A,0),8),2,0)</f>
        <v>206.66441787499994</v>
      </c>
      <c r="F1082" s="136">
        <f t="shared" ca="1" si="48"/>
        <v>0</v>
      </c>
      <c r="G1082" s="137" t="e">
        <f>IF(A1082&lt;&gt;"",IF(AND(#REF!="Padrão",$H$4=#REF!),BDI!$B$17,IF(AND(#REF!="Padrão",$H$4=#REF!),BDI!#REF!,IF(AND(#REF!="Diferenciado",$H$4=#REF!),BDI!$E$17,IF(AND(#REF!="Diferenciado",$H$4=#REF!),BDI!#REF!,IF(#REF!="ZERO",0))))),"")</f>
        <v>#REF!</v>
      </c>
      <c r="H1082" s="138" t="e">
        <f t="shared" ca="1" si="49"/>
        <v>#REF!</v>
      </c>
      <c r="I1082" s="136" t="e">
        <f t="shared" ca="1" si="50"/>
        <v>#REF!</v>
      </c>
    </row>
    <row r="1083" spans="1:9" hidden="1" x14ac:dyDescent="0.25">
      <c r="A1083" s="114" t="s">
        <v>1232</v>
      </c>
      <c r="B1083" s="115" t="s">
        <v>3054</v>
      </c>
      <c r="C1083" s="116" t="s">
        <v>93</v>
      </c>
      <c r="D1083" s="116">
        <v>0</v>
      </c>
      <c r="E1083" s="135">
        <f ca="1">OFFSET(INDEX(Composições!A:J,MATCH(Orçamentária!A1083,Composições!A:A,0),8),2,0)</f>
        <v>704.95870999999988</v>
      </c>
      <c r="F1083" s="136">
        <f t="shared" ca="1" si="48"/>
        <v>0</v>
      </c>
      <c r="G1083" s="137" t="e">
        <f>IF(A1083&lt;&gt;"",IF(AND(#REF!="Padrão",$H$4=#REF!),BDI!$B$17,IF(AND(#REF!="Padrão",$H$4=#REF!),BDI!#REF!,IF(AND(#REF!="Diferenciado",$H$4=#REF!),BDI!$E$17,IF(AND(#REF!="Diferenciado",$H$4=#REF!),BDI!#REF!,IF(#REF!="ZERO",0))))),"")</f>
        <v>#REF!</v>
      </c>
      <c r="H1083" s="138" t="e">
        <f t="shared" ca="1" si="49"/>
        <v>#REF!</v>
      </c>
      <c r="I1083" s="136" t="e">
        <f t="shared" ca="1" si="50"/>
        <v>#REF!</v>
      </c>
    </row>
    <row r="1084" spans="1:9" hidden="1" x14ac:dyDescent="0.25">
      <c r="A1084" s="114" t="s">
        <v>3055</v>
      </c>
      <c r="B1084" s="115" t="s">
        <v>3056</v>
      </c>
      <c r="C1084" s="116" t="s">
        <v>95</v>
      </c>
      <c r="D1084" s="116">
        <v>0</v>
      </c>
      <c r="E1084" s="135" t="s">
        <v>558</v>
      </c>
      <c r="F1084" s="136" t="str">
        <f t="shared" si="48"/>
        <v/>
      </c>
      <c r="G1084" s="137" t="e">
        <f>IF(A1084&lt;&gt;"",IF(AND(#REF!="Padrão",$H$4=#REF!),BDI!$B$17,IF(AND(#REF!="Padrão",$H$4=#REF!),BDI!#REF!,IF(AND(#REF!="Diferenciado",$H$4=#REF!),BDI!$E$17,IF(AND(#REF!="Diferenciado",$H$4=#REF!),BDI!#REF!,IF(#REF!="ZERO",0))))),"")</f>
        <v>#REF!</v>
      </c>
      <c r="H1084" s="138" t="str">
        <f t="shared" si="49"/>
        <v/>
      </c>
      <c r="I1084" s="136" t="str">
        <f t="shared" si="50"/>
        <v/>
      </c>
    </row>
    <row r="1085" spans="1:9" hidden="1" x14ac:dyDescent="0.25">
      <c r="A1085" s="114" t="s">
        <v>1239</v>
      </c>
      <c r="B1085" s="115" t="s">
        <v>3057</v>
      </c>
      <c r="C1085" s="116" t="s">
        <v>93</v>
      </c>
      <c r="D1085" s="116">
        <v>0</v>
      </c>
      <c r="E1085" s="135">
        <f ca="1">OFFSET(INDEX(Composições!A:J,MATCH(Orçamentária!A1085,Composições!A:A,0),8),2,0)</f>
        <v>2.10805</v>
      </c>
      <c r="F1085" s="136">
        <f t="shared" ca="1" si="48"/>
        <v>0</v>
      </c>
      <c r="G1085" s="137" t="e">
        <f>IF(A1085&lt;&gt;"",IF(AND(#REF!="Padrão",$H$4=#REF!),BDI!$B$17,IF(AND(#REF!="Padrão",$H$4=#REF!),BDI!#REF!,IF(AND(#REF!="Diferenciado",$H$4=#REF!),BDI!$E$17,IF(AND(#REF!="Diferenciado",$H$4=#REF!),BDI!#REF!,IF(#REF!="ZERO",0))))),"")</f>
        <v>#REF!</v>
      </c>
      <c r="H1085" s="138" t="e">
        <f t="shared" ca="1" si="49"/>
        <v>#REF!</v>
      </c>
      <c r="I1085" s="136" t="e">
        <f t="shared" ca="1" si="50"/>
        <v>#REF!</v>
      </c>
    </row>
    <row r="1086" spans="1:9" hidden="1" x14ac:dyDescent="0.25">
      <c r="A1086" s="114" t="s">
        <v>3058</v>
      </c>
      <c r="B1086" s="115" t="s">
        <v>3059</v>
      </c>
      <c r="C1086" s="116" t="s">
        <v>93</v>
      </c>
      <c r="D1086" s="116">
        <v>0</v>
      </c>
      <c r="E1086" s="135" t="s">
        <v>558</v>
      </c>
      <c r="F1086" s="136" t="str">
        <f t="shared" si="48"/>
        <v/>
      </c>
      <c r="G1086" s="137" t="e">
        <f>IF(A1086&lt;&gt;"",IF(AND(#REF!="Padrão",$H$4=#REF!),BDI!$B$17,IF(AND(#REF!="Padrão",$H$4=#REF!),BDI!#REF!,IF(AND(#REF!="Diferenciado",$H$4=#REF!),BDI!$E$17,IF(AND(#REF!="Diferenciado",$H$4=#REF!),BDI!#REF!,IF(#REF!="ZERO",0))))),"")</f>
        <v>#REF!</v>
      </c>
      <c r="H1086" s="138" t="str">
        <f t="shared" si="49"/>
        <v/>
      </c>
      <c r="I1086" s="136" t="str">
        <f t="shared" si="50"/>
        <v/>
      </c>
    </row>
    <row r="1087" spans="1:9" hidden="1" x14ac:dyDescent="0.25">
      <c r="A1087" s="114" t="s">
        <v>1241</v>
      </c>
      <c r="B1087" s="115" t="s">
        <v>3060</v>
      </c>
      <c r="C1087" s="116" t="s">
        <v>12</v>
      </c>
      <c r="D1087" s="116">
        <v>0</v>
      </c>
      <c r="E1087" s="135">
        <f ca="1">OFFSET(INDEX(Composições!A:J,MATCH(Orçamentária!A1087,Composições!A:A,0),8),2,0)</f>
        <v>2.4889999999999999</v>
      </c>
      <c r="F1087" s="136">
        <f t="shared" ca="1" si="48"/>
        <v>0</v>
      </c>
      <c r="G1087" s="137" t="e">
        <f>IF(A1087&lt;&gt;"",IF(AND(#REF!="Padrão",$H$4=#REF!),BDI!$B$17,IF(AND(#REF!="Padrão",$H$4=#REF!),BDI!#REF!,IF(AND(#REF!="Diferenciado",$H$4=#REF!),BDI!$E$17,IF(AND(#REF!="Diferenciado",$H$4=#REF!),BDI!#REF!,IF(#REF!="ZERO",0))))),"")</f>
        <v>#REF!</v>
      </c>
      <c r="H1087" s="138" t="e">
        <f t="shared" ca="1" si="49"/>
        <v>#REF!</v>
      </c>
      <c r="I1087" s="136" t="e">
        <f t="shared" ca="1" si="50"/>
        <v>#REF!</v>
      </c>
    </row>
    <row r="1088" spans="1:9" hidden="1" x14ac:dyDescent="0.25">
      <c r="A1088" s="114" t="s">
        <v>1243</v>
      </c>
      <c r="B1088" s="115" t="s">
        <v>3061</v>
      </c>
      <c r="C1088" s="116" t="s">
        <v>12</v>
      </c>
      <c r="D1088" s="116">
        <v>0</v>
      </c>
      <c r="E1088" s="135">
        <f ca="1">OFFSET(INDEX(Composições!A:J,MATCH(Orçamentária!A1088,Composições!A:A,0),8),2,0)</f>
        <v>1.3566</v>
      </c>
      <c r="F1088" s="136">
        <f t="shared" ca="1" si="48"/>
        <v>0</v>
      </c>
      <c r="G1088" s="137" t="e">
        <f>IF(A1088&lt;&gt;"",IF(AND(#REF!="Padrão",$H$4=#REF!),BDI!$B$17,IF(AND(#REF!="Padrão",$H$4=#REF!),BDI!#REF!,IF(AND(#REF!="Diferenciado",$H$4=#REF!),BDI!$E$17,IF(AND(#REF!="Diferenciado",$H$4=#REF!),BDI!#REF!,IF(#REF!="ZERO",0))))),"")</f>
        <v>#REF!</v>
      </c>
      <c r="H1088" s="138" t="e">
        <f t="shared" ca="1" si="49"/>
        <v>#REF!</v>
      </c>
      <c r="I1088" s="136" t="e">
        <f t="shared" ca="1" si="50"/>
        <v>#REF!</v>
      </c>
    </row>
    <row r="1089" spans="1:9" hidden="1" x14ac:dyDescent="0.25">
      <c r="A1089" s="114" t="s">
        <v>3062</v>
      </c>
      <c r="B1089" s="115" t="s">
        <v>3063</v>
      </c>
      <c r="C1089" s="116" t="s">
        <v>20</v>
      </c>
      <c r="D1089" s="116">
        <v>0</v>
      </c>
      <c r="E1089" s="135" t="s">
        <v>558</v>
      </c>
      <c r="F1089" s="136" t="str">
        <f t="shared" si="48"/>
        <v/>
      </c>
      <c r="G1089" s="137" t="e">
        <f>IF(A1089&lt;&gt;"",IF(AND(#REF!="Padrão",$H$4=#REF!),BDI!$B$17,IF(AND(#REF!="Padrão",$H$4=#REF!),BDI!#REF!,IF(AND(#REF!="Diferenciado",$H$4=#REF!),BDI!$E$17,IF(AND(#REF!="Diferenciado",$H$4=#REF!),BDI!#REF!,IF(#REF!="ZERO",0))))),"")</f>
        <v>#REF!</v>
      </c>
      <c r="H1089" s="138" t="str">
        <f t="shared" si="49"/>
        <v/>
      </c>
      <c r="I1089" s="136" t="str">
        <f t="shared" si="50"/>
        <v/>
      </c>
    </row>
    <row r="1090" spans="1:9" hidden="1" x14ac:dyDescent="0.25">
      <c r="A1090" s="114" t="s">
        <v>3064</v>
      </c>
      <c r="B1090" s="115" t="s">
        <v>3065</v>
      </c>
      <c r="C1090" s="116" t="s">
        <v>20</v>
      </c>
      <c r="D1090" s="116">
        <v>0</v>
      </c>
      <c r="E1090" s="135" t="s">
        <v>558</v>
      </c>
      <c r="F1090" s="136" t="str">
        <f t="shared" si="48"/>
        <v/>
      </c>
      <c r="G1090" s="137" t="e">
        <f>IF(A1090&lt;&gt;"",IF(AND(#REF!="Padrão",$H$4=#REF!),BDI!$B$17,IF(AND(#REF!="Padrão",$H$4=#REF!),BDI!#REF!,IF(AND(#REF!="Diferenciado",$H$4=#REF!),BDI!$E$17,IF(AND(#REF!="Diferenciado",$H$4=#REF!),BDI!#REF!,IF(#REF!="ZERO",0))))),"")</f>
        <v>#REF!</v>
      </c>
      <c r="H1090" s="138" t="str">
        <f t="shared" si="49"/>
        <v/>
      </c>
      <c r="I1090" s="136" t="str">
        <f t="shared" si="50"/>
        <v/>
      </c>
    </row>
    <row r="1091" spans="1:9" hidden="1" x14ac:dyDescent="0.25">
      <c r="A1091" s="114" t="s">
        <v>3066</v>
      </c>
      <c r="B1091" s="115" t="s">
        <v>3067</v>
      </c>
      <c r="C1091" s="116" t="s">
        <v>20</v>
      </c>
      <c r="D1091" s="116">
        <v>0</v>
      </c>
      <c r="E1091" s="135" t="s">
        <v>558</v>
      </c>
      <c r="F1091" s="136" t="str">
        <f t="shared" si="48"/>
        <v/>
      </c>
      <c r="G1091" s="137" t="e">
        <f>IF(A1091&lt;&gt;"",IF(AND(#REF!="Padrão",$H$4=#REF!),BDI!$B$17,IF(AND(#REF!="Padrão",$H$4=#REF!),BDI!#REF!,IF(AND(#REF!="Diferenciado",$H$4=#REF!),BDI!$E$17,IF(AND(#REF!="Diferenciado",$H$4=#REF!),BDI!#REF!,IF(#REF!="ZERO",0))))),"")</f>
        <v>#REF!</v>
      </c>
      <c r="H1091" s="138" t="str">
        <f t="shared" si="49"/>
        <v/>
      </c>
      <c r="I1091" s="136" t="str">
        <f t="shared" si="50"/>
        <v/>
      </c>
    </row>
    <row r="1092" spans="1:9" hidden="1" x14ac:dyDescent="0.25">
      <c r="A1092" s="114" t="s">
        <v>3068</v>
      </c>
      <c r="B1092" s="115" t="s">
        <v>3069</v>
      </c>
      <c r="C1092" s="116" t="s">
        <v>1994</v>
      </c>
      <c r="D1092" s="116">
        <v>0</v>
      </c>
      <c r="E1092" s="135" t="s">
        <v>558</v>
      </c>
      <c r="F1092" s="136" t="str">
        <f t="shared" si="48"/>
        <v/>
      </c>
      <c r="G1092" s="137" t="e">
        <f>IF(A1092&lt;&gt;"",IF(AND(#REF!="Padrão",$H$4=#REF!),BDI!$B$17,IF(AND(#REF!="Padrão",$H$4=#REF!),BDI!#REF!,IF(AND(#REF!="Diferenciado",$H$4=#REF!),BDI!$E$17,IF(AND(#REF!="Diferenciado",$H$4=#REF!),BDI!#REF!,IF(#REF!="ZERO",0))))),"")</f>
        <v>#REF!</v>
      </c>
      <c r="H1092" s="138" t="str">
        <f t="shared" si="49"/>
        <v/>
      </c>
      <c r="I1092" s="136" t="str">
        <f t="shared" si="50"/>
        <v/>
      </c>
    </row>
    <row r="1093" spans="1:9" hidden="1" x14ac:dyDescent="0.25">
      <c r="A1093" s="114" t="s">
        <v>1245</v>
      </c>
      <c r="B1093" s="115" t="s">
        <v>6401</v>
      </c>
      <c r="C1093" s="116" t="s">
        <v>20</v>
      </c>
      <c r="D1093" s="116">
        <v>0</v>
      </c>
      <c r="E1093" s="135">
        <f ca="1">OFFSET(INDEX(Composições!A:J,MATCH(Orçamentária!A1093,Composições!A:A,0),8),2,0)</f>
        <v>47.269036</v>
      </c>
      <c r="F1093" s="136">
        <f t="shared" ca="1" si="48"/>
        <v>0</v>
      </c>
      <c r="G1093" s="137" t="e">
        <f>IF(A1093&lt;&gt;"",IF(AND(#REF!="Padrão",$H$4=#REF!),BDI!$B$17,IF(AND(#REF!="Padrão",$H$4=#REF!),BDI!#REF!,IF(AND(#REF!="Diferenciado",$H$4=#REF!),BDI!$E$17,IF(AND(#REF!="Diferenciado",$H$4=#REF!),BDI!#REF!,IF(#REF!="ZERO",0))))),"")</f>
        <v>#REF!</v>
      </c>
      <c r="H1093" s="138" t="e">
        <f t="shared" ca="1" si="49"/>
        <v>#REF!</v>
      </c>
      <c r="I1093" s="136" t="e">
        <f t="shared" ca="1" si="50"/>
        <v>#REF!</v>
      </c>
    </row>
    <row r="1094" spans="1:9" hidden="1" x14ac:dyDescent="0.25">
      <c r="A1094" s="114" t="s">
        <v>1250</v>
      </c>
      <c r="B1094" s="115" t="s">
        <v>6402</v>
      </c>
      <c r="C1094" s="116" t="s">
        <v>20</v>
      </c>
      <c r="D1094" s="116">
        <v>0</v>
      </c>
      <c r="E1094" s="135">
        <f ca="1">OFFSET(INDEX(Composições!A:J,MATCH(Orçamentária!A1094,Composições!A:A,0),8),2,0)</f>
        <v>72.174618850000002</v>
      </c>
      <c r="F1094" s="136">
        <f t="shared" ca="1" si="48"/>
        <v>0</v>
      </c>
      <c r="G1094" s="137" t="e">
        <f>IF(A1094&lt;&gt;"",IF(AND(#REF!="Padrão",$H$4=#REF!),BDI!$B$17,IF(AND(#REF!="Padrão",$H$4=#REF!),BDI!#REF!,IF(AND(#REF!="Diferenciado",$H$4=#REF!),BDI!$E$17,IF(AND(#REF!="Diferenciado",$H$4=#REF!),BDI!#REF!,IF(#REF!="ZERO",0))))),"")</f>
        <v>#REF!</v>
      </c>
      <c r="H1094" s="138" t="e">
        <f t="shared" ca="1" si="49"/>
        <v>#REF!</v>
      </c>
      <c r="I1094" s="136" t="e">
        <f t="shared" ca="1" si="50"/>
        <v>#REF!</v>
      </c>
    </row>
    <row r="1095" spans="1:9" hidden="1" x14ac:dyDescent="0.25">
      <c r="A1095" s="114" t="s">
        <v>1252</v>
      </c>
      <c r="B1095" s="115" t="s">
        <v>6403</v>
      </c>
      <c r="C1095" s="116" t="s">
        <v>20</v>
      </c>
      <c r="D1095" s="116">
        <v>0</v>
      </c>
      <c r="E1095" s="135">
        <f ca="1">OFFSET(INDEX(Composições!A:J,MATCH(Orçamentária!A1095,Composições!A:A,0),8),2,0)</f>
        <v>17.111260349999998</v>
      </c>
      <c r="F1095" s="136">
        <f t="shared" ref="F1095:F1158" ca="1" si="51">IF(ISNUMBER(E1095),D1095*E1095,"")</f>
        <v>0</v>
      </c>
      <c r="G1095" s="137" t="e">
        <f>IF(A1095&lt;&gt;"",IF(AND(#REF!="Padrão",$H$4=#REF!),BDI!$B$17,IF(AND(#REF!="Padrão",$H$4=#REF!),BDI!#REF!,IF(AND(#REF!="Diferenciado",$H$4=#REF!),BDI!$E$17,IF(AND(#REF!="Diferenciado",$H$4=#REF!),BDI!#REF!,IF(#REF!="ZERO",0))))),"")</f>
        <v>#REF!</v>
      </c>
      <c r="H1095" s="138" t="e">
        <f t="shared" ref="H1095:H1158" ca="1" si="52">IF(ISNUMBER(E1095),ROUND(E1095*(1+G1095),2),"")</f>
        <v>#REF!</v>
      </c>
      <c r="I1095" s="136" t="e">
        <f t="shared" ref="I1095:I1158" ca="1" si="53">IF(ISNUMBER(E1095),ROUND(H1095*D1095,2),"")</f>
        <v>#REF!</v>
      </c>
    </row>
    <row r="1096" spans="1:9" hidden="1" x14ac:dyDescent="0.25">
      <c r="A1096" s="114" t="s">
        <v>3070</v>
      </c>
      <c r="B1096" s="115" t="s">
        <v>3071</v>
      </c>
      <c r="C1096" s="116" t="s">
        <v>20</v>
      </c>
      <c r="D1096" s="116">
        <v>0</v>
      </c>
      <c r="E1096" s="135" t="s">
        <v>558</v>
      </c>
      <c r="F1096" s="136" t="str">
        <f t="shared" si="51"/>
        <v/>
      </c>
      <c r="G1096" s="137" t="e">
        <f>IF(A1096&lt;&gt;"",IF(AND(#REF!="Padrão",$H$4=#REF!),BDI!$B$17,IF(AND(#REF!="Padrão",$H$4=#REF!),BDI!#REF!,IF(AND(#REF!="Diferenciado",$H$4=#REF!),BDI!$E$17,IF(AND(#REF!="Diferenciado",$H$4=#REF!),BDI!#REF!,IF(#REF!="ZERO",0))))),"")</f>
        <v>#REF!</v>
      </c>
      <c r="H1096" s="138" t="str">
        <f t="shared" si="52"/>
        <v/>
      </c>
      <c r="I1096" s="136" t="str">
        <f t="shared" si="53"/>
        <v/>
      </c>
    </row>
    <row r="1097" spans="1:9" hidden="1" x14ac:dyDescent="0.25">
      <c r="A1097" s="114" t="s">
        <v>1254</v>
      </c>
      <c r="B1097" s="115" t="s">
        <v>6404</v>
      </c>
      <c r="C1097" s="116" t="s">
        <v>20</v>
      </c>
      <c r="D1097" s="116">
        <v>0</v>
      </c>
      <c r="E1097" s="135">
        <f ca="1">OFFSET(INDEX(Composições!A:J,MATCH(Orçamentária!A1097,Composições!A:A,0),8),2,0)</f>
        <v>30.763925999999994</v>
      </c>
      <c r="F1097" s="136">
        <f t="shared" ca="1" si="51"/>
        <v>0</v>
      </c>
      <c r="G1097" s="137" t="e">
        <f>IF(A1097&lt;&gt;"",IF(AND(#REF!="Padrão",$H$4=#REF!),BDI!$B$17,IF(AND(#REF!="Padrão",$H$4=#REF!),BDI!#REF!,IF(AND(#REF!="Diferenciado",$H$4=#REF!),BDI!$E$17,IF(AND(#REF!="Diferenciado",$H$4=#REF!),BDI!#REF!,IF(#REF!="ZERO",0))))),"")</f>
        <v>#REF!</v>
      </c>
      <c r="H1097" s="138" t="e">
        <f t="shared" ca="1" si="52"/>
        <v>#REF!</v>
      </c>
      <c r="I1097" s="136" t="e">
        <f t="shared" ca="1" si="53"/>
        <v>#REF!</v>
      </c>
    </row>
    <row r="1098" spans="1:9" hidden="1" x14ac:dyDescent="0.25">
      <c r="A1098" s="114" t="s">
        <v>1256</v>
      </c>
      <c r="B1098" s="115" t="s">
        <v>6405</v>
      </c>
      <c r="C1098" s="116" t="s">
        <v>20</v>
      </c>
      <c r="D1098" s="116">
        <v>0</v>
      </c>
      <c r="E1098" s="135">
        <f ca="1">OFFSET(INDEX(Composições!A:J,MATCH(Orçamentária!A1098,Composições!A:A,0),8),2,0)</f>
        <v>41.095102849999996</v>
      </c>
      <c r="F1098" s="136">
        <f t="shared" ca="1" si="51"/>
        <v>0</v>
      </c>
      <c r="G1098" s="137" t="e">
        <f>IF(A1098&lt;&gt;"",IF(AND(#REF!="Padrão",$H$4=#REF!),BDI!$B$17,IF(AND(#REF!="Padrão",$H$4=#REF!),BDI!#REF!,IF(AND(#REF!="Diferenciado",$H$4=#REF!),BDI!$E$17,IF(AND(#REF!="Diferenciado",$H$4=#REF!),BDI!#REF!,IF(#REF!="ZERO",0))))),"")</f>
        <v>#REF!</v>
      </c>
      <c r="H1098" s="138" t="e">
        <f t="shared" ca="1" si="52"/>
        <v>#REF!</v>
      </c>
      <c r="I1098" s="136" t="e">
        <f t="shared" ca="1" si="53"/>
        <v>#REF!</v>
      </c>
    </row>
    <row r="1099" spans="1:9" hidden="1" x14ac:dyDescent="0.25">
      <c r="A1099" s="114" t="s">
        <v>1258</v>
      </c>
      <c r="B1099" s="115" t="s">
        <v>6406</v>
      </c>
      <c r="C1099" s="116" t="s">
        <v>20</v>
      </c>
      <c r="D1099" s="116">
        <v>0</v>
      </c>
      <c r="E1099" s="135">
        <f ca="1">OFFSET(INDEX(Composições!A:J,MATCH(Orçamentária!A1099,Composições!A:A,0),8),2,0)</f>
        <v>9.7844043500000009</v>
      </c>
      <c r="F1099" s="136">
        <f t="shared" ca="1" si="51"/>
        <v>0</v>
      </c>
      <c r="G1099" s="137" t="e">
        <f>IF(A1099&lt;&gt;"",IF(AND(#REF!="Padrão",$H$4=#REF!),BDI!$B$17,IF(AND(#REF!="Padrão",$H$4=#REF!),BDI!#REF!,IF(AND(#REF!="Diferenciado",$H$4=#REF!),BDI!$E$17,IF(AND(#REF!="Diferenciado",$H$4=#REF!),BDI!#REF!,IF(#REF!="ZERO",0))))),"")</f>
        <v>#REF!</v>
      </c>
      <c r="H1099" s="138" t="e">
        <f t="shared" ca="1" si="52"/>
        <v>#REF!</v>
      </c>
      <c r="I1099" s="136" t="e">
        <f t="shared" ca="1" si="53"/>
        <v>#REF!</v>
      </c>
    </row>
    <row r="1100" spans="1:9" hidden="1" x14ac:dyDescent="0.25">
      <c r="A1100" s="114" t="s">
        <v>3072</v>
      </c>
      <c r="B1100" s="115" t="s">
        <v>6407</v>
      </c>
      <c r="C1100" s="116" t="s">
        <v>20</v>
      </c>
      <c r="D1100" s="116">
        <v>0</v>
      </c>
      <c r="E1100" s="135" t="s">
        <v>558</v>
      </c>
      <c r="F1100" s="136" t="str">
        <f t="shared" si="51"/>
        <v/>
      </c>
      <c r="G1100" s="137" t="e">
        <f>IF(A1100&lt;&gt;"",IF(AND(#REF!="Padrão",$H$4=#REF!),BDI!$B$17,IF(AND(#REF!="Padrão",$H$4=#REF!),BDI!#REF!,IF(AND(#REF!="Diferenciado",$H$4=#REF!),BDI!$E$17,IF(AND(#REF!="Diferenciado",$H$4=#REF!),BDI!#REF!,IF(#REF!="ZERO",0))))),"")</f>
        <v>#REF!</v>
      </c>
      <c r="H1100" s="138" t="str">
        <f t="shared" si="52"/>
        <v/>
      </c>
      <c r="I1100" s="136" t="str">
        <f t="shared" si="53"/>
        <v/>
      </c>
    </row>
    <row r="1101" spans="1:9" hidden="1" x14ac:dyDescent="0.25">
      <c r="A1101" s="114" t="s">
        <v>3073</v>
      </c>
      <c r="B1101" s="115" t="s">
        <v>6408</v>
      </c>
      <c r="C1101" s="116" t="s">
        <v>20</v>
      </c>
      <c r="D1101" s="116">
        <v>0</v>
      </c>
      <c r="E1101" s="135" t="s">
        <v>558</v>
      </c>
      <c r="F1101" s="136" t="str">
        <f t="shared" si="51"/>
        <v/>
      </c>
      <c r="G1101" s="137" t="e">
        <f>IF(A1101&lt;&gt;"",IF(AND(#REF!="Padrão",$H$4=#REF!),BDI!$B$17,IF(AND(#REF!="Padrão",$H$4=#REF!),BDI!#REF!,IF(AND(#REF!="Diferenciado",$H$4=#REF!),BDI!$E$17,IF(AND(#REF!="Diferenciado",$H$4=#REF!),BDI!#REF!,IF(#REF!="ZERO",0))))),"")</f>
        <v>#REF!</v>
      </c>
      <c r="H1101" s="138" t="str">
        <f t="shared" si="52"/>
        <v/>
      </c>
      <c r="I1101" s="136" t="str">
        <f t="shared" si="53"/>
        <v/>
      </c>
    </row>
    <row r="1102" spans="1:9" hidden="1" x14ac:dyDescent="0.25">
      <c r="A1102" s="114" t="s">
        <v>1260</v>
      </c>
      <c r="B1102" s="115" t="s">
        <v>6409</v>
      </c>
      <c r="C1102" s="116" t="s">
        <v>93</v>
      </c>
      <c r="D1102" s="116">
        <v>0</v>
      </c>
      <c r="E1102" s="135">
        <f ca="1">OFFSET(INDEX(Composições!A:J,MATCH(Orçamentária!A1102,Composições!A:A,0),8),2,0)</f>
        <v>151.83285034999997</v>
      </c>
      <c r="F1102" s="136">
        <f t="shared" ca="1" si="51"/>
        <v>0</v>
      </c>
      <c r="G1102" s="137" t="e">
        <f>IF(A1102&lt;&gt;"",IF(AND(#REF!="Padrão",$H$4=#REF!),BDI!$B$17,IF(AND(#REF!="Padrão",$H$4=#REF!),BDI!#REF!,IF(AND(#REF!="Diferenciado",$H$4=#REF!),BDI!$E$17,IF(AND(#REF!="Diferenciado",$H$4=#REF!),BDI!#REF!,IF(#REF!="ZERO",0))))),"")</f>
        <v>#REF!</v>
      </c>
      <c r="H1102" s="138" t="e">
        <f t="shared" ca="1" si="52"/>
        <v>#REF!</v>
      </c>
      <c r="I1102" s="136" t="e">
        <f t="shared" ca="1" si="53"/>
        <v>#REF!</v>
      </c>
    </row>
    <row r="1103" spans="1:9" hidden="1" x14ac:dyDescent="0.25">
      <c r="A1103" s="114" t="s">
        <v>1262</v>
      </c>
      <c r="B1103" s="115" t="s">
        <v>6410</v>
      </c>
      <c r="C1103" s="116" t="s">
        <v>93</v>
      </c>
      <c r="D1103" s="116">
        <v>0</v>
      </c>
      <c r="E1103" s="135">
        <f ca="1">OFFSET(INDEX(Composições!A:J,MATCH(Orçamentária!A1103,Composições!A:A,0),8),2,0)</f>
        <v>182.54233659999997</v>
      </c>
      <c r="F1103" s="136">
        <f t="shared" ca="1" si="51"/>
        <v>0</v>
      </c>
      <c r="G1103" s="137" t="e">
        <f>IF(A1103&lt;&gt;"",IF(AND(#REF!="Padrão",$H$4=#REF!),BDI!$B$17,IF(AND(#REF!="Padrão",$H$4=#REF!),BDI!#REF!,IF(AND(#REF!="Diferenciado",$H$4=#REF!),BDI!$E$17,IF(AND(#REF!="Diferenciado",$H$4=#REF!),BDI!#REF!,IF(#REF!="ZERO",0))))),"")</f>
        <v>#REF!</v>
      </c>
      <c r="H1103" s="138" t="e">
        <f t="shared" ca="1" si="52"/>
        <v>#REF!</v>
      </c>
      <c r="I1103" s="136" t="e">
        <f t="shared" ca="1" si="53"/>
        <v>#REF!</v>
      </c>
    </row>
    <row r="1104" spans="1:9" hidden="1" x14ac:dyDescent="0.25">
      <c r="A1104" s="114" t="s">
        <v>3074</v>
      </c>
      <c r="B1104" s="115" t="s">
        <v>6467</v>
      </c>
      <c r="C1104" s="116" t="s">
        <v>20</v>
      </c>
      <c r="D1104" s="116">
        <v>0</v>
      </c>
      <c r="E1104" s="135" t="s">
        <v>558</v>
      </c>
      <c r="F1104" s="136" t="str">
        <f t="shared" si="51"/>
        <v/>
      </c>
      <c r="G1104" s="137" t="e">
        <f>IF(A1104&lt;&gt;"",IF(AND(#REF!="Padrão",$H$4=#REF!),BDI!$B$17,IF(AND(#REF!="Padrão",$H$4=#REF!),BDI!#REF!,IF(AND(#REF!="Diferenciado",$H$4=#REF!),BDI!$E$17,IF(AND(#REF!="Diferenciado",$H$4=#REF!),BDI!#REF!,IF(#REF!="ZERO",0))))),"")</f>
        <v>#REF!</v>
      </c>
      <c r="H1104" s="138" t="str">
        <f t="shared" si="52"/>
        <v/>
      </c>
      <c r="I1104" s="136" t="str">
        <f t="shared" si="53"/>
        <v/>
      </c>
    </row>
    <row r="1105" spans="1:9" hidden="1" x14ac:dyDescent="0.25">
      <c r="A1105" s="114" t="s">
        <v>3075</v>
      </c>
      <c r="B1105" s="115" t="s">
        <v>3076</v>
      </c>
      <c r="C1105" s="116" t="s">
        <v>20</v>
      </c>
      <c r="D1105" s="116">
        <v>0</v>
      </c>
      <c r="E1105" s="135" t="s">
        <v>558</v>
      </c>
      <c r="F1105" s="136" t="str">
        <f t="shared" si="51"/>
        <v/>
      </c>
      <c r="G1105" s="137" t="e">
        <f>IF(A1105&lt;&gt;"",IF(AND(#REF!="Padrão",$H$4=#REF!),BDI!$B$17,IF(AND(#REF!="Padrão",$H$4=#REF!),BDI!#REF!,IF(AND(#REF!="Diferenciado",$H$4=#REF!),BDI!$E$17,IF(AND(#REF!="Diferenciado",$H$4=#REF!),BDI!#REF!,IF(#REF!="ZERO",0))))),"")</f>
        <v>#REF!</v>
      </c>
      <c r="H1105" s="138" t="str">
        <f t="shared" si="52"/>
        <v/>
      </c>
      <c r="I1105" s="136" t="str">
        <f t="shared" si="53"/>
        <v/>
      </c>
    </row>
    <row r="1106" spans="1:9" hidden="1" x14ac:dyDescent="0.25">
      <c r="A1106" s="114" t="s">
        <v>1264</v>
      </c>
      <c r="B1106" s="115" t="s">
        <v>3077</v>
      </c>
      <c r="C1106" s="116" t="s">
        <v>93</v>
      </c>
      <c r="D1106" s="116">
        <v>0</v>
      </c>
      <c r="E1106" s="135">
        <f ca="1">OFFSET(INDEX(Composições!A:J,MATCH(Orçamentária!A1106,Composições!A:A,0),8),2,0)</f>
        <v>33.899524500000005</v>
      </c>
      <c r="F1106" s="136">
        <f t="shared" ca="1" si="51"/>
        <v>0</v>
      </c>
      <c r="G1106" s="137" t="e">
        <f>IF(A1106&lt;&gt;"",IF(AND(#REF!="Padrão",$H$4=#REF!),BDI!$B$17,IF(AND(#REF!="Padrão",$H$4=#REF!),BDI!#REF!,IF(AND(#REF!="Diferenciado",$H$4=#REF!),BDI!$E$17,IF(AND(#REF!="Diferenciado",$H$4=#REF!),BDI!#REF!,IF(#REF!="ZERO",0))))),"")</f>
        <v>#REF!</v>
      </c>
      <c r="H1106" s="138" t="e">
        <f t="shared" ca="1" si="52"/>
        <v>#REF!</v>
      </c>
      <c r="I1106" s="136" t="e">
        <f t="shared" ca="1" si="53"/>
        <v>#REF!</v>
      </c>
    </row>
    <row r="1107" spans="1:9" hidden="1" x14ac:dyDescent="0.25">
      <c r="A1107" s="114" t="s">
        <v>1266</v>
      </c>
      <c r="B1107" s="115" t="s">
        <v>3078</v>
      </c>
      <c r="C1107" s="116" t="s">
        <v>2533</v>
      </c>
      <c r="D1107" s="116">
        <v>0</v>
      </c>
      <c r="E1107" s="135">
        <f ca="1">OFFSET(INDEX(Composições!A:J,MATCH(Orçamentária!A1107,Composições!A:A,0),8),2,0)</f>
        <v>1784.5843099999997</v>
      </c>
      <c r="F1107" s="136">
        <f t="shared" ca="1" si="51"/>
        <v>0</v>
      </c>
      <c r="G1107" s="137" t="e">
        <f>IF(A1107&lt;&gt;"",IF(AND(#REF!="Padrão",$H$4=#REF!),BDI!$B$17,IF(AND(#REF!="Padrão",$H$4=#REF!),BDI!#REF!,IF(AND(#REF!="Diferenciado",$H$4=#REF!),BDI!$E$17,IF(AND(#REF!="Diferenciado",$H$4=#REF!),BDI!#REF!,IF(#REF!="ZERO",0))))),"")</f>
        <v>#REF!</v>
      </c>
      <c r="H1107" s="138" t="e">
        <f t="shared" ca="1" si="52"/>
        <v>#REF!</v>
      </c>
      <c r="I1107" s="136" t="e">
        <f t="shared" ca="1" si="53"/>
        <v>#REF!</v>
      </c>
    </row>
    <row r="1108" spans="1:9" hidden="1" x14ac:dyDescent="0.25">
      <c r="A1108" s="114" t="s">
        <v>3079</v>
      </c>
      <c r="B1108" s="115" t="s">
        <v>3080</v>
      </c>
      <c r="C1108" s="116" t="s">
        <v>2740</v>
      </c>
      <c r="D1108" s="116">
        <v>0</v>
      </c>
      <c r="E1108" s="135" t="s">
        <v>558</v>
      </c>
      <c r="F1108" s="136" t="str">
        <f t="shared" si="51"/>
        <v/>
      </c>
      <c r="G1108" s="137" t="e">
        <f>IF(A1108&lt;&gt;"",IF(AND(#REF!="Padrão",$H$4=#REF!),BDI!$B$17,IF(AND(#REF!="Padrão",$H$4=#REF!),BDI!#REF!,IF(AND(#REF!="Diferenciado",$H$4=#REF!),BDI!$E$17,IF(AND(#REF!="Diferenciado",$H$4=#REF!),BDI!#REF!,IF(#REF!="ZERO",0))))),"")</f>
        <v>#REF!</v>
      </c>
      <c r="H1108" s="138" t="str">
        <f t="shared" si="52"/>
        <v/>
      </c>
      <c r="I1108" s="136" t="str">
        <f t="shared" si="53"/>
        <v/>
      </c>
    </row>
    <row r="1109" spans="1:9" hidden="1" x14ac:dyDescent="0.25">
      <c r="A1109" s="114" t="s">
        <v>1268</v>
      </c>
      <c r="B1109" s="115" t="s">
        <v>3081</v>
      </c>
      <c r="C1109" s="116" t="s">
        <v>95</v>
      </c>
      <c r="D1109" s="116">
        <v>0</v>
      </c>
      <c r="E1109" s="135">
        <f ca="1">OFFSET(INDEX(Composições!A:J,MATCH(Orçamentária!A1109,Composições!A:A,0),8),2,0)</f>
        <v>10.065250000000001</v>
      </c>
      <c r="F1109" s="136">
        <f t="shared" ca="1" si="51"/>
        <v>0</v>
      </c>
      <c r="G1109" s="137" t="e">
        <f>IF(A1109&lt;&gt;"",IF(AND(#REF!="Padrão",$H$4=#REF!),BDI!$B$17,IF(AND(#REF!="Padrão",$H$4=#REF!),BDI!#REF!,IF(AND(#REF!="Diferenciado",$H$4=#REF!),BDI!$E$17,IF(AND(#REF!="Diferenciado",$H$4=#REF!),BDI!#REF!,IF(#REF!="ZERO",0))))),"")</f>
        <v>#REF!</v>
      </c>
      <c r="H1109" s="138" t="e">
        <f t="shared" ca="1" si="52"/>
        <v>#REF!</v>
      </c>
      <c r="I1109" s="136" t="e">
        <f t="shared" ca="1" si="53"/>
        <v>#REF!</v>
      </c>
    </row>
    <row r="1110" spans="1:9" hidden="1" x14ac:dyDescent="0.25">
      <c r="A1110" s="114" t="s">
        <v>1270</v>
      </c>
      <c r="B1110" s="115" t="s">
        <v>3082</v>
      </c>
      <c r="C1110" s="116" t="s">
        <v>95</v>
      </c>
      <c r="D1110" s="116">
        <v>0</v>
      </c>
      <c r="E1110" s="135">
        <f ca="1">OFFSET(INDEX(Composições!A:J,MATCH(Orçamentária!A1110,Composições!A:A,0),8),2,0)</f>
        <v>42.218189999999993</v>
      </c>
      <c r="F1110" s="136">
        <f t="shared" ca="1" si="51"/>
        <v>0</v>
      </c>
      <c r="G1110" s="137" t="e">
        <f>IF(A1110&lt;&gt;"",IF(AND(#REF!="Padrão",$H$4=#REF!),BDI!$B$17,IF(AND(#REF!="Padrão",$H$4=#REF!),BDI!#REF!,IF(AND(#REF!="Diferenciado",$H$4=#REF!),BDI!$E$17,IF(AND(#REF!="Diferenciado",$H$4=#REF!),BDI!#REF!,IF(#REF!="ZERO",0))))),"")</f>
        <v>#REF!</v>
      </c>
      <c r="H1110" s="138" t="e">
        <f t="shared" ca="1" si="52"/>
        <v>#REF!</v>
      </c>
      <c r="I1110" s="136" t="e">
        <f t="shared" ca="1" si="53"/>
        <v>#REF!</v>
      </c>
    </row>
    <row r="1111" spans="1:9" ht="25.5" hidden="1" x14ac:dyDescent="0.25">
      <c r="A1111" s="114" t="s">
        <v>1273</v>
      </c>
      <c r="B1111" s="115" t="s">
        <v>6411</v>
      </c>
      <c r="C1111" s="116" t="s">
        <v>95</v>
      </c>
      <c r="D1111" s="116">
        <v>0</v>
      </c>
      <c r="E1111" s="135">
        <f ca="1">OFFSET(INDEX(Composições!A:J,MATCH(Orçamentária!A1111,Composições!A:A,0),8),2,0)</f>
        <v>44.059688999999999</v>
      </c>
      <c r="F1111" s="136">
        <f t="shared" ca="1" si="51"/>
        <v>0</v>
      </c>
      <c r="G1111" s="137" t="e">
        <f>IF(A1111&lt;&gt;"",IF(AND(#REF!="Padrão",$H$4=#REF!),BDI!$B$17,IF(AND(#REF!="Padrão",$H$4=#REF!),BDI!#REF!,IF(AND(#REF!="Diferenciado",$H$4=#REF!),BDI!$E$17,IF(AND(#REF!="Diferenciado",$H$4=#REF!),BDI!#REF!,IF(#REF!="ZERO",0))))),"")</f>
        <v>#REF!</v>
      </c>
      <c r="H1111" s="138" t="e">
        <f t="shared" ca="1" si="52"/>
        <v>#REF!</v>
      </c>
      <c r="I1111" s="136" t="e">
        <f t="shared" ca="1" si="53"/>
        <v>#REF!</v>
      </c>
    </row>
    <row r="1112" spans="1:9" hidden="1" x14ac:dyDescent="0.25">
      <c r="A1112" s="114" t="s">
        <v>1275</v>
      </c>
      <c r="B1112" s="115" t="s">
        <v>6412</v>
      </c>
      <c r="C1112" s="116" t="s">
        <v>95</v>
      </c>
      <c r="D1112" s="116">
        <v>0</v>
      </c>
      <c r="E1112" s="135">
        <f ca="1">OFFSET(INDEX(Composições!A:J,MATCH(Orçamentária!A1112,Composições!A:A,0),8),2,0)</f>
        <v>44.059688999999999</v>
      </c>
      <c r="F1112" s="136">
        <f t="shared" ca="1" si="51"/>
        <v>0</v>
      </c>
      <c r="G1112" s="137" t="e">
        <f>IF(A1112&lt;&gt;"",IF(AND(#REF!="Padrão",$H$4=#REF!),BDI!$B$17,IF(AND(#REF!="Padrão",$H$4=#REF!),BDI!#REF!,IF(AND(#REF!="Diferenciado",$H$4=#REF!),BDI!$E$17,IF(AND(#REF!="Diferenciado",$H$4=#REF!),BDI!#REF!,IF(#REF!="ZERO",0))))),"")</f>
        <v>#REF!</v>
      </c>
      <c r="H1112" s="138" t="e">
        <f t="shared" ca="1" si="52"/>
        <v>#REF!</v>
      </c>
      <c r="I1112" s="136" t="e">
        <f t="shared" ca="1" si="53"/>
        <v>#REF!</v>
      </c>
    </row>
    <row r="1113" spans="1:9" hidden="1" x14ac:dyDescent="0.25">
      <c r="A1113" s="114" t="s">
        <v>1277</v>
      </c>
      <c r="B1113" s="115" t="s">
        <v>6413</v>
      </c>
      <c r="C1113" s="116" t="s">
        <v>95</v>
      </c>
      <c r="D1113" s="116">
        <v>0</v>
      </c>
      <c r="E1113" s="135">
        <f ca="1">OFFSET(INDEX(Composições!A:J,MATCH(Orçamentária!A1113,Composições!A:A,0),8),2,0)</f>
        <v>90.370554999999996</v>
      </c>
      <c r="F1113" s="136">
        <f t="shared" ca="1" si="51"/>
        <v>0</v>
      </c>
      <c r="G1113" s="137" t="e">
        <f>IF(A1113&lt;&gt;"",IF(AND(#REF!="Padrão",$H$4=#REF!),BDI!$B$17,IF(AND(#REF!="Padrão",$H$4=#REF!),BDI!#REF!,IF(AND(#REF!="Diferenciado",$H$4=#REF!),BDI!$E$17,IF(AND(#REF!="Diferenciado",$H$4=#REF!),BDI!#REF!,IF(#REF!="ZERO",0))))),"")</f>
        <v>#REF!</v>
      </c>
      <c r="H1113" s="138" t="e">
        <f t="shared" ca="1" si="52"/>
        <v>#REF!</v>
      </c>
      <c r="I1113" s="136" t="e">
        <f t="shared" ca="1" si="53"/>
        <v>#REF!</v>
      </c>
    </row>
    <row r="1114" spans="1:9" hidden="1" x14ac:dyDescent="0.25">
      <c r="A1114" s="114" t="s">
        <v>1280</v>
      </c>
      <c r="B1114" s="115" t="s">
        <v>3083</v>
      </c>
      <c r="C1114" s="116" t="s">
        <v>95</v>
      </c>
      <c r="D1114" s="116">
        <v>0</v>
      </c>
      <c r="E1114" s="135">
        <f ca="1">OFFSET(INDEX(Composições!A:J,MATCH(Orçamentária!A1114,Composições!A:A,0),8),2,0)</f>
        <v>37.688181930842099</v>
      </c>
      <c r="F1114" s="136">
        <f t="shared" ca="1" si="51"/>
        <v>0</v>
      </c>
      <c r="G1114" s="137" t="e">
        <f>IF(A1114&lt;&gt;"",IF(AND(#REF!="Padrão",$H$4=#REF!),BDI!$B$17,IF(AND(#REF!="Padrão",$H$4=#REF!),BDI!#REF!,IF(AND(#REF!="Diferenciado",$H$4=#REF!),BDI!$E$17,IF(AND(#REF!="Diferenciado",$H$4=#REF!),BDI!#REF!,IF(#REF!="ZERO",0))))),"")</f>
        <v>#REF!</v>
      </c>
      <c r="H1114" s="138" t="e">
        <f t="shared" ca="1" si="52"/>
        <v>#REF!</v>
      </c>
      <c r="I1114" s="136" t="e">
        <f t="shared" ca="1" si="53"/>
        <v>#REF!</v>
      </c>
    </row>
    <row r="1115" spans="1:9" hidden="1" x14ac:dyDescent="0.25">
      <c r="A1115" s="114" t="s">
        <v>1282</v>
      </c>
      <c r="B1115" s="115" t="s">
        <v>3084</v>
      </c>
      <c r="C1115" s="116" t="s">
        <v>95</v>
      </c>
      <c r="D1115" s="116">
        <v>0</v>
      </c>
      <c r="E1115" s="135">
        <f ca="1">OFFSET(INDEX(Composições!A:J,MATCH(Orçamentária!A1115,Composições!A:A,0),8),2,0)</f>
        <v>14.832824999999998</v>
      </c>
      <c r="F1115" s="136">
        <f t="shared" ca="1" si="51"/>
        <v>0</v>
      </c>
      <c r="G1115" s="137" t="e">
        <f>IF(A1115&lt;&gt;"",IF(AND(#REF!="Padrão",$H$4=#REF!),BDI!$B$17,IF(AND(#REF!="Padrão",$H$4=#REF!),BDI!#REF!,IF(AND(#REF!="Diferenciado",$H$4=#REF!),BDI!$E$17,IF(AND(#REF!="Diferenciado",$H$4=#REF!),BDI!#REF!,IF(#REF!="ZERO",0))))),"")</f>
        <v>#REF!</v>
      </c>
      <c r="H1115" s="138" t="e">
        <f t="shared" ca="1" si="52"/>
        <v>#REF!</v>
      </c>
      <c r="I1115" s="136" t="e">
        <f t="shared" ca="1" si="53"/>
        <v>#REF!</v>
      </c>
    </row>
    <row r="1116" spans="1:9" hidden="1" x14ac:dyDescent="0.25">
      <c r="A1116" s="114" t="s">
        <v>1284</v>
      </c>
      <c r="B1116" s="115" t="s">
        <v>3085</v>
      </c>
      <c r="C1116" s="116" t="s">
        <v>93</v>
      </c>
      <c r="D1116" s="116">
        <v>0</v>
      </c>
      <c r="E1116" s="135">
        <f ca="1">OFFSET(INDEX(Composições!A:J,MATCH(Orçamentária!A1116,Composições!A:A,0),8),2,0)</f>
        <v>56.119635000000002</v>
      </c>
      <c r="F1116" s="136">
        <f t="shared" ca="1" si="51"/>
        <v>0</v>
      </c>
      <c r="G1116" s="137" t="e">
        <f>IF(A1116&lt;&gt;"",IF(AND(#REF!="Padrão",$H$4=#REF!),BDI!$B$17,IF(AND(#REF!="Padrão",$H$4=#REF!),BDI!#REF!,IF(AND(#REF!="Diferenciado",$H$4=#REF!),BDI!$E$17,IF(AND(#REF!="Diferenciado",$H$4=#REF!),BDI!#REF!,IF(#REF!="ZERO",0))))),"")</f>
        <v>#REF!</v>
      </c>
      <c r="H1116" s="138" t="e">
        <f t="shared" ca="1" si="52"/>
        <v>#REF!</v>
      </c>
      <c r="I1116" s="136" t="e">
        <f t="shared" ca="1" si="53"/>
        <v>#REF!</v>
      </c>
    </row>
    <row r="1117" spans="1:9" hidden="1" x14ac:dyDescent="0.25">
      <c r="A1117" s="114" t="s">
        <v>1286</v>
      </c>
      <c r="B1117" s="115" t="s">
        <v>3086</v>
      </c>
      <c r="C1117" s="116" t="s">
        <v>95</v>
      </c>
      <c r="D1117" s="116">
        <v>0</v>
      </c>
      <c r="E1117" s="135">
        <f ca="1">OFFSET(INDEX(Composições!A:J,MATCH(Orçamentária!A1117,Composições!A:A,0),8),2,0)</f>
        <v>16.012725</v>
      </c>
      <c r="F1117" s="136">
        <f t="shared" ca="1" si="51"/>
        <v>0</v>
      </c>
      <c r="G1117" s="137" t="e">
        <f>IF(A1117&lt;&gt;"",IF(AND(#REF!="Padrão",$H$4=#REF!),BDI!$B$17,IF(AND(#REF!="Padrão",$H$4=#REF!),BDI!#REF!,IF(AND(#REF!="Diferenciado",$H$4=#REF!),BDI!$E$17,IF(AND(#REF!="Diferenciado",$H$4=#REF!),BDI!#REF!,IF(#REF!="ZERO",0))))),"")</f>
        <v>#REF!</v>
      </c>
      <c r="H1117" s="138" t="e">
        <f t="shared" ca="1" si="52"/>
        <v>#REF!</v>
      </c>
      <c r="I1117" s="136" t="e">
        <f t="shared" ca="1" si="53"/>
        <v>#REF!</v>
      </c>
    </row>
    <row r="1118" spans="1:9" hidden="1" x14ac:dyDescent="0.25">
      <c r="A1118" s="114" t="s">
        <v>1289</v>
      </c>
      <c r="B1118" s="115" t="s">
        <v>6414</v>
      </c>
      <c r="C1118" s="116" t="s">
        <v>95</v>
      </c>
      <c r="D1118" s="116">
        <v>0</v>
      </c>
      <c r="E1118" s="135">
        <f ca="1">OFFSET(INDEX(Composições!A:J,MATCH(Orçamentária!A1118,Composições!A:A,0),8),2,0)</f>
        <v>0</v>
      </c>
      <c r="F1118" s="136">
        <f t="shared" ca="1" si="51"/>
        <v>0</v>
      </c>
      <c r="G1118" s="137" t="e">
        <f>IF(A1118&lt;&gt;"",IF(AND(#REF!="Padrão",$H$4=#REF!),BDI!$B$17,IF(AND(#REF!="Padrão",$H$4=#REF!),BDI!#REF!,IF(AND(#REF!="Diferenciado",$H$4=#REF!),BDI!$E$17,IF(AND(#REF!="Diferenciado",$H$4=#REF!),BDI!#REF!,IF(#REF!="ZERO",0))))),"")</f>
        <v>#REF!</v>
      </c>
      <c r="H1118" s="138" t="e">
        <f t="shared" ca="1" si="52"/>
        <v>#REF!</v>
      </c>
      <c r="I1118" s="136" t="e">
        <f t="shared" ca="1" si="53"/>
        <v>#REF!</v>
      </c>
    </row>
    <row r="1119" spans="1:9" hidden="1" x14ac:dyDescent="0.25">
      <c r="A1119" s="114" t="s">
        <v>1291</v>
      </c>
      <c r="B1119" s="115" t="s">
        <v>6415</v>
      </c>
      <c r="C1119" s="116" t="s">
        <v>95</v>
      </c>
      <c r="D1119" s="116">
        <v>0</v>
      </c>
      <c r="E1119" s="135">
        <f ca="1">OFFSET(INDEX(Composições!A:J,MATCH(Orçamentária!A1119,Composições!A:A,0),8),2,0)</f>
        <v>173.95644845000004</v>
      </c>
      <c r="F1119" s="136">
        <f t="shared" ca="1" si="51"/>
        <v>0</v>
      </c>
      <c r="G1119" s="137" t="e">
        <f>IF(A1119&lt;&gt;"",IF(AND(#REF!="Padrão",$H$4=#REF!),BDI!$B$17,IF(AND(#REF!="Padrão",$H$4=#REF!),BDI!#REF!,IF(AND(#REF!="Diferenciado",$H$4=#REF!),BDI!$E$17,IF(AND(#REF!="Diferenciado",$H$4=#REF!),BDI!#REF!,IF(#REF!="ZERO",0))))),"")</f>
        <v>#REF!</v>
      </c>
      <c r="H1119" s="138" t="e">
        <f t="shared" ca="1" si="52"/>
        <v>#REF!</v>
      </c>
      <c r="I1119" s="136" t="e">
        <f t="shared" ca="1" si="53"/>
        <v>#REF!</v>
      </c>
    </row>
    <row r="1120" spans="1:9" hidden="1" x14ac:dyDescent="0.25">
      <c r="A1120" s="114" t="s">
        <v>1294</v>
      </c>
      <c r="B1120" s="115" t="s">
        <v>3087</v>
      </c>
      <c r="C1120" s="116" t="s">
        <v>95</v>
      </c>
      <c r="D1120" s="116">
        <v>0</v>
      </c>
      <c r="E1120" s="135">
        <f ca="1">OFFSET(INDEX(Composições!A:J,MATCH(Orçamentária!A1120,Composições!A:A,0),8),2,0)</f>
        <v>93.071014549999987</v>
      </c>
      <c r="F1120" s="136">
        <f t="shared" ca="1" si="51"/>
        <v>0</v>
      </c>
      <c r="G1120" s="137" t="e">
        <f>IF(A1120&lt;&gt;"",IF(AND(#REF!="Padrão",$H$4=#REF!),BDI!$B$17,IF(AND(#REF!="Padrão",$H$4=#REF!),BDI!#REF!,IF(AND(#REF!="Diferenciado",$H$4=#REF!),BDI!$E$17,IF(AND(#REF!="Diferenciado",$H$4=#REF!),BDI!#REF!,IF(#REF!="ZERO",0))))),"")</f>
        <v>#REF!</v>
      </c>
      <c r="H1120" s="138" t="e">
        <f t="shared" ca="1" si="52"/>
        <v>#REF!</v>
      </c>
      <c r="I1120" s="136" t="e">
        <f t="shared" ca="1" si="53"/>
        <v>#REF!</v>
      </c>
    </row>
    <row r="1121" spans="1:9" hidden="1" x14ac:dyDescent="0.25">
      <c r="A1121" s="114" t="s">
        <v>1295</v>
      </c>
      <c r="B1121" s="115" t="s">
        <v>6416</v>
      </c>
      <c r="C1121" s="116" t="s">
        <v>95</v>
      </c>
      <c r="D1121" s="116">
        <v>0</v>
      </c>
      <c r="E1121" s="135">
        <f ca="1">OFFSET(INDEX(Composições!A:J,MATCH(Orçamentária!A1121,Composições!A:A,0),8),2,0)</f>
        <v>14.614113529999997</v>
      </c>
      <c r="F1121" s="136">
        <f t="shared" ca="1" si="51"/>
        <v>0</v>
      </c>
      <c r="G1121" s="137" t="e">
        <f>IF(A1121&lt;&gt;"",IF(AND(#REF!="Padrão",$H$4=#REF!),BDI!$B$17,IF(AND(#REF!="Padrão",$H$4=#REF!),BDI!#REF!,IF(AND(#REF!="Diferenciado",$H$4=#REF!),BDI!$E$17,IF(AND(#REF!="Diferenciado",$H$4=#REF!),BDI!#REF!,IF(#REF!="ZERO",0))))),"")</f>
        <v>#REF!</v>
      </c>
      <c r="H1121" s="138" t="e">
        <f t="shared" ca="1" si="52"/>
        <v>#REF!</v>
      </c>
      <c r="I1121" s="136" t="e">
        <f t="shared" ca="1" si="53"/>
        <v>#REF!</v>
      </c>
    </row>
    <row r="1122" spans="1:9" hidden="1" x14ac:dyDescent="0.25">
      <c r="A1122" s="114" t="s">
        <v>1297</v>
      </c>
      <c r="B1122" s="115" t="s">
        <v>6417</v>
      </c>
      <c r="C1122" s="116" t="s">
        <v>95</v>
      </c>
      <c r="D1122" s="116">
        <v>0</v>
      </c>
      <c r="E1122" s="135">
        <f ca="1">OFFSET(INDEX(Composições!A:J,MATCH(Orçamentária!A1122,Composições!A:A,0),8),2,0)</f>
        <v>8.2758299999999991</v>
      </c>
      <c r="F1122" s="136">
        <f t="shared" ca="1" si="51"/>
        <v>0</v>
      </c>
      <c r="G1122" s="137" t="e">
        <f>IF(A1122&lt;&gt;"",IF(AND(#REF!="Padrão",$H$4=#REF!),BDI!$B$17,IF(AND(#REF!="Padrão",$H$4=#REF!),BDI!#REF!,IF(AND(#REF!="Diferenciado",$H$4=#REF!),BDI!$E$17,IF(AND(#REF!="Diferenciado",$H$4=#REF!),BDI!#REF!,IF(#REF!="ZERO",0))))),"")</f>
        <v>#REF!</v>
      </c>
      <c r="H1122" s="138" t="e">
        <f t="shared" ca="1" si="52"/>
        <v>#REF!</v>
      </c>
      <c r="I1122" s="136" t="e">
        <f t="shared" ca="1" si="53"/>
        <v>#REF!</v>
      </c>
    </row>
    <row r="1123" spans="1:9" hidden="1" x14ac:dyDescent="0.25">
      <c r="A1123" s="114" t="s">
        <v>1299</v>
      </c>
      <c r="B1123" s="115" t="s">
        <v>6418</v>
      </c>
      <c r="C1123" s="116" t="s">
        <v>95</v>
      </c>
      <c r="D1123" s="116">
        <v>0</v>
      </c>
      <c r="E1123" s="135">
        <f ca="1">OFFSET(INDEX(Composições!A:J,MATCH(Orçamentária!A1123,Composições!A:A,0),8),2,0)</f>
        <v>8.2758299999999991</v>
      </c>
      <c r="F1123" s="136">
        <f t="shared" ca="1" si="51"/>
        <v>0</v>
      </c>
      <c r="G1123" s="137" t="e">
        <f>IF(A1123&lt;&gt;"",IF(AND(#REF!="Padrão",$H$4=#REF!),BDI!$B$17,IF(AND(#REF!="Padrão",$H$4=#REF!),BDI!#REF!,IF(AND(#REF!="Diferenciado",$H$4=#REF!),BDI!$E$17,IF(AND(#REF!="Diferenciado",$H$4=#REF!),BDI!#REF!,IF(#REF!="ZERO",0))))),"")</f>
        <v>#REF!</v>
      </c>
      <c r="H1123" s="138" t="e">
        <f t="shared" ca="1" si="52"/>
        <v>#REF!</v>
      </c>
      <c r="I1123" s="136" t="e">
        <f t="shared" ca="1" si="53"/>
        <v>#REF!</v>
      </c>
    </row>
    <row r="1124" spans="1:9" hidden="1" x14ac:dyDescent="0.25">
      <c r="A1124" s="114" t="s">
        <v>1301</v>
      </c>
      <c r="B1124" s="115" t="s">
        <v>3088</v>
      </c>
      <c r="C1124" s="116" t="s">
        <v>95</v>
      </c>
      <c r="D1124" s="116">
        <v>0</v>
      </c>
      <c r="E1124" s="135">
        <f ca="1">OFFSET(INDEX(Composições!A:J,MATCH(Orçamentária!A1124,Composições!A:A,0),8),2,0)</f>
        <v>35.157577199999999</v>
      </c>
      <c r="F1124" s="136">
        <f t="shared" ca="1" si="51"/>
        <v>0</v>
      </c>
      <c r="G1124" s="137" t="e">
        <f>IF(A1124&lt;&gt;"",IF(AND(#REF!="Padrão",$H$4=#REF!),BDI!$B$17,IF(AND(#REF!="Padrão",$H$4=#REF!),BDI!#REF!,IF(AND(#REF!="Diferenciado",$H$4=#REF!),BDI!$E$17,IF(AND(#REF!="Diferenciado",$H$4=#REF!),BDI!#REF!,IF(#REF!="ZERO",0))))),"")</f>
        <v>#REF!</v>
      </c>
      <c r="H1124" s="138" t="e">
        <f t="shared" ca="1" si="52"/>
        <v>#REF!</v>
      </c>
      <c r="I1124" s="136" t="e">
        <f t="shared" ca="1" si="53"/>
        <v>#REF!</v>
      </c>
    </row>
    <row r="1125" spans="1:9" hidden="1" x14ac:dyDescent="0.25">
      <c r="A1125" s="114" t="s">
        <v>1306</v>
      </c>
      <c r="B1125" s="115" t="s">
        <v>6419</v>
      </c>
      <c r="C1125" s="116" t="s">
        <v>95</v>
      </c>
      <c r="D1125" s="116">
        <v>0</v>
      </c>
      <c r="E1125" s="135">
        <f ca="1">OFFSET(INDEX(Composições!A:J,MATCH(Orçamentária!A1125,Composições!A:A,0),8),2,0)</f>
        <v>13.310649499999998</v>
      </c>
      <c r="F1125" s="136">
        <f t="shared" ca="1" si="51"/>
        <v>0</v>
      </c>
      <c r="G1125" s="137" t="e">
        <f>IF(A1125&lt;&gt;"",IF(AND(#REF!="Padrão",$H$4=#REF!),BDI!$B$17,IF(AND(#REF!="Padrão",$H$4=#REF!),BDI!#REF!,IF(AND(#REF!="Diferenciado",$H$4=#REF!),BDI!$E$17,IF(AND(#REF!="Diferenciado",$H$4=#REF!),BDI!#REF!,IF(#REF!="ZERO",0))))),"")</f>
        <v>#REF!</v>
      </c>
      <c r="H1125" s="138" t="e">
        <f t="shared" ca="1" si="52"/>
        <v>#REF!</v>
      </c>
      <c r="I1125" s="136" t="e">
        <f t="shared" ca="1" si="53"/>
        <v>#REF!</v>
      </c>
    </row>
    <row r="1126" spans="1:9" hidden="1" x14ac:dyDescent="0.25">
      <c r="A1126" s="114" t="s">
        <v>1308</v>
      </c>
      <c r="B1126" s="115" t="s">
        <v>6420</v>
      </c>
      <c r="C1126" s="116" t="s">
        <v>95</v>
      </c>
      <c r="D1126" s="116">
        <v>0</v>
      </c>
      <c r="E1126" s="135">
        <f ca="1">OFFSET(INDEX(Composições!A:J,MATCH(Orçamentária!A1126,Composições!A:A,0),8),2,0)</f>
        <v>13.914987249999999</v>
      </c>
      <c r="F1126" s="136">
        <f t="shared" ca="1" si="51"/>
        <v>0</v>
      </c>
      <c r="G1126" s="137" t="e">
        <f>IF(A1126&lt;&gt;"",IF(AND(#REF!="Padrão",$H$4=#REF!),BDI!$B$17,IF(AND(#REF!="Padrão",$H$4=#REF!),BDI!#REF!,IF(AND(#REF!="Diferenciado",$H$4=#REF!),BDI!$E$17,IF(AND(#REF!="Diferenciado",$H$4=#REF!),BDI!#REF!,IF(#REF!="ZERO",0))))),"")</f>
        <v>#REF!</v>
      </c>
      <c r="H1126" s="138" t="e">
        <f t="shared" ca="1" si="52"/>
        <v>#REF!</v>
      </c>
      <c r="I1126" s="136" t="e">
        <f t="shared" ca="1" si="53"/>
        <v>#REF!</v>
      </c>
    </row>
    <row r="1127" spans="1:9" hidden="1" x14ac:dyDescent="0.25">
      <c r="A1127" s="114" t="s">
        <v>1311</v>
      </c>
      <c r="B1127" s="115" t="s">
        <v>3089</v>
      </c>
      <c r="C1127" s="116" t="s">
        <v>95</v>
      </c>
      <c r="D1127" s="116">
        <v>0</v>
      </c>
      <c r="E1127" s="135" t="s">
        <v>558</v>
      </c>
      <c r="F1127" s="136" t="str">
        <f t="shared" si="51"/>
        <v/>
      </c>
      <c r="G1127" s="137" t="e">
        <f>IF(A1127&lt;&gt;"",IF(AND(#REF!="Padrão",$H$4=#REF!),BDI!$B$17,IF(AND(#REF!="Padrão",$H$4=#REF!),BDI!#REF!,IF(AND(#REF!="Diferenciado",$H$4=#REF!),BDI!$E$17,IF(AND(#REF!="Diferenciado",$H$4=#REF!),BDI!#REF!,IF(#REF!="ZERO",0))))),"")</f>
        <v>#REF!</v>
      </c>
      <c r="H1127" s="138" t="str">
        <f t="shared" si="52"/>
        <v/>
      </c>
      <c r="I1127" s="136" t="str">
        <f t="shared" si="53"/>
        <v/>
      </c>
    </row>
    <row r="1128" spans="1:9" hidden="1" x14ac:dyDescent="0.25">
      <c r="A1128" s="114" t="s">
        <v>1312</v>
      </c>
      <c r="B1128" s="115" t="s">
        <v>3090</v>
      </c>
      <c r="C1128" s="116" t="s">
        <v>95</v>
      </c>
      <c r="D1128" s="116">
        <v>0</v>
      </c>
      <c r="E1128" s="135">
        <f ca="1">OFFSET(INDEX(Composições!A:J,MATCH(Orçamentária!A1128,Composições!A:A,0),8),2,0)</f>
        <v>14.950244999999999</v>
      </c>
      <c r="F1128" s="136">
        <f t="shared" ca="1" si="51"/>
        <v>0</v>
      </c>
      <c r="G1128" s="137" t="e">
        <f>IF(A1128&lt;&gt;"",IF(AND(#REF!="Padrão",$H$4=#REF!),BDI!$B$17,IF(AND(#REF!="Padrão",$H$4=#REF!),BDI!#REF!,IF(AND(#REF!="Diferenciado",$H$4=#REF!),BDI!$E$17,IF(AND(#REF!="Diferenciado",$H$4=#REF!),BDI!#REF!,IF(#REF!="ZERO",0))))),"")</f>
        <v>#REF!</v>
      </c>
      <c r="H1128" s="138" t="e">
        <f t="shared" ca="1" si="52"/>
        <v>#REF!</v>
      </c>
      <c r="I1128" s="136" t="e">
        <f t="shared" ca="1" si="53"/>
        <v>#REF!</v>
      </c>
    </row>
    <row r="1129" spans="1:9" hidden="1" x14ac:dyDescent="0.25">
      <c r="A1129" s="114" t="s">
        <v>1313</v>
      </c>
      <c r="B1129" s="115" t="s">
        <v>3091</v>
      </c>
      <c r="C1129" s="116" t="s">
        <v>95</v>
      </c>
      <c r="D1129" s="116">
        <v>0</v>
      </c>
      <c r="E1129" s="135">
        <f ca="1">OFFSET(INDEX(Composições!A:J,MATCH(Orçamentária!A1129,Composições!A:A,0),8),2,0)</f>
        <v>55.938857599999999</v>
      </c>
      <c r="F1129" s="136">
        <f t="shared" ca="1" si="51"/>
        <v>0</v>
      </c>
      <c r="G1129" s="137" t="e">
        <f>IF(A1129&lt;&gt;"",IF(AND(#REF!="Padrão",$H$4=#REF!),BDI!$B$17,IF(AND(#REF!="Padrão",$H$4=#REF!),BDI!#REF!,IF(AND(#REF!="Diferenciado",$H$4=#REF!),BDI!$E$17,IF(AND(#REF!="Diferenciado",$H$4=#REF!),BDI!#REF!,IF(#REF!="ZERO",0))))),"")</f>
        <v>#REF!</v>
      </c>
      <c r="H1129" s="138" t="e">
        <f t="shared" ca="1" si="52"/>
        <v>#REF!</v>
      </c>
      <c r="I1129" s="136" t="e">
        <f t="shared" ca="1" si="53"/>
        <v>#REF!</v>
      </c>
    </row>
    <row r="1130" spans="1:9" hidden="1" x14ac:dyDescent="0.25">
      <c r="A1130" s="114" t="s">
        <v>1316</v>
      </c>
      <c r="B1130" s="115" t="s">
        <v>3092</v>
      </c>
      <c r="C1130" s="116" t="s">
        <v>95</v>
      </c>
      <c r="D1130" s="116">
        <v>0</v>
      </c>
      <c r="E1130" s="135">
        <f ca="1">OFFSET(INDEX(Composições!A:J,MATCH(Orçamentária!A1130,Composições!A:A,0),8),2,0)</f>
        <v>19.286519999999999</v>
      </c>
      <c r="F1130" s="136">
        <f t="shared" ca="1" si="51"/>
        <v>0</v>
      </c>
      <c r="G1130" s="137" t="e">
        <f>IF(A1130&lt;&gt;"",IF(AND(#REF!="Padrão",$H$4=#REF!),BDI!$B$17,IF(AND(#REF!="Padrão",$H$4=#REF!),BDI!#REF!,IF(AND(#REF!="Diferenciado",$H$4=#REF!),BDI!$E$17,IF(AND(#REF!="Diferenciado",$H$4=#REF!),BDI!#REF!,IF(#REF!="ZERO",0))))),"")</f>
        <v>#REF!</v>
      </c>
      <c r="H1130" s="138" t="e">
        <f t="shared" ca="1" si="52"/>
        <v>#REF!</v>
      </c>
      <c r="I1130" s="136" t="e">
        <f t="shared" ca="1" si="53"/>
        <v>#REF!</v>
      </c>
    </row>
    <row r="1131" spans="1:9" hidden="1" x14ac:dyDescent="0.25">
      <c r="A1131" s="114" t="s">
        <v>1318</v>
      </c>
      <c r="B1131" s="115" t="s">
        <v>3093</v>
      </c>
      <c r="C1131" s="116" t="s">
        <v>95</v>
      </c>
      <c r="D1131" s="116">
        <v>0</v>
      </c>
      <c r="E1131" s="135">
        <f ca="1">OFFSET(INDEX(Composições!A:J,MATCH(Orçamentária!A1131,Composições!A:A,0),8),2,0)</f>
        <v>1.1543355</v>
      </c>
      <c r="F1131" s="136">
        <f t="shared" ca="1" si="51"/>
        <v>0</v>
      </c>
      <c r="G1131" s="137" t="e">
        <f>IF(A1131&lt;&gt;"",IF(AND(#REF!="Padrão",$H$4=#REF!),BDI!$B$17,IF(AND(#REF!="Padrão",$H$4=#REF!),BDI!#REF!,IF(AND(#REF!="Diferenciado",$H$4=#REF!),BDI!$E$17,IF(AND(#REF!="Diferenciado",$H$4=#REF!),BDI!#REF!,IF(#REF!="ZERO",0))))),"")</f>
        <v>#REF!</v>
      </c>
      <c r="H1131" s="138" t="e">
        <f t="shared" ca="1" si="52"/>
        <v>#REF!</v>
      </c>
      <c r="I1131" s="136" t="e">
        <f t="shared" ca="1" si="53"/>
        <v>#REF!</v>
      </c>
    </row>
    <row r="1132" spans="1:9" hidden="1" x14ac:dyDescent="0.25">
      <c r="A1132" s="114" t="s">
        <v>1320</v>
      </c>
      <c r="B1132" s="115" t="s">
        <v>3094</v>
      </c>
      <c r="C1132" s="116" t="s">
        <v>95</v>
      </c>
      <c r="D1132" s="116">
        <v>0</v>
      </c>
      <c r="E1132" s="135">
        <f ca="1">OFFSET(INDEX(Composições!A:J,MATCH(Orçamentária!A1132,Composições!A:A,0),8),2,0)</f>
        <v>27.155405149999996</v>
      </c>
      <c r="F1132" s="136">
        <f t="shared" ca="1" si="51"/>
        <v>0</v>
      </c>
      <c r="G1132" s="137" t="e">
        <f>IF(A1132&lt;&gt;"",IF(AND(#REF!="Padrão",$H$4=#REF!),BDI!$B$17,IF(AND(#REF!="Padrão",$H$4=#REF!),BDI!#REF!,IF(AND(#REF!="Diferenciado",$H$4=#REF!),BDI!$E$17,IF(AND(#REF!="Diferenciado",$H$4=#REF!),BDI!#REF!,IF(#REF!="ZERO",0))))),"")</f>
        <v>#REF!</v>
      </c>
      <c r="H1132" s="138" t="e">
        <f t="shared" ca="1" si="52"/>
        <v>#REF!</v>
      </c>
      <c r="I1132" s="136" t="e">
        <f t="shared" ca="1" si="53"/>
        <v>#REF!</v>
      </c>
    </row>
    <row r="1133" spans="1:9" hidden="1" x14ac:dyDescent="0.25">
      <c r="A1133" s="114" t="s">
        <v>1324</v>
      </c>
      <c r="B1133" s="115" t="s">
        <v>3095</v>
      </c>
      <c r="C1133" s="116" t="s">
        <v>93</v>
      </c>
      <c r="D1133" s="116">
        <v>0</v>
      </c>
      <c r="E1133" s="135">
        <f ca="1">OFFSET(INDEX(Composições!A:J,MATCH(Orçamentária!A1133,Composições!A:A,0),8),2,0)</f>
        <v>8.54672725</v>
      </c>
      <c r="F1133" s="136">
        <f t="shared" ca="1" si="51"/>
        <v>0</v>
      </c>
      <c r="G1133" s="137" t="e">
        <f>IF(A1133&lt;&gt;"",IF(AND(#REF!="Padrão",$H$4=#REF!),BDI!$B$17,IF(AND(#REF!="Padrão",$H$4=#REF!),BDI!#REF!,IF(AND(#REF!="Diferenciado",$H$4=#REF!),BDI!$E$17,IF(AND(#REF!="Diferenciado",$H$4=#REF!),BDI!#REF!,IF(#REF!="ZERO",0))))),"")</f>
        <v>#REF!</v>
      </c>
      <c r="H1133" s="138" t="e">
        <f t="shared" ca="1" si="52"/>
        <v>#REF!</v>
      </c>
      <c r="I1133" s="136" t="e">
        <f t="shared" ca="1" si="53"/>
        <v>#REF!</v>
      </c>
    </row>
    <row r="1134" spans="1:9" hidden="1" x14ac:dyDescent="0.25">
      <c r="A1134" s="114" t="s">
        <v>1330</v>
      </c>
      <c r="B1134" s="115" t="s">
        <v>3096</v>
      </c>
      <c r="C1134" s="116" t="s">
        <v>95</v>
      </c>
      <c r="D1134" s="116">
        <v>0</v>
      </c>
      <c r="E1134" s="135">
        <f ca="1">OFFSET(INDEX(Composições!A:J,MATCH(Orçamentária!A1134,Composições!A:A,0),8),2,0)</f>
        <v>58.273240043719994</v>
      </c>
      <c r="F1134" s="136">
        <f t="shared" ca="1" si="51"/>
        <v>0</v>
      </c>
      <c r="G1134" s="137" t="e">
        <f>IF(A1134&lt;&gt;"",IF(AND(#REF!="Padrão",$H$4=#REF!),BDI!$B$17,IF(AND(#REF!="Padrão",$H$4=#REF!),BDI!#REF!,IF(AND(#REF!="Diferenciado",$H$4=#REF!),BDI!$E$17,IF(AND(#REF!="Diferenciado",$H$4=#REF!),BDI!#REF!,IF(#REF!="ZERO",0))))),"")</f>
        <v>#REF!</v>
      </c>
      <c r="H1134" s="138" t="e">
        <f t="shared" ca="1" si="52"/>
        <v>#REF!</v>
      </c>
      <c r="I1134" s="136" t="e">
        <f t="shared" ca="1" si="53"/>
        <v>#REF!</v>
      </c>
    </row>
    <row r="1135" spans="1:9" hidden="1" x14ac:dyDescent="0.25">
      <c r="A1135" s="114" t="s">
        <v>1338</v>
      </c>
      <c r="B1135" s="115" t="s">
        <v>3097</v>
      </c>
      <c r="C1135" s="116" t="s">
        <v>110</v>
      </c>
      <c r="D1135" s="116">
        <v>0</v>
      </c>
      <c r="E1135" s="135">
        <f ca="1">OFFSET(INDEX(Composições!A:J,MATCH(Orçamentária!A1135,Composições!A:A,0),8),2,0)</f>
        <v>756.87057019199995</v>
      </c>
      <c r="F1135" s="136">
        <f t="shared" ca="1" si="51"/>
        <v>0</v>
      </c>
      <c r="G1135" s="137" t="e">
        <f>IF(A1135&lt;&gt;"",IF(AND(#REF!="Padrão",$H$4=#REF!),BDI!$B$17,IF(AND(#REF!="Padrão",$H$4=#REF!),BDI!#REF!,IF(AND(#REF!="Diferenciado",$H$4=#REF!),BDI!$E$17,IF(AND(#REF!="Diferenciado",$H$4=#REF!),BDI!#REF!,IF(#REF!="ZERO",0))))),"")</f>
        <v>#REF!</v>
      </c>
      <c r="H1135" s="138" t="e">
        <f t="shared" ca="1" si="52"/>
        <v>#REF!</v>
      </c>
      <c r="I1135" s="136" t="e">
        <f t="shared" ca="1" si="53"/>
        <v>#REF!</v>
      </c>
    </row>
    <row r="1136" spans="1:9" hidden="1" x14ac:dyDescent="0.25">
      <c r="A1136" s="114" t="s">
        <v>1357</v>
      </c>
      <c r="B1136" s="115" t="s">
        <v>3098</v>
      </c>
      <c r="C1136" s="116" t="s">
        <v>110</v>
      </c>
      <c r="D1136" s="116">
        <v>0</v>
      </c>
      <c r="E1136" s="135">
        <f ca="1">OFFSET(INDEX(Composições!A:J,MATCH(Orçamentária!A1136,Composições!A:A,0),8),2,0)</f>
        <v>200.75399999999996</v>
      </c>
      <c r="F1136" s="136">
        <f t="shared" ca="1" si="51"/>
        <v>0</v>
      </c>
      <c r="G1136" s="137" t="e">
        <f>IF(A1136&lt;&gt;"",IF(AND(#REF!="Padrão",$H$4=#REF!),BDI!$B$17,IF(AND(#REF!="Padrão",$H$4=#REF!),BDI!#REF!,IF(AND(#REF!="Diferenciado",$H$4=#REF!),BDI!$E$17,IF(AND(#REF!="Diferenciado",$H$4=#REF!),BDI!#REF!,IF(#REF!="ZERO",0))))),"")</f>
        <v>#REF!</v>
      </c>
      <c r="H1136" s="138" t="e">
        <f t="shared" ca="1" si="52"/>
        <v>#REF!</v>
      </c>
      <c r="I1136" s="136" t="e">
        <f t="shared" ca="1" si="53"/>
        <v>#REF!</v>
      </c>
    </row>
    <row r="1137" spans="1:9" hidden="1" x14ac:dyDescent="0.25">
      <c r="A1137" s="114" t="s">
        <v>1361</v>
      </c>
      <c r="B1137" s="115" t="s">
        <v>3099</v>
      </c>
      <c r="C1137" s="116" t="s">
        <v>95</v>
      </c>
      <c r="D1137" s="116">
        <v>0</v>
      </c>
      <c r="E1137" s="135">
        <f ca="1">OFFSET(INDEX(Composições!A:J,MATCH(Orçamentária!A1137,Composições!A:A,0),8),2,0)</f>
        <v>14.75043625</v>
      </c>
      <c r="F1137" s="136">
        <f t="shared" ca="1" si="51"/>
        <v>0</v>
      </c>
      <c r="G1137" s="137" t="e">
        <f>IF(A1137&lt;&gt;"",IF(AND(#REF!="Padrão",$H$4=#REF!),BDI!$B$17,IF(AND(#REF!="Padrão",$H$4=#REF!),BDI!#REF!,IF(AND(#REF!="Diferenciado",$H$4=#REF!),BDI!$E$17,IF(AND(#REF!="Diferenciado",$H$4=#REF!),BDI!#REF!,IF(#REF!="ZERO",0))))),"")</f>
        <v>#REF!</v>
      </c>
      <c r="H1137" s="138" t="e">
        <f t="shared" ca="1" si="52"/>
        <v>#REF!</v>
      </c>
      <c r="I1137" s="136" t="e">
        <f t="shared" ca="1" si="53"/>
        <v>#REF!</v>
      </c>
    </row>
    <row r="1138" spans="1:9" hidden="1" x14ac:dyDescent="0.25">
      <c r="A1138" s="114" t="s">
        <v>1366</v>
      </c>
      <c r="B1138" s="115" t="s">
        <v>3100</v>
      </c>
      <c r="C1138" s="116" t="s">
        <v>95</v>
      </c>
      <c r="D1138" s="116">
        <v>0</v>
      </c>
      <c r="E1138" s="135">
        <f ca="1">OFFSET(INDEX(Composições!A:J,MATCH(Orçamentária!A1138,Composições!A:A,0),8),2,0)</f>
        <v>92.033329549999962</v>
      </c>
      <c r="F1138" s="136">
        <f t="shared" ca="1" si="51"/>
        <v>0</v>
      </c>
      <c r="G1138" s="137" t="e">
        <f>IF(A1138&lt;&gt;"",IF(AND(#REF!="Padrão",$H$4=#REF!),BDI!$B$17,IF(AND(#REF!="Padrão",$H$4=#REF!),BDI!#REF!,IF(AND(#REF!="Diferenciado",$H$4=#REF!),BDI!$E$17,IF(AND(#REF!="Diferenciado",$H$4=#REF!),BDI!#REF!,IF(#REF!="ZERO",0))))),"")</f>
        <v>#REF!</v>
      </c>
      <c r="H1138" s="138" t="e">
        <f t="shared" ca="1" si="52"/>
        <v>#REF!</v>
      </c>
      <c r="I1138" s="136" t="e">
        <f t="shared" ca="1" si="53"/>
        <v>#REF!</v>
      </c>
    </row>
    <row r="1139" spans="1:9" hidden="1" x14ac:dyDescent="0.25">
      <c r="A1139" s="114" t="s">
        <v>1371</v>
      </c>
      <c r="B1139" s="115" t="s">
        <v>3101</v>
      </c>
      <c r="C1139" s="116" t="s">
        <v>93</v>
      </c>
      <c r="D1139" s="116">
        <v>0</v>
      </c>
      <c r="E1139" s="135">
        <f ca="1">OFFSET(INDEX(Composições!A:J,MATCH(Orçamentária!A1139,Composições!A:A,0),8),2,0)</f>
        <v>11.062263599999998</v>
      </c>
      <c r="F1139" s="136">
        <f t="shared" ca="1" si="51"/>
        <v>0</v>
      </c>
      <c r="G1139" s="137" t="e">
        <f>IF(A1139&lt;&gt;"",IF(AND(#REF!="Padrão",$H$4=#REF!),BDI!$B$17,IF(AND(#REF!="Padrão",$H$4=#REF!),BDI!#REF!,IF(AND(#REF!="Diferenciado",$H$4=#REF!),BDI!$E$17,IF(AND(#REF!="Diferenciado",$H$4=#REF!),BDI!#REF!,IF(#REF!="ZERO",0))))),"")</f>
        <v>#REF!</v>
      </c>
      <c r="H1139" s="138" t="e">
        <f t="shared" ca="1" si="52"/>
        <v>#REF!</v>
      </c>
      <c r="I1139" s="136" t="e">
        <f t="shared" ca="1" si="53"/>
        <v>#REF!</v>
      </c>
    </row>
    <row r="1140" spans="1:9" hidden="1" x14ac:dyDescent="0.25">
      <c r="A1140" s="114" t="s">
        <v>1372</v>
      </c>
      <c r="B1140" s="115" t="s">
        <v>3102</v>
      </c>
      <c r="C1140" s="116" t="s">
        <v>95</v>
      </c>
      <c r="D1140" s="116">
        <v>0</v>
      </c>
      <c r="E1140" s="135">
        <f ca="1">OFFSET(INDEX(Composições!A:J,MATCH(Orçamentária!A1140,Composições!A:A,0),8),2,0)</f>
        <v>12.168159549999999</v>
      </c>
      <c r="F1140" s="136">
        <f t="shared" ca="1" si="51"/>
        <v>0</v>
      </c>
      <c r="G1140" s="137" t="e">
        <f>IF(A1140&lt;&gt;"",IF(AND(#REF!="Padrão",$H$4=#REF!),BDI!$B$17,IF(AND(#REF!="Padrão",$H$4=#REF!),BDI!#REF!,IF(AND(#REF!="Diferenciado",$H$4=#REF!),BDI!$E$17,IF(AND(#REF!="Diferenciado",$H$4=#REF!),BDI!#REF!,IF(#REF!="ZERO",0))))),"")</f>
        <v>#REF!</v>
      </c>
      <c r="H1140" s="138" t="e">
        <f t="shared" ca="1" si="52"/>
        <v>#REF!</v>
      </c>
      <c r="I1140" s="136" t="e">
        <f t="shared" ca="1" si="53"/>
        <v>#REF!</v>
      </c>
    </row>
    <row r="1141" spans="1:9" hidden="1" x14ac:dyDescent="0.25">
      <c r="A1141" s="114" t="s">
        <v>1374</v>
      </c>
      <c r="B1141" s="115" t="s">
        <v>3103</v>
      </c>
      <c r="C1141" s="116" t="s">
        <v>93</v>
      </c>
      <c r="D1141" s="116">
        <v>0</v>
      </c>
      <c r="E1141" s="135">
        <f ca="1">OFFSET(INDEX(Composições!A:J,MATCH(Orçamentária!A1141,Composições!A:A,0),8),2,0)</f>
        <v>11.062263599999998</v>
      </c>
      <c r="F1141" s="136">
        <f t="shared" ca="1" si="51"/>
        <v>0</v>
      </c>
      <c r="G1141" s="137" t="e">
        <f>IF(A1141&lt;&gt;"",IF(AND(#REF!="Padrão",$H$4=#REF!),BDI!$B$17,IF(AND(#REF!="Padrão",$H$4=#REF!),BDI!#REF!,IF(AND(#REF!="Diferenciado",$H$4=#REF!),BDI!$E$17,IF(AND(#REF!="Diferenciado",$H$4=#REF!),BDI!#REF!,IF(#REF!="ZERO",0))))),"")</f>
        <v>#REF!</v>
      </c>
      <c r="H1141" s="138" t="e">
        <f t="shared" ca="1" si="52"/>
        <v>#REF!</v>
      </c>
      <c r="I1141" s="136" t="e">
        <f t="shared" ca="1" si="53"/>
        <v>#REF!</v>
      </c>
    </row>
    <row r="1142" spans="1:9" hidden="1" x14ac:dyDescent="0.25">
      <c r="A1142" s="114" t="s">
        <v>1375</v>
      </c>
      <c r="B1142" s="115" t="s">
        <v>3104</v>
      </c>
      <c r="C1142" s="116" t="s">
        <v>95</v>
      </c>
      <c r="D1142" s="116">
        <v>0</v>
      </c>
      <c r="E1142" s="135">
        <f ca="1">OFFSET(INDEX(Composições!A:J,MATCH(Orçamentária!A1142,Composições!A:A,0),8),2,0)</f>
        <v>17.245349999999998</v>
      </c>
      <c r="F1142" s="136">
        <f t="shared" ca="1" si="51"/>
        <v>0</v>
      </c>
      <c r="G1142" s="137" t="e">
        <f>IF(A1142&lt;&gt;"",IF(AND(#REF!="Padrão",$H$4=#REF!),BDI!$B$17,IF(AND(#REF!="Padrão",$H$4=#REF!),BDI!#REF!,IF(AND(#REF!="Diferenciado",$H$4=#REF!),BDI!$E$17,IF(AND(#REF!="Diferenciado",$H$4=#REF!),BDI!#REF!,IF(#REF!="ZERO",0))))),"")</f>
        <v>#REF!</v>
      </c>
      <c r="H1142" s="138" t="e">
        <f t="shared" ca="1" si="52"/>
        <v>#REF!</v>
      </c>
      <c r="I1142" s="136" t="e">
        <f t="shared" ca="1" si="53"/>
        <v>#REF!</v>
      </c>
    </row>
    <row r="1143" spans="1:9" hidden="1" x14ac:dyDescent="0.25">
      <c r="A1143" s="114" t="s">
        <v>1381</v>
      </c>
      <c r="B1143" s="115" t="s">
        <v>3105</v>
      </c>
      <c r="C1143" s="116" t="s">
        <v>93</v>
      </c>
      <c r="D1143" s="116">
        <v>0</v>
      </c>
      <c r="E1143" s="135">
        <f ca="1">OFFSET(INDEX(Composições!A:J,MATCH(Orçamentária!A1143,Composições!A:A,0),8),2,0)</f>
        <v>2.4452999999999996</v>
      </c>
      <c r="F1143" s="136">
        <f t="shared" ca="1" si="51"/>
        <v>0</v>
      </c>
      <c r="G1143" s="137" t="e">
        <f>IF(A1143&lt;&gt;"",IF(AND(#REF!="Padrão",$H$4=#REF!),BDI!$B$17,IF(AND(#REF!="Padrão",$H$4=#REF!),BDI!#REF!,IF(AND(#REF!="Diferenciado",$H$4=#REF!),BDI!$E$17,IF(AND(#REF!="Diferenciado",$H$4=#REF!),BDI!#REF!,IF(#REF!="ZERO",0))))),"")</f>
        <v>#REF!</v>
      </c>
      <c r="H1143" s="138" t="e">
        <f t="shared" ca="1" si="52"/>
        <v>#REF!</v>
      </c>
      <c r="I1143" s="136" t="e">
        <f t="shared" ca="1" si="53"/>
        <v>#REF!</v>
      </c>
    </row>
    <row r="1144" spans="1:9" hidden="1" x14ac:dyDescent="0.25">
      <c r="A1144" s="114" t="s">
        <v>1383</v>
      </c>
      <c r="B1144" s="115" t="s">
        <v>3106</v>
      </c>
      <c r="C1144" s="116" t="s">
        <v>93</v>
      </c>
      <c r="D1144" s="116">
        <v>0</v>
      </c>
      <c r="E1144" s="135">
        <f ca="1">OFFSET(INDEX(Composições!A:J,MATCH(Orçamentária!A1144,Composições!A:A,0),8),2,0)</f>
        <v>2.4452999999999996</v>
      </c>
      <c r="F1144" s="136">
        <f t="shared" ca="1" si="51"/>
        <v>0</v>
      </c>
      <c r="G1144" s="137" t="e">
        <f>IF(A1144&lt;&gt;"",IF(AND(#REF!="Padrão",$H$4=#REF!),BDI!$B$17,IF(AND(#REF!="Padrão",$H$4=#REF!),BDI!#REF!,IF(AND(#REF!="Diferenciado",$H$4=#REF!),BDI!$E$17,IF(AND(#REF!="Diferenciado",$H$4=#REF!),BDI!#REF!,IF(#REF!="ZERO",0))))),"")</f>
        <v>#REF!</v>
      </c>
      <c r="H1144" s="138" t="e">
        <f t="shared" ca="1" si="52"/>
        <v>#REF!</v>
      </c>
      <c r="I1144" s="136" t="e">
        <f t="shared" ca="1" si="53"/>
        <v>#REF!</v>
      </c>
    </row>
    <row r="1145" spans="1:9" hidden="1" x14ac:dyDescent="0.25">
      <c r="A1145" s="114" t="s">
        <v>1385</v>
      </c>
      <c r="B1145" s="115" t="s">
        <v>3107</v>
      </c>
      <c r="C1145" s="116" t="s">
        <v>95</v>
      </c>
      <c r="D1145" s="116">
        <v>0</v>
      </c>
      <c r="E1145" s="135">
        <f ca="1">OFFSET(INDEX(Composições!A:J,MATCH(Orçamentária!A1145,Composições!A:A,0),8),2,0)</f>
        <v>42.81217749999999</v>
      </c>
      <c r="F1145" s="136">
        <f t="shared" ca="1" si="51"/>
        <v>0</v>
      </c>
      <c r="G1145" s="137" t="e">
        <f>IF(A1145&lt;&gt;"",IF(AND(#REF!="Padrão",$H$4=#REF!),BDI!$B$17,IF(AND(#REF!="Padrão",$H$4=#REF!),BDI!#REF!,IF(AND(#REF!="Diferenciado",$H$4=#REF!),BDI!$E$17,IF(AND(#REF!="Diferenciado",$H$4=#REF!),BDI!#REF!,IF(#REF!="ZERO",0))))),"")</f>
        <v>#REF!</v>
      </c>
      <c r="H1145" s="138" t="e">
        <f t="shared" ca="1" si="52"/>
        <v>#REF!</v>
      </c>
      <c r="I1145" s="136" t="e">
        <f t="shared" ca="1" si="53"/>
        <v>#REF!</v>
      </c>
    </row>
    <row r="1146" spans="1:9" hidden="1" x14ac:dyDescent="0.25">
      <c r="A1146" s="114" t="s">
        <v>1389</v>
      </c>
      <c r="B1146" s="115" t="s">
        <v>3108</v>
      </c>
      <c r="C1146" s="116" t="s">
        <v>93</v>
      </c>
      <c r="D1146" s="116">
        <v>0</v>
      </c>
      <c r="E1146" s="135">
        <f ca="1">OFFSET(INDEX(Composições!A:J,MATCH(Orçamentária!A1146,Composições!A:A,0),8),2,0)</f>
        <v>57.420154600000011</v>
      </c>
      <c r="F1146" s="136">
        <f t="shared" ca="1" si="51"/>
        <v>0</v>
      </c>
      <c r="G1146" s="137" t="e">
        <f>IF(A1146&lt;&gt;"",IF(AND(#REF!="Padrão",$H$4=#REF!),BDI!$B$17,IF(AND(#REF!="Padrão",$H$4=#REF!),BDI!#REF!,IF(AND(#REF!="Diferenciado",$H$4=#REF!),BDI!$E$17,IF(AND(#REF!="Diferenciado",$H$4=#REF!),BDI!#REF!,IF(#REF!="ZERO",0))))),"")</f>
        <v>#REF!</v>
      </c>
      <c r="H1146" s="138" t="e">
        <f t="shared" ca="1" si="52"/>
        <v>#REF!</v>
      </c>
      <c r="I1146" s="136" t="e">
        <f t="shared" ca="1" si="53"/>
        <v>#REF!</v>
      </c>
    </row>
    <row r="1147" spans="1:9" hidden="1" x14ac:dyDescent="0.25">
      <c r="A1147" s="114" t="s">
        <v>1391</v>
      </c>
      <c r="B1147" s="115" t="s">
        <v>3109</v>
      </c>
      <c r="C1147" s="116" t="s">
        <v>93</v>
      </c>
      <c r="D1147" s="116">
        <v>0</v>
      </c>
      <c r="E1147" s="135">
        <f ca="1">OFFSET(INDEX(Composições!A:J,MATCH(Orçamentária!A1147,Composições!A:A,0),8),2,0)</f>
        <v>55.430826099999997</v>
      </c>
      <c r="F1147" s="136">
        <f t="shared" ca="1" si="51"/>
        <v>0</v>
      </c>
      <c r="G1147" s="137" t="e">
        <f>IF(A1147&lt;&gt;"",IF(AND(#REF!="Padrão",$H$4=#REF!),BDI!$B$17,IF(AND(#REF!="Padrão",$H$4=#REF!),BDI!#REF!,IF(AND(#REF!="Diferenciado",$H$4=#REF!),BDI!$E$17,IF(AND(#REF!="Diferenciado",$H$4=#REF!),BDI!#REF!,IF(#REF!="ZERO",0))))),"")</f>
        <v>#REF!</v>
      </c>
      <c r="H1147" s="138" t="e">
        <f t="shared" ca="1" si="52"/>
        <v>#REF!</v>
      </c>
      <c r="I1147" s="136" t="e">
        <f t="shared" ca="1" si="53"/>
        <v>#REF!</v>
      </c>
    </row>
    <row r="1148" spans="1:9" hidden="1" x14ac:dyDescent="0.25">
      <c r="A1148" s="114" t="s">
        <v>1393</v>
      </c>
      <c r="B1148" s="115" t="s">
        <v>3110</v>
      </c>
      <c r="C1148" s="116" t="s">
        <v>95</v>
      </c>
      <c r="D1148" s="116">
        <v>0</v>
      </c>
      <c r="E1148" s="135">
        <f ca="1">OFFSET(INDEX(Composições!A:J,MATCH(Orçamentária!A1148,Composições!A:A,0),8),2,0)</f>
        <v>6.113249999999999</v>
      </c>
      <c r="F1148" s="136">
        <f t="shared" ca="1" si="51"/>
        <v>0</v>
      </c>
      <c r="G1148" s="137" t="e">
        <f>IF(A1148&lt;&gt;"",IF(AND(#REF!="Padrão",$H$4=#REF!),BDI!$B$17,IF(AND(#REF!="Padrão",$H$4=#REF!),BDI!#REF!,IF(AND(#REF!="Diferenciado",$H$4=#REF!),BDI!$E$17,IF(AND(#REF!="Diferenciado",$H$4=#REF!),BDI!#REF!,IF(#REF!="ZERO",0))))),"")</f>
        <v>#REF!</v>
      </c>
      <c r="H1148" s="138" t="e">
        <f t="shared" ca="1" si="52"/>
        <v>#REF!</v>
      </c>
      <c r="I1148" s="136" t="e">
        <f t="shared" ca="1" si="53"/>
        <v>#REF!</v>
      </c>
    </row>
    <row r="1149" spans="1:9" hidden="1" x14ac:dyDescent="0.25">
      <c r="A1149" s="114" t="s">
        <v>3111</v>
      </c>
      <c r="B1149" s="115" t="s">
        <v>3112</v>
      </c>
      <c r="C1149" s="116" t="s">
        <v>20</v>
      </c>
      <c r="D1149" s="116">
        <v>0</v>
      </c>
      <c r="E1149" s="135" t="s">
        <v>558</v>
      </c>
      <c r="F1149" s="136" t="str">
        <f t="shared" si="51"/>
        <v/>
      </c>
      <c r="G1149" s="137" t="e">
        <f>IF(A1149&lt;&gt;"",IF(AND(#REF!="Padrão",$H$4=#REF!),BDI!$B$17,IF(AND(#REF!="Padrão",$H$4=#REF!),BDI!#REF!,IF(AND(#REF!="Diferenciado",$H$4=#REF!),BDI!$E$17,IF(AND(#REF!="Diferenciado",$H$4=#REF!),BDI!#REF!,IF(#REF!="ZERO",0))))),"")</f>
        <v>#REF!</v>
      </c>
      <c r="H1149" s="138" t="str">
        <f t="shared" si="52"/>
        <v/>
      </c>
      <c r="I1149" s="136" t="str">
        <f t="shared" si="53"/>
        <v/>
      </c>
    </row>
    <row r="1150" spans="1:9" hidden="1" x14ac:dyDescent="0.25">
      <c r="A1150" s="114" t="s">
        <v>3113</v>
      </c>
      <c r="B1150" s="115" t="s">
        <v>3114</v>
      </c>
      <c r="C1150" s="116" t="s">
        <v>20</v>
      </c>
      <c r="D1150" s="116">
        <v>0</v>
      </c>
      <c r="E1150" s="135" t="s">
        <v>558</v>
      </c>
      <c r="F1150" s="136" t="str">
        <f t="shared" si="51"/>
        <v/>
      </c>
      <c r="G1150" s="137" t="e">
        <f>IF(A1150&lt;&gt;"",IF(AND(#REF!="Padrão",$H$4=#REF!),BDI!$B$17,IF(AND(#REF!="Padrão",$H$4=#REF!),BDI!#REF!,IF(AND(#REF!="Diferenciado",$H$4=#REF!),BDI!$E$17,IF(AND(#REF!="Diferenciado",$H$4=#REF!),BDI!#REF!,IF(#REF!="ZERO",0))))),"")</f>
        <v>#REF!</v>
      </c>
      <c r="H1150" s="138" t="str">
        <f t="shared" si="52"/>
        <v/>
      </c>
      <c r="I1150" s="136" t="str">
        <f t="shared" si="53"/>
        <v/>
      </c>
    </row>
    <row r="1151" spans="1:9" hidden="1" x14ac:dyDescent="0.25">
      <c r="A1151" s="114" t="s">
        <v>3115</v>
      </c>
      <c r="B1151" s="115" t="s">
        <v>3116</v>
      </c>
      <c r="C1151" s="116" t="s">
        <v>6354</v>
      </c>
      <c r="D1151" s="116">
        <v>0</v>
      </c>
      <c r="E1151" s="135" t="s">
        <v>558</v>
      </c>
      <c r="F1151" s="136" t="str">
        <f t="shared" si="51"/>
        <v/>
      </c>
      <c r="G1151" s="137" t="e">
        <f>IF(A1151&lt;&gt;"",IF(AND(#REF!="Padrão",$H$4=#REF!),BDI!$B$17,IF(AND(#REF!="Padrão",$H$4=#REF!),BDI!#REF!,IF(AND(#REF!="Diferenciado",$H$4=#REF!),BDI!$E$17,IF(AND(#REF!="Diferenciado",$H$4=#REF!),BDI!#REF!,IF(#REF!="ZERO",0))))),"")</f>
        <v>#REF!</v>
      </c>
      <c r="H1151" s="138" t="str">
        <f t="shared" si="52"/>
        <v/>
      </c>
      <c r="I1151" s="136" t="str">
        <f t="shared" si="53"/>
        <v/>
      </c>
    </row>
    <row r="1152" spans="1:9" hidden="1" x14ac:dyDescent="0.25">
      <c r="A1152" s="114" t="s">
        <v>1395</v>
      </c>
      <c r="B1152" s="115" t="s">
        <v>3117</v>
      </c>
      <c r="C1152" s="116" t="s">
        <v>93</v>
      </c>
      <c r="D1152" s="116">
        <v>0</v>
      </c>
      <c r="E1152" s="135">
        <f ca="1">OFFSET(INDEX(Composições!A:J,MATCH(Orçamentária!A1152,Composições!A:A,0),8),2,0)</f>
        <v>267.47482725751718</v>
      </c>
      <c r="F1152" s="136">
        <f t="shared" ca="1" si="51"/>
        <v>0</v>
      </c>
      <c r="G1152" s="137" t="e">
        <f>IF(A1152&lt;&gt;"",IF(AND(#REF!="Padrão",$H$4=#REF!),BDI!$B$17,IF(AND(#REF!="Padrão",$H$4=#REF!),BDI!#REF!,IF(AND(#REF!="Diferenciado",$H$4=#REF!),BDI!$E$17,IF(AND(#REF!="Diferenciado",$H$4=#REF!),BDI!#REF!,IF(#REF!="ZERO",0))))),"")</f>
        <v>#REF!</v>
      </c>
      <c r="H1152" s="138" t="e">
        <f t="shared" ca="1" si="52"/>
        <v>#REF!</v>
      </c>
      <c r="I1152" s="136" t="e">
        <f t="shared" ca="1" si="53"/>
        <v>#REF!</v>
      </c>
    </row>
    <row r="1153" spans="1:9" hidden="1" x14ac:dyDescent="0.25">
      <c r="A1153" s="114" t="s">
        <v>1397</v>
      </c>
      <c r="B1153" s="115" t="s">
        <v>3118</v>
      </c>
      <c r="C1153" s="116" t="s">
        <v>93</v>
      </c>
      <c r="D1153" s="116">
        <v>0</v>
      </c>
      <c r="E1153" s="135">
        <f ca="1">OFFSET(INDEX(Composições!A:J,MATCH(Orçamentária!A1153,Composições!A:A,0),8),2,0)</f>
        <v>132.52347951503447</v>
      </c>
      <c r="F1153" s="136">
        <f t="shared" ca="1" si="51"/>
        <v>0</v>
      </c>
      <c r="G1153" s="137" t="e">
        <f>IF(A1153&lt;&gt;"",IF(AND(#REF!="Padrão",$H$4=#REF!),BDI!$B$17,IF(AND(#REF!="Padrão",$H$4=#REF!),BDI!#REF!,IF(AND(#REF!="Diferenciado",$H$4=#REF!),BDI!$E$17,IF(AND(#REF!="Diferenciado",$H$4=#REF!),BDI!#REF!,IF(#REF!="ZERO",0))))),"")</f>
        <v>#REF!</v>
      </c>
      <c r="H1153" s="138" t="e">
        <f t="shared" ca="1" si="52"/>
        <v>#REF!</v>
      </c>
      <c r="I1153" s="136" t="e">
        <f t="shared" ca="1" si="53"/>
        <v>#REF!</v>
      </c>
    </row>
    <row r="1154" spans="1:9" hidden="1" x14ac:dyDescent="0.25">
      <c r="A1154" s="114" t="s">
        <v>1398</v>
      </c>
      <c r="B1154" s="115" t="s">
        <v>3119</v>
      </c>
      <c r="C1154" s="116" t="s">
        <v>95</v>
      </c>
      <c r="D1154" s="116">
        <v>0</v>
      </c>
      <c r="E1154" s="135">
        <f ca="1">OFFSET(INDEX(Composições!A:J,MATCH(Orçamentária!A1154,Composições!A:A,0),8),2,0)</f>
        <v>1.8402449999999997</v>
      </c>
      <c r="F1154" s="136">
        <f t="shared" ca="1" si="51"/>
        <v>0</v>
      </c>
      <c r="G1154" s="137" t="e">
        <f>IF(A1154&lt;&gt;"",IF(AND(#REF!="Padrão",$H$4=#REF!),BDI!$B$17,IF(AND(#REF!="Padrão",$H$4=#REF!),BDI!#REF!,IF(AND(#REF!="Diferenciado",$H$4=#REF!),BDI!$E$17,IF(AND(#REF!="Diferenciado",$H$4=#REF!),BDI!#REF!,IF(#REF!="ZERO",0))))),"")</f>
        <v>#REF!</v>
      </c>
      <c r="H1154" s="138" t="e">
        <f t="shared" ca="1" si="52"/>
        <v>#REF!</v>
      </c>
      <c r="I1154" s="136" t="e">
        <f t="shared" ca="1" si="53"/>
        <v>#REF!</v>
      </c>
    </row>
    <row r="1155" spans="1:9" hidden="1" x14ac:dyDescent="0.25">
      <c r="A1155" s="114" t="s">
        <v>1402</v>
      </c>
      <c r="B1155" s="115" t="s">
        <v>3120</v>
      </c>
      <c r="C1155" s="116" t="s">
        <v>20</v>
      </c>
      <c r="D1155" s="116">
        <v>0</v>
      </c>
      <c r="E1155" s="135">
        <f ca="1">OFFSET(INDEX(Composições!A:J,MATCH(Orçamentária!A1155,Composições!A:A,0),8),2,0)</f>
        <v>214.20985604999998</v>
      </c>
      <c r="F1155" s="136">
        <f t="shared" ca="1" si="51"/>
        <v>0</v>
      </c>
      <c r="G1155" s="137" t="e">
        <f>IF(A1155&lt;&gt;"",IF(AND(#REF!="Padrão",$H$4=#REF!),BDI!$B$17,IF(AND(#REF!="Padrão",$H$4=#REF!),BDI!#REF!,IF(AND(#REF!="Diferenciado",$H$4=#REF!),BDI!$E$17,IF(AND(#REF!="Diferenciado",$H$4=#REF!),BDI!#REF!,IF(#REF!="ZERO",0))))),"")</f>
        <v>#REF!</v>
      </c>
      <c r="H1155" s="138" t="e">
        <f t="shared" ca="1" si="52"/>
        <v>#REF!</v>
      </c>
      <c r="I1155" s="136" t="e">
        <f t="shared" ca="1" si="53"/>
        <v>#REF!</v>
      </c>
    </row>
    <row r="1156" spans="1:9" hidden="1" x14ac:dyDescent="0.25">
      <c r="A1156" s="114" t="s">
        <v>1408</v>
      </c>
      <c r="B1156" s="115" t="s">
        <v>3121</v>
      </c>
      <c r="C1156" s="116" t="s">
        <v>20</v>
      </c>
      <c r="D1156" s="116">
        <v>0</v>
      </c>
      <c r="E1156" s="135">
        <f ca="1">OFFSET(INDEX(Composições!A:J,MATCH(Orçamentária!A1156,Composições!A:A,0),8),2,0)</f>
        <v>40.314879250000004</v>
      </c>
      <c r="F1156" s="136">
        <f t="shared" ca="1" si="51"/>
        <v>0</v>
      </c>
      <c r="G1156" s="137" t="e">
        <f>IF(A1156&lt;&gt;"",IF(AND(#REF!="Padrão",$H$4=#REF!),BDI!$B$17,IF(AND(#REF!="Padrão",$H$4=#REF!),BDI!#REF!,IF(AND(#REF!="Diferenciado",$H$4=#REF!),BDI!$E$17,IF(AND(#REF!="Diferenciado",$H$4=#REF!),BDI!#REF!,IF(#REF!="ZERO",0))))),"")</f>
        <v>#REF!</v>
      </c>
      <c r="H1156" s="138" t="e">
        <f t="shared" ca="1" si="52"/>
        <v>#REF!</v>
      </c>
      <c r="I1156" s="136" t="e">
        <f t="shared" ca="1" si="53"/>
        <v>#REF!</v>
      </c>
    </row>
    <row r="1157" spans="1:9" hidden="1" x14ac:dyDescent="0.25">
      <c r="A1157" s="114" t="s">
        <v>1409</v>
      </c>
      <c r="B1157" s="115" t="s">
        <v>3122</v>
      </c>
      <c r="C1157" s="116" t="s">
        <v>95</v>
      </c>
      <c r="D1157" s="116">
        <v>0</v>
      </c>
      <c r="E1157" s="135">
        <f ca="1">OFFSET(INDEX(Composições!A:J,MATCH(Orçamentária!A1157,Composições!A:A,0),8),2,0)</f>
        <v>37.0687019908748</v>
      </c>
      <c r="F1157" s="136">
        <f t="shared" ca="1" si="51"/>
        <v>0</v>
      </c>
      <c r="G1157" s="137" t="e">
        <f>IF(A1157&lt;&gt;"",IF(AND(#REF!="Padrão",$H$4=#REF!),BDI!$B$17,IF(AND(#REF!="Padrão",$H$4=#REF!),BDI!#REF!,IF(AND(#REF!="Diferenciado",$H$4=#REF!),BDI!$E$17,IF(AND(#REF!="Diferenciado",$H$4=#REF!),BDI!#REF!,IF(#REF!="ZERO",0))))),"")</f>
        <v>#REF!</v>
      </c>
      <c r="H1157" s="138" t="e">
        <f t="shared" ca="1" si="52"/>
        <v>#REF!</v>
      </c>
      <c r="I1157" s="136" t="e">
        <f t="shared" ca="1" si="53"/>
        <v>#REF!</v>
      </c>
    </row>
    <row r="1158" spans="1:9" hidden="1" x14ac:dyDescent="0.25">
      <c r="A1158" s="114" t="s">
        <v>1412</v>
      </c>
      <c r="B1158" s="115" t="s">
        <v>3123</v>
      </c>
      <c r="C1158" s="116" t="s">
        <v>95</v>
      </c>
      <c r="D1158" s="116">
        <v>0</v>
      </c>
      <c r="E1158" s="135">
        <f ca="1">OFFSET(INDEX(Composições!A:J,MATCH(Orçamentária!A1158,Composições!A:A,0),8),2,0)</f>
        <v>45.039008905958802</v>
      </c>
      <c r="F1158" s="136">
        <f t="shared" ca="1" si="51"/>
        <v>0</v>
      </c>
      <c r="G1158" s="137" t="e">
        <f>IF(A1158&lt;&gt;"",IF(AND(#REF!="Padrão",$H$4=#REF!),BDI!$B$17,IF(AND(#REF!="Padrão",$H$4=#REF!),BDI!#REF!,IF(AND(#REF!="Diferenciado",$H$4=#REF!),BDI!$E$17,IF(AND(#REF!="Diferenciado",$H$4=#REF!),BDI!#REF!,IF(#REF!="ZERO",0))))),"")</f>
        <v>#REF!</v>
      </c>
      <c r="H1158" s="138" t="e">
        <f t="shared" ca="1" si="52"/>
        <v>#REF!</v>
      </c>
      <c r="I1158" s="136" t="e">
        <f t="shared" ca="1" si="53"/>
        <v>#REF!</v>
      </c>
    </row>
    <row r="1159" spans="1:9" hidden="1" x14ac:dyDescent="0.25">
      <c r="A1159" s="114" t="s">
        <v>1413</v>
      </c>
      <c r="B1159" s="115" t="s">
        <v>3124</v>
      </c>
      <c r="C1159" s="116" t="s">
        <v>95</v>
      </c>
      <c r="D1159" s="116">
        <v>0</v>
      </c>
      <c r="E1159" s="135">
        <f ca="1">OFFSET(INDEX(Composições!A:J,MATCH(Orçamentária!A1159,Composições!A:A,0),8),2,0)</f>
        <v>5.9043450000000002</v>
      </c>
      <c r="F1159" s="136">
        <f t="shared" ref="F1159:F1222" ca="1" si="54">IF(ISNUMBER(E1159),D1159*E1159,"")</f>
        <v>0</v>
      </c>
      <c r="G1159" s="137" t="e">
        <f>IF(A1159&lt;&gt;"",IF(AND(#REF!="Padrão",$H$4=#REF!),BDI!$B$17,IF(AND(#REF!="Padrão",$H$4=#REF!),BDI!#REF!,IF(AND(#REF!="Diferenciado",$H$4=#REF!),BDI!$E$17,IF(AND(#REF!="Diferenciado",$H$4=#REF!),BDI!#REF!,IF(#REF!="ZERO",0))))),"")</f>
        <v>#REF!</v>
      </c>
      <c r="H1159" s="138" t="e">
        <f t="shared" ref="H1159:H1222" ca="1" si="55">IF(ISNUMBER(E1159),ROUND(E1159*(1+G1159),2),"")</f>
        <v>#REF!</v>
      </c>
      <c r="I1159" s="136" t="e">
        <f t="shared" ref="I1159:I1222" ca="1" si="56">IF(ISNUMBER(E1159),ROUND(H1159*D1159,2),"")</f>
        <v>#REF!</v>
      </c>
    </row>
    <row r="1160" spans="1:9" hidden="1" x14ac:dyDescent="0.25">
      <c r="A1160" s="114" t="s">
        <v>1415</v>
      </c>
      <c r="B1160" s="115" t="s">
        <v>3125</v>
      </c>
      <c r="C1160" s="116" t="s">
        <v>95</v>
      </c>
      <c r="D1160" s="116">
        <v>0</v>
      </c>
      <c r="E1160" s="135">
        <f ca="1">OFFSET(INDEX(Composições!A:J,MATCH(Orçamentária!A1160,Composições!A:A,0),8),2,0)</f>
        <v>11.22045</v>
      </c>
      <c r="F1160" s="136">
        <f t="shared" ca="1" si="54"/>
        <v>0</v>
      </c>
      <c r="G1160" s="137" t="e">
        <f>IF(A1160&lt;&gt;"",IF(AND(#REF!="Padrão",$H$4=#REF!),BDI!$B$17,IF(AND(#REF!="Padrão",$H$4=#REF!),BDI!#REF!,IF(AND(#REF!="Diferenciado",$H$4=#REF!),BDI!$E$17,IF(AND(#REF!="Diferenciado",$H$4=#REF!),BDI!#REF!,IF(#REF!="ZERO",0))))),"")</f>
        <v>#REF!</v>
      </c>
      <c r="H1160" s="138" t="e">
        <f t="shared" ca="1" si="55"/>
        <v>#REF!</v>
      </c>
      <c r="I1160" s="136" t="e">
        <f t="shared" ca="1" si="56"/>
        <v>#REF!</v>
      </c>
    </row>
    <row r="1161" spans="1:9" hidden="1" x14ac:dyDescent="0.25">
      <c r="A1161" s="114" t="s">
        <v>1417</v>
      </c>
      <c r="B1161" s="115" t="s">
        <v>3126</v>
      </c>
      <c r="C1161" s="116" t="s">
        <v>95</v>
      </c>
      <c r="D1161" s="116">
        <v>0</v>
      </c>
      <c r="E1161" s="135">
        <f ca="1">OFFSET(INDEX(Composições!A:J,MATCH(Orçamentária!A1161,Composições!A:A,0),8),2,0)</f>
        <v>24.173185719437996</v>
      </c>
      <c r="F1161" s="136">
        <f t="shared" ca="1" si="54"/>
        <v>0</v>
      </c>
      <c r="G1161" s="137" t="e">
        <f>IF(A1161&lt;&gt;"",IF(AND(#REF!="Padrão",$H$4=#REF!),BDI!$B$17,IF(AND(#REF!="Padrão",$H$4=#REF!),BDI!#REF!,IF(AND(#REF!="Diferenciado",$H$4=#REF!),BDI!$E$17,IF(AND(#REF!="Diferenciado",$H$4=#REF!),BDI!#REF!,IF(#REF!="ZERO",0))))),"")</f>
        <v>#REF!</v>
      </c>
      <c r="H1161" s="138" t="e">
        <f t="shared" ca="1" si="55"/>
        <v>#REF!</v>
      </c>
      <c r="I1161" s="136" t="e">
        <f t="shared" ca="1" si="56"/>
        <v>#REF!</v>
      </c>
    </row>
    <row r="1162" spans="1:9" hidden="1" x14ac:dyDescent="0.25">
      <c r="A1162" s="114" t="s">
        <v>1418</v>
      </c>
      <c r="B1162" s="115" t="s">
        <v>3127</v>
      </c>
      <c r="C1162" s="116" t="s">
        <v>95</v>
      </c>
      <c r="D1162" s="116">
        <v>0</v>
      </c>
      <c r="E1162" s="135">
        <f ca="1">OFFSET(INDEX(Composições!A:J,MATCH(Orçamentária!A1162,Composições!A:A,0),8),2,0)</f>
        <v>69.141214172749997</v>
      </c>
      <c r="F1162" s="136">
        <f t="shared" ca="1" si="54"/>
        <v>0</v>
      </c>
      <c r="G1162" s="137" t="e">
        <f>IF(A1162&lt;&gt;"",IF(AND(#REF!="Padrão",$H$4=#REF!),BDI!$B$17,IF(AND(#REF!="Padrão",$H$4=#REF!),BDI!#REF!,IF(AND(#REF!="Diferenciado",$H$4=#REF!),BDI!$E$17,IF(AND(#REF!="Diferenciado",$H$4=#REF!),BDI!#REF!,IF(#REF!="ZERO",0))))),"")</f>
        <v>#REF!</v>
      </c>
      <c r="H1162" s="138" t="e">
        <f t="shared" ca="1" si="55"/>
        <v>#REF!</v>
      </c>
      <c r="I1162" s="136" t="e">
        <f t="shared" ca="1" si="56"/>
        <v>#REF!</v>
      </c>
    </row>
    <row r="1163" spans="1:9" hidden="1" x14ac:dyDescent="0.25">
      <c r="A1163" s="114" t="s">
        <v>1419</v>
      </c>
      <c r="B1163" s="115" t="s">
        <v>3128</v>
      </c>
      <c r="C1163" s="116" t="s">
        <v>95</v>
      </c>
      <c r="D1163" s="116">
        <v>0</v>
      </c>
      <c r="E1163" s="135">
        <f ca="1">OFFSET(INDEX(Composições!A:J,MATCH(Orçamentária!A1163,Composições!A:A,0),8),2,0)</f>
        <v>10.709046949999999</v>
      </c>
      <c r="F1163" s="136">
        <f t="shared" ca="1" si="54"/>
        <v>0</v>
      </c>
      <c r="G1163" s="137" t="e">
        <f>IF(A1163&lt;&gt;"",IF(AND(#REF!="Padrão",$H$4=#REF!),BDI!$B$17,IF(AND(#REF!="Padrão",$H$4=#REF!),BDI!#REF!,IF(AND(#REF!="Diferenciado",$H$4=#REF!),BDI!$E$17,IF(AND(#REF!="Diferenciado",$H$4=#REF!),BDI!#REF!,IF(#REF!="ZERO",0))))),"")</f>
        <v>#REF!</v>
      </c>
      <c r="H1163" s="138" t="e">
        <f t="shared" ca="1" si="55"/>
        <v>#REF!</v>
      </c>
      <c r="I1163" s="136" t="e">
        <f t="shared" ca="1" si="56"/>
        <v>#REF!</v>
      </c>
    </row>
    <row r="1164" spans="1:9" hidden="1" x14ac:dyDescent="0.25">
      <c r="A1164" s="114" t="s">
        <v>1421</v>
      </c>
      <c r="B1164" s="115" t="s">
        <v>3129</v>
      </c>
      <c r="C1164" s="116" t="s">
        <v>95</v>
      </c>
      <c r="D1164" s="116">
        <v>0</v>
      </c>
      <c r="E1164" s="135">
        <f ca="1">OFFSET(INDEX(Composições!A:J,MATCH(Orçamentária!A1164,Composições!A:A,0),8),2,0)</f>
        <v>6.0716400000000004</v>
      </c>
      <c r="F1164" s="136">
        <f t="shared" ca="1" si="54"/>
        <v>0</v>
      </c>
      <c r="G1164" s="137" t="e">
        <f>IF(A1164&lt;&gt;"",IF(AND(#REF!="Padrão",$H$4=#REF!),BDI!$B$17,IF(AND(#REF!="Padrão",$H$4=#REF!),BDI!#REF!,IF(AND(#REF!="Diferenciado",$H$4=#REF!),BDI!$E$17,IF(AND(#REF!="Diferenciado",$H$4=#REF!),BDI!#REF!,IF(#REF!="ZERO",0))))),"")</f>
        <v>#REF!</v>
      </c>
      <c r="H1164" s="138" t="e">
        <f t="shared" ca="1" si="55"/>
        <v>#REF!</v>
      </c>
      <c r="I1164" s="136" t="e">
        <f t="shared" ca="1" si="56"/>
        <v>#REF!</v>
      </c>
    </row>
    <row r="1165" spans="1:9" hidden="1" x14ac:dyDescent="0.25">
      <c r="A1165" s="114" t="s">
        <v>1423</v>
      </c>
      <c r="B1165" s="115" t="s">
        <v>3130</v>
      </c>
      <c r="C1165" s="116" t="s">
        <v>95</v>
      </c>
      <c r="D1165" s="116">
        <v>0</v>
      </c>
      <c r="E1165" s="135">
        <f ca="1">OFFSET(INDEX(Composições!A:J,MATCH(Orçamentária!A1165,Composições!A:A,0),8),2,0)</f>
        <v>161.09409540000001</v>
      </c>
      <c r="F1165" s="136">
        <f t="shared" ca="1" si="54"/>
        <v>0</v>
      </c>
      <c r="G1165" s="137" t="e">
        <f>IF(A1165&lt;&gt;"",IF(AND(#REF!="Padrão",$H$4=#REF!),BDI!$B$17,IF(AND(#REF!="Padrão",$H$4=#REF!),BDI!#REF!,IF(AND(#REF!="Diferenciado",$H$4=#REF!),BDI!$E$17,IF(AND(#REF!="Diferenciado",$H$4=#REF!),BDI!#REF!,IF(#REF!="ZERO",0))))),"")</f>
        <v>#REF!</v>
      </c>
      <c r="H1165" s="138" t="e">
        <f t="shared" ca="1" si="55"/>
        <v>#REF!</v>
      </c>
      <c r="I1165" s="136" t="e">
        <f t="shared" ca="1" si="56"/>
        <v>#REF!</v>
      </c>
    </row>
    <row r="1166" spans="1:9" hidden="1" x14ac:dyDescent="0.25">
      <c r="A1166" s="114" t="s">
        <v>1428</v>
      </c>
      <c r="B1166" s="115" t="s">
        <v>3131</v>
      </c>
      <c r="C1166" s="116" t="s">
        <v>95</v>
      </c>
      <c r="D1166" s="116">
        <v>0</v>
      </c>
      <c r="E1166" s="135">
        <f ca="1">OFFSET(INDEX(Composições!A:J,MATCH(Orçamentária!A1166,Composições!A:A,0),8),2,0)</f>
        <v>157.68056490000001</v>
      </c>
      <c r="F1166" s="136">
        <f t="shared" ca="1" si="54"/>
        <v>0</v>
      </c>
      <c r="G1166" s="137" t="e">
        <f>IF(A1166&lt;&gt;"",IF(AND(#REF!="Padrão",$H$4=#REF!),BDI!$B$17,IF(AND(#REF!="Padrão",$H$4=#REF!),BDI!#REF!,IF(AND(#REF!="Diferenciado",$H$4=#REF!),BDI!$E$17,IF(AND(#REF!="Diferenciado",$H$4=#REF!),BDI!#REF!,IF(#REF!="ZERO",0))))),"")</f>
        <v>#REF!</v>
      </c>
      <c r="H1166" s="138" t="e">
        <f t="shared" ca="1" si="55"/>
        <v>#REF!</v>
      </c>
      <c r="I1166" s="136" t="e">
        <f t="shared" ca="1" si="56"/>
        <v>#REF!</v>
      </c>
    </row>
    <row r="1167" spans="1:9" hidden="1" x14ac:dyDescent="0.25">
      <c r="A1167" s="114" t="s">
        <v>3132</v>
      </c>
      <c r="B1167" s="115" t="s">
        <v>3133</v>
      </c>
      <c r="C1167" s="116" t="s">
        <v>42</v>
      </c>
      <c r="D1167" s="116">
        <v>0</v>
      </c>
      <c r="E1167" s="135" t="s">
        <v>558</v>
      </c>
      <c r="F1167" s="136" t="str">
        <f t="shared" si="54"/>
        <v/>
      </c>
      <c r="G1167" s="137" t="e">
        <f>IF(A1167&lt;&gt;"",IF(AND(#REF!="Padrão",$H$4=#REF!),BDI!$B$17,IF(AND(#REF!="Padrão",$H$4=#REF!),BDI!#REF!,IF(AND(#REF!="Diferenciado",$H$4=#REF!),BDI!$E$17,IF(AND(#REF!="Diferenciado",$H$4=#REF!),BDI!#REF!,IF(#REF!="ZERO",0))))),"")</f>
        <v>#REF!</v>
      </c>
      <c r="H1167" s="138" t="str">
        <f t="shared" si="55"/>
        <v/>
      </c>
      <c r="I1167" s="136" t="str">
        <f t="shared" si="56"/>
        <v/>
      </c>
    </row>
    <row r="1168" spans="1:9" hidden="1" x14ac:dyDescent="0.25">
      <c r="A1168" s="114" t="s">
        <v>1430</v>
      </c>
      <c r="B1168" s="115" t="s">
        <v>3134</v>
      </c>
      <c r="C1168" s="116" t="s">
        <v>93</v>
      </c>
      <c r="D1168" s="116">
        <v>0</v>
      </c>
      <c r="E1168" s="135">
        <f ca="1">OFFSET(INDEX(Composições!A:J,MATCH(Orçamentária!A1168,Composições!A:A,0),8),2,0)</f>
        <v>108.84106035899998</v>
      </c>
      <c r="F1168" s="136">
        <f t="shared" ca="1" si="54"/>
        <v>0</v>
      </c>
      <c r="G1168" s="137" t="e">
        <f>IF(A1168&lt;&gt;"",IF(AND(#REF!="Padrão",$H$4=#REF!),BDI!$B$17,IF(AND(#REF!="Padrão",$H$4=#REF!),BDI!#REF!,IF(AND(#REF!="Diferenciado",$H$4=#REF!),BDI!$E$17,IF(AND(#REF!="Diferenciado",$H$4=#REF!),BDI!#REF!,IF(#REF!="ZERO",0))))),"")</f>
        <v>#REF!</v>
      </c>
      <c r="H1168" s="138" t="e">
        <f t="shared" ca="1" si="55"/>
        <v>#REF!</v>
      </c>
      <c r="I1168" s="136" t="e">
        <f t="shared" ca="1" si="56"/>
        <v>#REF!</v>
      </c>
    </row>
    <row r="1169" spans="1:9" hidden="1" x14ac:dyDescent="0.25">
      <c r="A1169" s="114" t="s">
        <v>1435</v>
      </c>
      <c r="B1169" s="115" t="s">
        <v>3135</v>
      </c>
      <c r="C1169" s="116" t="s">
        <v>95</v>
      </c>
      <c r="D1169" s="116">
        <v>0</v>
      </c>
      <c r="E1169" s="135">
        <f ca="1">OFFSET(INDEX(Composições!A:J,MATCH(Orçamentária!A1169,Composições!A:A,0),8),2,0)</f>
        <v>26.151221900000003</v>
      </c>
      <c r="F1169" s="136">
        <f t="shared" ca="1" si="54"/>
        <v>0</v>
      </c>
      <c r="G1169" s="137" t="e">
        <f>IF(A1169&lt;&gt;"",IF(AND(#REF!="Padrão",$H$4=#REF!),BDI!$B$17,IF(AND(#REF!="Padrão",$H$4=#REF!),BDI!#REF!,IF(AND(#REF!="Diferenciado",$H$4=#REF!),BDI!$E$17,IF(AND(#REF!="Diferenciado",$H$4=#REF!),BDI!#REF!,IF(#REF!="ZERO",0))))),"")</f>
        <v>#REF!</v>
      </c>
      <c r="H1169" s="138" t="e">
        <f t="shared" ca="1" si="55"/>
        <v>#REF!</v>
      </c>
      <c r="I1169" s="136" t="e">
        <f t="shared" ca="1" si="56"/>
        <v>#REF!</v>
      </c>
    </row>
    <row r="1170" spans="1:9" hidden="1" x14ac:dyDescent="0.25">
      <c r="A1170" s="114" t="s">
        <v>1437</v>
      </c>
      <c r="B1170" s="115" t="s">
        <v>3136</v>
      </c>
      <c r="C1170" s="116" t="s">
        <v>95</v>
      </c>
      <c r="D1170" s="116">
        <v>0</v>
      </c>
      <c r="E1170" s="135">
        <f ca="1">OFFSET(INDEX(Composições!A:J,MATCH(Orçamentária!A1170,Composições!A:A,0),8),2,0)</f>
        <v>49.298167600000006</v>
      </c>
      <c r="F1170" s="136">
        <f t="shared" ca="1" si="54"/>
        <v>0</v>
      </c>
      <c r="G1170" s="137" t="e">
        <f>IF(A1170&lt;&gt;"",IF(AND(#REF!="Padrão",$H$4=#REF!),BDI!$B$17,IF(AND(#REF!="Padrão",$H$4=#REF!),BDI!#REF!,IF(AND(#REF!="Diferenciado",$H$4=#REF!),BDI!$E$17,IF(AND(#REF!="Diferenciado",$H$4=#REF!),BDI!#REF!,IF(#REF!="ZERO",0))))),"")</f>
        <v>#REF!</v>
      </c>
      <c r="H1170" s="138" t="e">
        <f t="shared" ca="1" si="55"/>
        <v>#REF!</v>
      </c>
      <c r="I1170" s="136" t="e">
        <f t="shared" ca="1" si="56"/>
        <v>#REF!</v>
      </c>
    </row>
    <row r="1171" spans="1:9" hidden="1" x14ac:dyDescent="0.25">
      <c r="A1171" s="114" t="s">
        <v>1440</v>
      </c>
      <c r="B1171" s="115" t="s">
        <v>3137</v>
      </c>
      <c r="C1171" s="116" t="s">
        <v>95</v>
      </c>
      <c r="D1171" s="116">
        <v>0</v>
      </c>
      <c r="E1171" s="135">
        <f ca="1">OFFSET(INDEX(Composições!A:J,MATCH(Orçamentária!A1171,Composições!A:A,0),8),2,0)</f>
        <v>6.6234000000000002</v>
      </c>
      <c r="F1171" s="136">
        <f t="shared" ca="1" si="54"/>
        <v>0</v>
      </c>
      <c r="G1171" s="137" t="e">
        <f>IF(A1171&lt;&gt;"",IF(AND(#REF!="Padrão",$H$4=#REF!),BDI!$B$17,IF(AND(#REF!="Padrão",$H$4=#REF!),BDI!#REF!,IF(AND(#REF!="Diferenciado",$H$4=#REF!),BDI!$E$17,IF(AND(#REF!="Diferenciado",$H$4=#REF!),BDI!#REF!,IF(#REF!="ZERO",0))))),"")</f>
        <v>#REF!</v>
      </c>
      <c r="H1171" s="138" t="e">
        <f t="shared" ca="1" si="55"/>
        <v>#REF!</v>
      </c>
      <c r="I1171" s="136" t="e">
        <f t="shared" ca="1" si="56"/>
        <v>#REF!</v>
      </c>
    </row>
    <row r="1172" spans="1:9" hidden="1" x14ac:dyDescent="0.25">
      <c r="A1172" s="114" t="s">
        <v>1442</v>
      </c>
      <c r="B1172" s="115" t="s">
        <v>3138</v>
      </c>
      <c r="C1172" s="116" t="s">
        <v>95</v>
      </c>
      <c r="D1172" s="116">
        <v>0</v>
      </c>
      <c r="E1172" s="135">
        <f ca="1">OFFSET(INDEX(Composições!A:J,MATCH(Orçamentária!A1172,Composições!A:A,0),8),2,0)</f>
        <v>6.6234000000000002</v>
      </c>
      <c r="F1172" s="136">
        <f t="shared" ca="1" si="54"/>
        <v>0</v>
      </c>
      <c r="G1172" s="137" t="e">
        <f>IF(A1172&lt;&gt;"",IF(AND(#REF!="Padrão",$H$4=#REF!),BDI!$B$17,IF(AND(#REF!="Padrão",$H$4=#REF!),BDI!#REF!,IF(AND(#REF!="Diferenciado",$H$4=#REF!),BDI!$E$17,IF(AND(#REF!="Diferenciado",$H$4=#REF!),BDI!#REF!,IF(#REF!="ZERO",0))))),"")</f>
        <v>#REF!</v>
      </c>
      <c r="H1172" s="138" t="e">
        <f t="shared" ca="1" si="55"/>
        <v>#REF!</v>
      </c>
      <c r="I1172" s="136" t="e">
        <f t="shared" ca="1" si="56"/>
        <v>#REF!</v>
      </c>
    </row>
    <row r="1173" spans="1:9" hidden="1" x14ac:dyDescent="0.25">
      <c r="A1173" s="114" t="s">
        <v>1444</v>
      </c>
      <c r="B1173" s="115" t="s">
        <v>3139</v>
      </c>
      <c r="C1173" s="116" t="s">
        <v>110</v>
      </c>
      <c r="D1173" s="116">
        <v>0</v>
      </c>
      <c r="E1173" s="135">
        <f ca="1">OFFSET(INDEX(Composições!A:J,MATCH(Orçamentária!A1173,Composições!A:A,0),8),2,0)</f>
        <v>964.50361071939994</v>
      </c>
      <c r="F1173" s="136">
        <f t="shared" ca="1" si="54"/>
        <v>0</v>
      </c>
      <c r="G1173" s="137" t="e">
        <f>IF(A1173&lt;&gt;"",IF(AND(#REF!="Padrão",$H$4=#REF!),BDI!$B$17,IF(AND(#REF!="Padrão",$H$4=#REF!),BDI!#REF!,IF(AND(#REF!="Diferenciado",$H$4=#REF!),BDI!$E$17,IF(AND(#REF!="Diferenciado",$H$4=#REF!),BDI!#REF!,IF(#REF!="ZERO",0))))),"")</f>
        <v>#REF!</v>
      </c>
      <c r="H1173" s="138" t="e">
        <f t="shared" ca="1" si="55"/>
        <v>#REF!</v>
      </c>
      <c r="I1173" s="136" t="e">
        <f t="shared" ca="1" si="56"/>
        <v>#REF!</v>
      </c>
    </row>
    <row r="1174" spans="1:9" hidden="1" x14ac:dyDescent="0.25">
      <c r="A1174" s="114" t="s">
        <v>1447</v>
      </c>
      <c r="B1174" s="115" t="s">
        <v>3140</v>
      </c>
      <c r="C1174" s="116" t="s">
        <v>95</v>
      </c>
      <c r="D1174" s="116">
        <v>0</v>
      </c>
      <c r="E1174" s="135">
        <f ca="1">OFFSET(INDEX(Composições!A:J,MATCH(Orçamentária!A1174,Composições!A:A,0),8),2,0)</f>
        <v>6.8329699999999995</v>
      </c>
      <c r="F1174" s="136">
        <f t="shared" ca="1" si="54"/>
        <v>0</v>
      </c>
      <c r="G1174" s="137" t="e">
        <f>IF(A1174&lt;&gt;"",IF(AND(#REF!="Padrão",$H$4=#REF!),BDI!$B$17,IF(AND(#REF!="Padrão",$H$4=#REF!),BDI!#REF!,IF(AND(#REF!="Diferenciado",$H$4=#REF!),BDI!$E$17,IF(AND(#REF!="Diferenciado",$H$4=#REF!),BDI!#REF!,IF(#REF!="ZERO",0))))),"")</f>
        <v>#REF!</v>
      </c>
      <c r="H1174" s="138" t="e">
        <f t="shared" ca="1" si="55"/>
        <v>#REF!</v>
      </c>
      <c r="I1174" s="136" t="e">
        <f t="shared" ca="1" si="56"/>
        <v>#REF!</v>
      </c>
    </row>
    <row r="1175" spans="1:9" hidden="1" x14ac:dyDescent="0.25">
      <c r="A1175" s="114" t="s">
        <v>1452</v>
      </c>
      <c r="B1175" s="115" t="s">
        <v>3141</v>
      </c>
      <c r="C1175" s="116" t="s">
        <v>95</v>
      </c>
      <c r="D1175" s="116">
        <v>0</v>
      </c>
      <c r="E1175" s="135">
        <f ca="1">OFFSET(INDEX(Composições!A:J,MATCH(Orçamentária!A1175,Composições!A:A,0),8),2,0)</f>
        <v>118.758132</v>
      </c>
      <c r="F1175" s="136">
        <f t="shared" ca="1" si="54"/>
        <v>0</v>
      </c>
      <c r="G1175" s="137" t="e">
        <f>IF(A1175&lt;&gt;"",IF(AND(#REF!="Padrão",$H$4=#REF!),BDI!$B$17,IF(AND(#REF!="Padrão",$H$4=#REF!),BDI!#REF!,IF(AND(#REF!="Diferenciado",$H$4=#REF!),BDI!$E$17,IF(AND(#REF!="Diferenciado",$H$4=#REF!),BDI!#REF!,IF(#REF!="ZERO",0))))),"")</f>
        <v>#REF!</v>
      </c>
      <c r="H1175" s="138" t="e">
        <f t="shared" ca="1" si="55"/>
        <v>#REF!</v>
      </c>
      <c r="I1175" s="136" t="e">
        <f t="shared" ca="1" si="56"/>
        <v>#REF!</v>
      </c>
    </row>
    <row r="1176" spans="1:9" hidden="1" x14ac:dyDescent="0.25">
      <c r="A1176" s="114" t="s">
        <v>1454</v>
      </c>
      <c r="B1176" s="115" t="s">
        <v>3142</v>
      </c>
      <c r="C1176" s="116" t="s">
        <v>95</v>
      </c>
      <c r="D1176" s="116">
        <v>0</v>
      </c>
      <c r="E1176" s="135">
        <f ca="1">OFFSET(INDEX(Composições!A:J,MATCH(Orçamentária!A1176,Composições!A:A,0),8),2,0)</f>
        <v>87.261128999999983</v>
      </c>
      <c r="F1176" s="136">
        <f t="shared" ca="1" si="54"/>
        <v>0</v>
      </c>
      <c r="G1176" s="137" t="e">
        <f>IF(A1176&lt;&gt;"",IF(AND(#REF!="Padrão",$H$4=#REF!),BDI!$B$17,IF(AND(#REF!="Padrão",$H$4=#REF!),BDI!#REF!,IF(AND(#REF!="Diferenciado",$H$4=#REF!),BDI!$E$17,IF(AND(#REF!="Diferenciado",$H$4=#REF!),BDI!#REF!,IF(#REF!="ZERO",0))))),"")</f>
        <v>#REF!</v>
      </c>
      <c r="H1176" s="138" t="e">
        <f t="shared" ca="1" si="55"/>
        <v>#REF!</v>
      </c>
      <c r="I1176" s="136" t="e">
        <f t="shared" ca="1" si="56"/>
        <v>#REF!</v>
      </c>
    </row>
    <row r="1177" spans="1:9" hidden="1" x14ac:dyDescent="0.25">
      <c r="A1177" s="114" t="s">
        <v>1457</v>
      </c>
      <c r="B1177" s="115" t="s">
        <v>3143</v>
      </c>
      <c r="C1177" s="116" t="s">
        <v>95</v>
      </c>
      <c r="D1177" s="116">
        <v>0</v>
      </c>
      <c r="E1177" s="135">
        <f ca="1">OFFSET(INDEX(Composições!A:J,MATCH(Orçamentária!A1177,Composições!A:A,0),8),2,0)</f>
        <v>36.217629000000002</v>
      </c>
      <c r="F1177" s="136">
        <f t="shared" ca="1" si="54"/>
        <v>0</v>
      </c>
      <c r="G1177" s="137" t="e">
        <f>IF(A1177&lt;&gt;"",IF(AND(#REF!="Padrão",$H$4=#REF!),BDI!$B$17,IF(AND(#REF!="Padrão",$H$4=#REF!),BDI!#REF!,IF(AND(#REF!="Diferenciado",$H$4=#REF!),BDI!$E$17,IF(AND(#REF!="Diferenciado",$H$4=#REF!),BDI!#REF!,IF(#REF!="ZERO",0))))),"")</f>
        <v>#REF!</v>
      </c>
      <c r="H1177" s="138" t="e">
        <f t="shared" ca="1" si="55"/>
        <v>#REF!</v>
      </c>
      <c r="I1177" s="136" t="e">
        <f t="shared" ca="1" si="56"/>
        <v>#REF!</v>
      </c>
    </row>
    <row r="1178" spans="1:9" hidden="1" x14ac:dyDescent="0.25">
      <c r="A1178" s="114" t="s">
        <v>1459</v>
      </c>
      <c r="B1178" s="115" t="s">
        <v>3144</v>
      </c>
      <c r="C1178" s="116" t="s">
        <v>95</v>
      </c>
      <c r="D1178" s="116">
        <v>0</v>
      </c>
      <c r="E1178" s="135">
        <f ca="1">OFFSET(INDEX(Composições!A:J,MATCH(Orçamentária!A1178,Composições!A:A,0),8),2,0)</f>
        <v>21.308499999999999</v>
      </c>
      <c r="F1178" s="136">
        <f t="shared" ca="1" si="54"/>
        <v>0</v>
      </c>
      <c r="G1178" s="137" t="e">
        <f>IF(A1178&lt;&gt;"",IF(AND(#REF!="Padrão",$H$4=#REF!),BDI!$B$17,IF(AND(#REF!="Padrão",$H$4=#REF!),BDI!#REF!,IF(AND(#REF!="Diferenciado",$H$4=#REF!),BDI!$E$17,IF(AND(#REF!="Diferenciado",$H$4=#REF!),BDI!#REF!,IF(#REF!="ZERO",0))))),"")</f>
        <v>#REF!</v>
      </c>
      <c r="H1178" s="138" t="e">
        <f t="shared" ca="1" si="55"/>
        <v>#REF!</v>
      </c>
      <c r="I1178" s="136" t="e">
        <f t="shared" ca="1" si="56"/>
        <v>#REF!</v>
      </c>
    </row>
    <row r="1179" spans="1:9" hidden="1" x14ac:dyDescent="0.25">
      <c r="A1179" s="114" t="s">
        <v>1465</v>
      </c>
      <c r="B1179" s="115" t="s">
        <v>3145</v>
      </c>
      <c r="C1179" s="116" t="s">
        <v>95</v>
      </c>
      <c r="D1179" s="116">
        <v>0</v>
      </c>
      <c r="E1179" s="135">
        <f ca="1">OFFSET(INDEX(Composições!A:J,MATCH(Orçamentária!A1179,Composições!A:A,0),8),2,0)</f>
        <v>40.088593999999993</v>
      </c>
      <c r="F1179" s="136">
        <f t="shared" ca="1" si="54"/>
        <v>0</v>
      </c>
      <c r="G1179" s="137" t="e">
        <f>IF(A1179&lt;&gt;"",IF(AND(#REF!="Padrão",$H$4=#REF!),BDI!$B$17,IF(AND(#REF!="Padrão",$H$4=#REF!),BDI!#REF!,IF(AND(#REF!="Diferenciado",$H$4=#REF!),BDI!$E$17,IF(AND(#REF!="Diferenciado",$H$4=#REF!),BDI!#REF!,IF(#REF!="ZERO",0))))),"")</f>
        <v>#REF!</v>
      </c>
      <c r="H1179" s="138" t="e">
        <f t="shared" ca="1" si="55"/>
        <v>#REF!</v>
      </c>
      <c r="I1179" s="136" t="e">
        <f t="shared" ca="1" si="56"/>
        <v>#REF!</v>
      </c>
    </row>
    <row r="1180" spans="1:9" hidden="1" x14ac:dyDescent="0.25">
      <c r="A1180" s="114" t="s">
        <v>1467</v>
      </c>
      <c r="B1180" s="115" t="s">
        <v>3146</v>
      </c>
      <c r="C1180" s="116" t="s">
        <v>95</v>
      </c>
      <c r="D1180" s="116">
        <v>0</v>
      </c>
      <c r="E1180" s="135">
        <f ca="1">OFFSET(INDEX(Composições!A:J,MATCH(Orçamentária!A1180,Composições!A:A,0),8),2,0)</f>
        <v>4.5409999999999995</v>
      </c>
      <c r="F1180" s="136">
        <f t="shared" ca="1" si="54"/>
        <v>0</v>
      </c>
      <c r="G1180" s="137" t="e">
        <f>IF(A1180&lt;&gt;"",IF(AND(#REF!="Padrão",$H$4=#REF!),BDI!$B$17,IF(AND(#REF!="Padrão",$H$4=#REF!),BDI!#REF!,IF(AND(#REF!="Diferenciado",$H$4=#REF!),BDI!$E$17,IF(AND(#REF!="Diferenciado",$H$4=#REF!),BDI!#REF!,IF(#REF!="ZERO",0))))),"")</f>
        <v>#REF!</v>
      </c>
      <c r="H1180" s="138" t="e">
        <f t="shared" ca="1" si="55"/>
        <v>#REF!</v>
      </c>
      <c r="I1180" s="136" t="e">
        <f t="shared" ca="1" si="56"/>
        <v>#REF!</v>
      </c>
    </row>
    <row r="1181" spans="1:9" hidden="1" x14ac:dyDescent="0.25">
      <c r="A1181" s="114" t="s">
        <v>1471</v>
      </c>
      <c r="B1181" s="115" t="s">
        <v>3147</v>
      </c>
      <c r="C1181" s="116" t="s">
        <v>95</v>
      </c>
      <c r="D1181" s="116">
        <v>0</v>
      </c>
      <c r="E1181" s="135">
        <f ca="1">OFFSET(INDEX(Composições!A:J,MATCH(Orçamentária!A1181,Composições!A:A,0),8),2,0)</f>
        <v>142.06996349999997</v>
      </c>
      <c r="F1181" s="136">
        <f t="shared" ca="1" si="54"/>
        <v>0</v>
      </c>
      <c r="G1181" s="137" t="e">
        <f>IF(A1181&lt;&gt;"",IF(AND(#REF!="Padrão",$H$4=#REF!),BDI!$B$17,IF(AND(#REF!="Padrão",$H$4=#REF!),BDI!#REF!,IF(AND(#REF!="Diferenciado",$H$4=#REF!),BDI!$E$17,IF(AND(#REF!="Diferenciado",$H$4=#REF!),BDI!#REF!,IF(#REF!="ZERO",0))))),"")</f>
        <v>#REF!</v>
      </c>
      <c r="H1181" s="138" t="e">
        <f t="shared" ca="1" si="55"/>
        <v>#REF!</v>
      </c>
      <c r="I1181" s="136" t="e">
        <f t="shared" ca="1" si="56"/>
        <v>#REF!</v>
      </c>
    </row>
    <row r="1182" spans="1:9" hidden="1" x14ac:dyDescent="0.25">
      <c r="A1182" s="114" t="s">
        <v>1473</v>
      </c>
      <c r="B1182" s="115" t="s">
        <v>3148</v>
      </c>
      <c r="C1182" s="116" t="s">
        <v>95</v>
      </c>
      <c r="D1182" s="116">
        <v>0</v>
      </c>
      <c r="E1182" s="135">
        <f ca="1">OFFSET(INDEX(Composições!A:J,MATCH(Orçamentária!A1182,Composições!A:A,0),8),2,0)</f>
        <v>143.9301395</v>
      </c>
      <c r="F1182" s="136">
        <f t="shared" ca="1" si="54"/>
        <v>0</v>
      </c>
      <c r="G1182" s="137" t="e">
        <f>IF(A1182&lt;&gt;"",IF(AND(#REF!="Padrão",$H$4=#REF!),BDI!$B$17,IF(AND(#REF!="Padrão",$H$4=#REF!),BDI!#REF!,IF(AND(#REF!="Diferenciado",$H$4=#REF!),BDI!$E$17,IF(AND(#REF!="Diferenciado",$H$4=#REF!),BDI!#REF!,IF(#REF!="ZERO",0))))),"")</f>
        <v>#REF!</v>
      </c>
      <c r="H1182" s="138" t="e">
        <f t="shared" ca="1" si="55"/>
        <v>#REF!</v>
      </c>
      <c r="I1182" s="136" t="e">
        <f t="shared" ca="1" si="56"/>
        <v>#REF!</v>
      </c>
    </row>
    <row r="1183" spans="1:9" hidden="1" x14ac:dyDescent="0.25">
      <c r="A1183" s="114" t="s">
        <v>3149</v>
      </c>
      <c r="B1183" s="115" t="s">
        <v>3150</v>
      </c>
      <c r="C1183" s="116" t="s">
        <v>42</v>
      </c>
      <c r="D1183" s="116">
        <v>0</v>
      </c>
      <c r="E1183" s="135" t="s">
        <v>558</v>
      </c>
      <c r="F1183" s="136" t="str">
        <f t="shared" si="54"/>
        <v/>
      </c>
      <c r="G1183" s="137" t="e">
        <f>IF(A1183&lt;&gt;"",IF(AND(#REF!="Padrão",$H$4=#REF!),BDI!$B$17,IF(AND(#REF!="Padrão",$H$4=#REF!),BDI!#REF!,IF(AND(#REF!="Diferenciado",$H$4=#REF!),BDI!$E$17,IF(AND(#REF!="Diferenciado",$H$4=#REF!),BDI!#REF!,IF(#REF!="ZERO",0))))),"")</f>
        <v>#REF!</v>
      </c>
      <c r="H1183" s="138" t="str">
        <f t="shared" si="55"/>
        <v/>
      </c>
      <c r="I1183" s="136" t="str">
        <f t="shared" si="56"/>
        <v/>
      </c>
    </row>
    <row r="1184" spans="1:9" hidden="1" x14ac:dyDescent="0.25">
      <c r="A1184" s="114" t="s">
        <v>1474</v>
      </c>
      <c r="B1184" s="115" t="s">
        <v>3151</v>
      </c>
      <c r="C1184" s="116" t="s">
        <v>42</v>
      </c>
      <c r="D1184" s="116">
        <v>0</v>
      </c>
      <c r="E1184" s="135">
        <f ca="1">OFFSET(INDEX(Composições!A:J,MATCH(Orçamentária!A1184,Composições!A:A,0),8),2,0)</f>
        <v>6.3806750000000001</v>
      </c>
      <c r="F1184" s="136">
        <f t="shared" ca="1" si="54"/>
        <v>0</v>
      </c>
      <c r="G1184" s="137" t="e">
        <f>IF(A1184&lt;&gt;"",IF(AND(#REF!="Padrão",$H$4=#REF!),BDI!$B$17,IF(AND(#REF!="Padrão",$H$4=#REF!),BDI!#REF!,IF(AND(#REF!="Diferenciado",$H$4=#REF!),BDI!$E$17,IF(AND(#REF!="Diferenciado",$H$4=#REF!),BDI!#REF!,IF(#REF!="ZERO",0))))),"")</f>
        <v>#REF!</v>
      </c>
      <c r="H1184" s="138" t="e">
        <f t="shared" ca="1" si="55"/>
        <v>#REF!</v>
      </c>
      <c r="I1184" s="136" t="e">
        <f t="shared" ca="1" si="56"/>
        <v>#REF!</v>
      </c>
    </row>
    <row r="1185" spans="1:9" hidden="1" x14ac:dyDescent="0.25">
      <c r="A1185" s="114" t="s">
        <v>1477</v>
      </c>
      <c r="B1185" s="115" t="s">
        <v>3152</v>
      </c>
      <c r="C1185" s="116" t="s">
        <v>110</v>
      </c>
      <c r="D1185" s="116">
        <v>0</v>
      </c>
      <c r="E1185" s="135">
        <f ca="1">OFFSET(INDEX(Composições!A:J,MATCH(Orçamentária!A1185,Composições!A:A,0),8),2,0)</f>
        <v>171.68646430000001</v>
      </c>
      <c r="F1185" s="136">
        <f t="shared" ca="1" si="54"/>
        <v>0</v>
      </c>
      <c r="G1185" s="137" t="e">
        <f>IF(A1185&lt;&gt;"",IF(AND(#REF!="Padrão",$H$4=#REF!),BDI!$B$17,IF(AND(#REF!="Padrão",$H$4=#REF!),BDI!#REF!,IF(AND(#REF!="Diferenciado",$H$4=#REF!),BDI!$E$17,IF(AND(#REF!="Diferenciado",$H$4=#REF!),BDI!#REF!,IF(#REF!="ZERO",0))))),"")</f>
        <v>#REF!</v>
      </c>
      <c r="H1185" s="138" t="e">
        <f t="shared" ca="1" si="55"/>
        <v>#REF!</v>
      </c>
      <c r="I1185" s="136" t="e">
        <f t="shared" ca="1" si="56"/>
        <v>#REF!</v>
      </c>
    </row>
    <row r="1186" spans="1:9" hidden="1" x14ac:dyDescent="0.25">
      <c r="A1186" s="114" t="s">
        <v>3153</v>
      </c>
      <c r="B1186" s="115" t="s">
        <v>3154</v>
      </c>
      <c r="C1186" s="116" t="s">
        <v>20</v>
      </c>
      <c r="D1186" s="116">
        <v>0</v>
      </c>
      <c r="E1186" s="135" t="s">
        <v>558</v>
      </c>
      <c r="F1186" s="136" t="str">
        <f t="shared" si="54"/>
        <v/>
      </c>
      <c r="G1186" s="137" t="e">
        <f>IF(A1186&lt;&gt;"",IF(AND(#REF!="Padrão",$H$4=#REF!),BDI!$B$17,IF(AND(#REF!="Padrão",$H$4=#REF!),BDI!#REF!,IF(AND(#REF!="Diferenciado",$H$4=#REF!),BDI!$E$17,IF(AND(#REF!="Diferenciado",$H$4=#REF!),BDI!#REF!,IF(#REF!="ZERO",0))))),"")</f>
        <v>#REF!</v>
      </c>
      <c r="H1186" s="138" t="str">
        <f t="shared" si="55"/>
        <v/>
      </c>
      <c r="I1186" s="136" t="str">
        <f t="shared" si="56"/>
        <v/>
      </c>
    </row>
    <row r="1187" spans="1:9" hidden="1" x14ac:dyDescent="0.25">
      <c r="A1187" s="114" t="s">
        <v>3155</v>
      </c>
      <c r="B1187" s="115" t="s">
        <v>3156</v>
      </c>
      <c r="C1187" s="116" t="s">
        <v>20</v>
      </c>
      <c r="D1187" s="116">
        <v>0</v>
      </c>
      <c r="E1187" s="135" t="s">
        <v>558</v>
      </c>
      <c r="F1187" s="136" t="str">
        <f t="shared" si="54"/>
        <v/>
      </c>
      <c r="G1187" s="137" t="e">
        <f>IF(A1187&lt;&gt;"",IF(AND(#REF!="Padrão",$H$4=#REF!),BDI!$B$17,IF(AND(#REF!="Padrão",$H$4=#REF!),BDI!#REF!,IF(AND(#REF!="Diferenciado",$H$4=#REF!),BDI!$E$17,IF(AND(#REF!="Diferenciado",$H$4=#REF!),BDI!#REF!,IF(#REF!="ZERO",0))))),"")</f>
        <v>#REF!</v>
      </c>
      <c r="H1187" s="138" t="str">
        <f t="shared" si="55"/>
        <v/>
      </c>
      <c r="I1187" s="136" t="str">
        <f t="shared" si="56"/>
        <v/>
      </c>
    </row>
    <row r="1188" spans="1:9" hidden="1" x14ac:dyDescent="0.25">
      <c r="A1188" s="114" t="s">
        <v>3157</v>
      </c>
      <c r="B1188" s="115" t="s">
        <v>3158</v>
      </c>
      <c r="C1188" s="116" t="s">
        <v>20</v>
      </c>
      <c r="D1188" s="116">
        <v>0</v>
      </c>
      <c r="E1188" s="135" t="s">
        <v>558</v>
      </c>
      <c r="F1188" s="136" t="str">
        <f t="shared" si="54"/>
        <v/>
      </c>
      <c r="G1188" s="137" t="e">
        <f>IF(A1188&lt;&gt;"",IF(AND(#REF!="Padrão",$H$4=#REF!),BDI!$B$17,IF(AND(#REF!="Padrão",$H$4=#REF!),BDI!#REF!,IF(AND(#REF!="Diferenciado",$H$4=#REF!),BDI!$E$17,IF(AND(#REF!="Diferenciado",$H$4=#REF!),BDI!#REF!,IF(#REF!="ZERO",0))))),"")</f>
        <v>#REF!</v>
      </c>
      <c r="H1188" s="138" t="str">
        <f t="shared" si="55"/>
        <v/>
      </c>
      <c r="I1188" s="136" t="str">
        <f t="shared" si="56"/>
        <v/>
      </c>
    </row>
    <row r="1189" spans="1:9" hidden="1" x14ac:dyDescent="0.25">
      <c r="A1189" s="114" t="s">
        <v>3159</v>
      </c>
      <c r="B1189" s="115" t="s">
        <v>3160</v>
      </c>
      <c r="C1189" s="116" t="s">
        <v>93</v>
      </c>
      <c r="D1189" s="116">
        <v>0</v>
      </c>
      <c r="E1189" s="135" t="s">
        <v>558</v>
      </c>
      <c r="F1189" s="136" t="str">
        <f t="shared" si="54"/>
        <v/>
      </c>
      <c r="G1189" s="137" t="e">
        <f>IF(A1189&lt;&gt;"",IF(AND(#REF!="Padrão",$H$4=#REF!),BDI!$B$17,IF(AND(#REF!="Padrão",$H$4=#REF!),BDI!#REF!,IF(AND(#REF!="Diferenciado",$H$4=#REF!),BDI!$E$17,IF(AND(#REF!="Diferenciado",$H$4=#REF!),BDI!#REF!,IF(#REF!="ZERO",0))))),"")</f>
        <v>#REF!</v>
      </c>
      <c r="H1189" s="138" t="str">
        <f t="shared" si="55"/>
        <v/>
      </c>
      <c r="I1189" s="136" t="str">
        <f t="shared" si="56"/>
        <v/>
      </c>
    </row>
    <row r="1190" spans="1:9" hidden="1" x14ac:dyDescent="0.25">
      <c r="A1190" s="114" t="s">
        <v>3161</v>
      </c>
      <c r="B1190" s="115" t="s">
        <v>3162</v>
      </c>
      <c r="C1190" s="116" t="s">
        <v>93</v>
      </c>
      <c r="D1190" s="116">
        <v>0</v>
      </c>
      <c r="E1190" s="135" t="s">
        <v>558</v>
      </c>
      <c r="F1190" s="136" t="str">
        <f t="shared" si="54"/>
        <v/>
      </c>
      <c r="G1190" s="137" t="e">
        <f>IF(A1190&lt;&gt;"",IF(AND(#REF!="Padrão",$H$4=#REF!),BDI!$B$17,IF(AND(#REF!="Padrão",$H$4=#REF!),BDI!#REF!,IF(AND(#REF!="Diferenciado",$H$4=#REF!),BDI!$E$17,IF(AND(#REF!="Diferenciado",$H$4=#REF!),BDI!#REF!,IF(#REF!="ZERO",0))))),"")</f>
        <v>#REF!</v>
      </c>
      <c r="H1190" s="138" t="str">
        <f t="shared" si="55"/>
        <v/>
      </c>
      <c r="I1190" s="136" t="str">
        <f t="shared" si="56"/>
        <v/>
      </c>
    </row>
    <row r="1191" spans="1:9" hidden="1" x14ac:dyDescent="0.25">
      <c r="A1191" s="114" t="s">
        <v>3163</v>
      </c>
      <c r="B1191" s="115" t="s">
        <v>3164</v>
      </c>
      <c r="C1191" s="116" t="s">
        <v>20</v>
      </c>
      <c r="D1191" s="116">
        <v>0</v>
      </c>
      <c r="E1191" s="135" t="s">
        <v>558</v>
      </c>
      <c r="F1191" s="136" t="str">
        <f t="shared" si="54"/>
        <v/>
      </c>
      <c r="G1191" s="137" t="e">
        <f>IF(A1191&lt;&gt;"",IF(AND(#REF!="Padrão",$H$4=#REF!),BDI!$B$17,IF(AND(#REF!="Padrão",$H$4=#REF!),BDI!#REF!,IF(AND(#REF!="Diferenciado",$H$4=#REF!),BDI!$E$17,IF(AND(#REF!="Diferenciado",$H$4=#REF!),BDI!#REF!,IF(#REF!="ZERO",0))))),"")</f>
        <v>#REF!</v>
      </c>
      <c r="H1191" s="138" t="str">
        <f t="shared" si="55"/>
        <v/>
      </c>
      <c r="I1191" s="136" t="str">
        <f t="shared" si="56"/>
        <v/>
      </c>
    </row>
    <row r="1192" spans="1:9" hidden="1" x14ac:dyDescent="0.25">
      <c r="A1192" s="114" t="s">
        <v>3165</v>
      </c>
      <c r="B1192" s="115" t="s">
        <v>3166</v>
      </c>
      <c r="C1192" s="116" t="s">
        <v>20</v>
      </c>
      <c r="D1192" s="116">
        <v>0</v>
      </c>
      <c r="E1192" s="135" t="s">
        <v>558</v>
      </c>
      <c r="F1192" s="136" t="str">
        <f t="shared" si="54"/>
        <v/>
      </c>
      <c r="G1192" s="137" t="e">
        <f>IF(A1192&lt;&gt;"",IF(AND(#REF!="Padrão",$H$4=#REF!),BDI!$B$17,IF(AND(#REF!="Padrão",$H$4=#REF!),BDI!#REF!,IF(AND(#REF!="Diferenciado",$H$4=#REF!),BDI!$E$17,IF(AND(#REF!="Diferenciado",$H$4=#REF!),BDI!#REF!,IF(#REF!="ZERO",0))))),"")</f>
        <v>#REF!</v>
      </c>
      <c r="H1192" s="138" t="str">
        <f t="shared" si="55"/>
        <v/>
      </c>
      <c r="I1192" s="136" t="str">
        <f t="shared" si="56"/>
        <v/>
      </c>
    </row>
    <row r="1193" spans="1:9" hidden="1" x14ac:dyDescent="0.25">
      <c r="A1193" s="114" t="s">
        <v>3167</v>
      </c>
      <c r="B1193" s="115" t="s">
        <v>3168</v>
      </c>
      <c r="C1193" s="116" t="s">
        <v>20</v>
      </c>
      <c r="D1193" s="116">
        <v>0</v>
      </c>
      <c r="E1193" s="135" t="s">
        <v>558</v>
      </c>
      <c r="F1193" s="136" t="str">
        <f t="shared" si="54"/>
        <v/>
      </c>
      <c r="G1193" s="137" t="e">
        <f>IF(A1193&lt;&gt;"",IF(AND(#REF!="Padrão",$H$4=#REF!),BDI!$B$17,IF(AND(#REF!="Padrão",$H$4=#REF!),BDI!#REF!,IF(AND(#REF!="Diferenciado",$H$4=#REF!),BDI!$E$17,IF(AND(#REF!="Diferenciado",$H$4=#REF!),BDI!#REF!,IF(#REF!="ZERO",0))))),"")</f>
        <v>#REF!</v>
      </c>
      <c r="H1193" s="138" t="str">
        <f t="shared" si="55"/>
        <v/>
      </c>
      <c r="I1193" s="136" t="str">
        <f t="shared" si="56"/>
        <v/>
      </c>
    </row>
    <row r="1194" spans="1:9" hidden="1" x14ac:dyDescent="0.25">
      <c r="A1194" s="114" t="s">
        <v>3169</v>
      </c>
      <c r="B1194" s="115" t="s">
        <v>3170</v>
      </c>
      <c r="C1194" s="116" t="s">
        <v>20</v>
      </c>
      <c r="D1194" s="116">
        <v>0</v>
      </c>
      <c r="E1194" s="135" t="s">
        <v>558</v>
      </c>
      <c r="F1194" s="136" t="str">
        <f t="shared" si="54"/>
        <v/>
      </c>
      <c r="G1194" s="137" t="e">
        <f>IF(A1194&lt;&gt;"",IF(AND(#REF!="Padrão",$H$4=#REF!),BDI!$B$17,IF(AND(#REF!="Padrão",$H$4=#REF!),BDI!#REF!,IF(AND(#REF!="Diferenciado",$H$4=#REF!),BDI!$E$17,IF(AND(#REF!="Diferenciado",$H$4=#REF!),BDI!#REF!,IF(#REF!="ZERO",0))))),"")</f>
        <v>#REF!</v>
      </c>
      <c r="H1194" s="138" t="str">
        <f t="shared" si="55"/>
        <v/>
      </c>
      <c r="I1194" s="136" t="str">
        <f t="shared" si="56"/>
        <v/>
      </c>
    </row>
    <row r="1195" spans="1:9" hidden="1" x14ac:dyDescent="0.25">
      <c r="A1195" s="114" t="s">
        <v>3171</v>
      </c>
      <c r="B1195" s="115" t="s">
        <v>3172</v>
      </c>
      <c r="C1195" s="116" t="s">
        <v>20</v>
      </c>
      <c r="D1195" s="116">
        <v>0</v>
      </c>
      <c r="E1195" s="135" t="s">
        <v>558</v>
      </c>
      <c r="F1195" s="136" t="str">
        <f t="shared" si="54"/>
        <v/>
      </c>
      <c r="G1195" s="137" t="e">
        <f>IF(A1195&lt;&gt;"",IF(AND(#REF!="Padrão",$H$4=#REF!),BDI!$B$17,IF(AND(#REF!="Padrão",$H$4=#REF!),BDI!#REF!,IF(AND(#REF!="Diferenciado",$H$4=#REF!),BDI!$E$17,IF(AND(#REF!="Diferenciado",$H$4=#REF!),BDI!#REF!,IF(#REF!="ZERO",0))))),"")</f>
        <v>#REF!</v>
      </c>
      <c r="H1195" s="138" t="str">
        <f t="shared" si="55"/>
        <v/>
      </c>
      <c r="I1195" s="136" t="str">
        <f t="shared" si="56"/>
        <v/>
      </c>
    </row>
    <row r="1196" spans="1:9" hidden="1" x14ac:dyDescent="0.25">
      <c r="A1196" s="114" t="s">
        <v>3173</v>
      </c>
      <c r="B1196" s="115" t="s">
        <v>3174</v>
      </c>
      <c r="C1196" s="116" t="s">
        <v>20</v>
      </c>
      <c r="D1196" s="116">
        <v>0</v>
      </c>
      <c r="E1196" s="135" t="s">
        <v>558</v>
      </c>
      <c r="F1196" s="136" t="str">
        <f t="shared" si="54"/>
        <v/>
      </c>
      <c r="G1196" s="137" t="e">
        <f>IF(A1196&lt;&gt;"",IF(AND(#REF!="Padrão",$H$4=#REF!),BDI!$B$17,IF(AND(#REF!="Padrão",$H$4=#REF!),BDI!#REF!,IF(AND(#REF!="Diferenciado",$H$4=#REF!),BDI!$E$17,IF(AND(#REF!="Diferenciado",$H$4=#REF!),BDI!#REF!,IF(#REF!="ZERO",0))))),"")</f>
        <v>#REF!</v>
      </c>
      <c r="H1196" s="138" t="str">
        <f t="shared" si="55"/>
        <v/>
      </c>
      <c r="I1196" s="136" t="str">
        <f t="shared" si="56"/>
        <v/>
      </c>
    </row>
    <row r="1197" spans="1:9" hidden="1" x14ac:dyDescent="0.25">
      <c r="A1197" s="114" t="s">
        <v>3175</v>
      </c>
      <c r="B1197" s="115" t="s">
        <v>6421</v>
      </c>
      <c r="C1197" s="116" t="s">
        <v>20</v>
      </c>
      <c r="D1197" s="116">
        <v>0</v>
      </c>
      <c r="E1197" s="135" t="s">
        <v>558</v>
      </c>
      <c r="F1197" s="136" t="str">
        <f t="shared" si="54"/>
        <v/>
      </c>
      <c r="G1197" s="137" t="e">
        <f>IF(A1197&lt;&gt;"",IF(AND(#REF!="Padrão",$H$4=#REF!),BDI!$B$17,IF(AND(#REF!="Padrão",$H$4=#REF!),BDI!#REF!,IF(AND(#REF!="Diferenciado",$H$4=#REF!),BDI!$E$17,IF(AND(#REF!="Diferenciado",$H$4=#REF!),BDI!#REF!,IF(#REF!="ZERO",0))))),"")</f>
        <v>#REF!</v>
      </c>
      <c r="H1197" s="138" t="str">
        <f t="shared" si="55"/>
        <v/>
      </c>
      <c r="I1197" s="136" t="str">
        <f t="shared" si="56"/>
        <v/>
      </c>
    </row>
    <row r="1198" spans="1:9" hidden="1" x14ac:dyDescent="0.25">
      <c r="A1198" s="114" t="s">
        <v>3176</v>
      </c>
      <c r="B1198" s="115" t="s">
        <v>6422</v>
      </c>
      <c r="C1198" s="116" t="s">
        <v>20</v>
      </c>
      <c r="D1198" s="116">
        <v>0</v>
      </c>
      <c r="E1198" s="135" t="s">
        <v>558</v>
      </c>
      <c r="F1198" s="136" t="str">
        <f t="shared" si="54"/>
        <v/>
      </c>
      <c r="G1198" s="137" t="e">
        <f>IF(A1198&lt;&gt;"",IF(AND(#REF!="Padrão",$H$4=#REF!),BDI!$B$17,IF(AND(#REF!="Padrão",$H$4=#REF!),BDI!#REF!,IF(AND(#REF!="Diferenciado",$H$4=#REF!),BDI!$E$17,IF(AND(#REF!="Diferenciado",$H$4=#REF!),BDI!#REF!,IF(#REF!="ZERO",0))))),"")</f>
        <v>#REF!</v>
      </c>
      <c r="H1198" s="138" t="str">
        <f t="shared" si="55"/>
        <v/>
      </c>
      <c r="I1198" s="136" t="str">
        <f t="shared" si="56"/>
        <v/>
      </c>
    </row>
    <row r="1199" spans="1:9" hidden="1" x14ac:dyDescent="0.25">
      <c r="A1199" s="114" t="s">
        <v>3177</v>
      </c>
      <c r="B1199" s="115" t="s">
        <v>6423</v>
      </c>
      <c r="C1199" s="116" t="s">
        <v>20</v>
      </c>
      <c r="D1199" s="116">
        <v>0</v>
      </c>
      <c r="E1199" s="135" t="s">
        <v>558</v>
      </c>
      <c r="F1199" s="136" t="str">
        <f t="shared" si="54"/>
        <v/>
      </c>
      <c r="G1199" s="137" t="e">
        <f>IF(A1199&lt;&gt;"",IF(AND(#REF!="Padrão",$H$4=#REF!),BDI!$B$17,IF(AND(#REF!="Padrão",$H$4=#REF!),BDI!#REF!,IF(AND(#REF!="Diferenciado",$H$4=#REF!),BDI!$E$17,IF(AND(#REF!="Diferenciado",$H$4=#REF!),BDI!#REF!,IF(#REF!="ZERO",0))))),"")</f>
        <v>#REF!</v>
      </c>
      <c r="H1199" s="138" t="str">
        <f t="shared" si="55"/>
        <v/>
      </c>
      <c r="I1199" s="136" t="str">
        <f t="shared" si="56"/>
        <v/>
      </c>
    </row>
    <row r="1200" spans="1:9" hidden="1" x14ac:dyDescent="0.25">
      <c r="A1200" s="114" t="s">
        <v>3178</v>
      </c>
      <c r="B1200" s="115" t="s">
        <v>6424</v>
      </c>
      <c r="C1200" s="116" t="s">
        <v>20</v>
      </c>
      <c r="D1200" s="116">
        <v>0</v>
      </c>
      <c r="E1200" s="135" t="s">
        <v>558</v>
      </c>
      <c r="F1200" s="136" t="str">
        <f t="shared" si="54"/>
        <v/>
      </c>
      <c r="G1200" s="137" t="e">
        <f>IF(A1200&lt;&gt;"",IF(AND(#REF!="Padrão",$H$4=#REF!),BDI!$B$17,IF(AND(#REF!="Padrão",$H$4=#REF!),BDI!#REF!,IF(AND(#REF!="Diferenciado",$H$4=#REF!),BDI!$E$17,IF(AND(#REF!="Diferenciado",$H$4=#REF!),BDI!#REF!,IF(#REF!="ZERO",0))))),"")</f>
        <v>#REF!</v>
      </c>
      <c r="H1200" s="138" t="str">
        <f t="shared" si="55"/>
        <v/>
      </c>
      <c r="I1200" s="136" t="str">
        <f t="shared" si="56"/>
        <v/>
      </c>
    </row>
    <row r="1201" spans="1:9" hidden="1" x14ac:dyDescent="0.25">
      <c r="A1201" s="114" t="s">
        <v>3179</v>
      </c>
      <c r="B1201" s="115" t="s">
        <v>3180</v>
      </c>
      <c r="C1201" s="116" t="s">
        <v>20</v>
      </c>
      <c r="D1201" s="116">
        <v>0</v>
      </c>
      <c r="E1201" s="135" t="s">
        <v>558</v>
      </c>
      <c r="F1201" s="136" t="str">
        <f t="shared" si="54"/>
        <v/>
      </c>
      <c r="G1201" s="137" t="e">
        <f>IF(A1201&lt;&gt;"",IF(AND(#REF!="Padrão",$H$4=#REF!),BDI!$B$17,IF(AND(#REF!="Padrão",$H$4=#REF!),BDI!#REF!,IF(AND(#REF!="Diferenciado",$H$4=#REF!),BDI!$E$17,IF(AND(#REF!="Diferenciado",$H$4=#REF!),BDI!#REF!,IF(#REF!="ZERO",0))))),"")</f>
        <v>#REF!</v>
      </c>
      <c r="H1201" s="138" t="str">
        <f t="shared" si="55"/>
        <v/>
      </c>
      <c r="I1201" s="136" t="str">
        <f t="shared" si="56"/>
        <v/>
      </c>
    </row>
    <row r="1202" spans="1:9" hidden="1" x14ac:dyDescent="0.25">
      <c r="A1202" s="114" t="s">
        <v>3181</v>
      </c>
      <c r="B1202" s="115" t="s">
        <v>3182</v>
      </c>
      <c r="C1202" s="116" t="s">
        <v>20</v>
      </c>
      <c r="D1202" s="116">
        <v>0</v>
      </c>
      <c r="E1202" s="135" t="s">
        <v>558</v>
      </c>
      <c r="F1202" s="136" t="str">
        <f t="shared" si="54"/>
        <v/>
      </c>
      <c r="G1202" s="137" t="e">
        <f>IF(A1202&lt;&gt;"",IF(AND(#REF!="Padrão",$H$4=#REF!),BDI!$B$17,IF(AND(#REF!="Padrão",$H$4=#REF!),BDI!#REF!,IF(AND(#REF!="Diferenciado",$H$4=#REF!),BDI!$E$17,IF(AND(#REF!="Diferenciado",$H$4=#REF!),BDI!#REF!,IF(#REF!="ZERO",0))))),"")</f>
        <v>#REF!</v>
      </c>
      <c r="H1202" s="138" t="str">
        <f t="shared" si="55"/>
        <v/>
      </c>
      <c r="I1202" s="136" t="str">
        <f t="shared" si="56"/>
        <v/>
      </c>
    </row>
    <row r="1203" spans="1:9" hidden="1" x14ac:dyDescent="0.25">
      <c r="A1203" s="114" t="s">
        <v>3183</v>
      </c>
      <c r="B1203" s="115" t="s">
        <v>3184</v>
      </c>
      <c r="C1203" s="116" t="s">
        <v>20</v>
      </c>
      <c r="D1203" s="116">
        <v>0</v>
      </c>
      <c r="E1203" s="135" t="s">
        <v>558</v>
      </c>
      <c r="F1203" s="136" t="str">
        <f t="shared" si="54"/>
        <v/>
      </c>
      <c r="G1203" s="137" t="e">
        <f>IF(A1203&lt;&gt;"",IF(AND(#REF!="Padrão",$H$4=#REF!),BDI!$B$17,IF(AND(#REF!="Padrão",$H$4=#REF!),BDI!#REF!,IF(AND(#REF!="Diferenciado",$H$4=#REF!),BDI!$E$17,IF(AND(#REF!="Diferenciado",$H$4=#REF!),BDI!#REF!,IF(#REF!="ZERO",0))))),"")</f>
        <v>#REF!</v>
      </c>
      <c r="H1203" s="138" t="str">
        <f t="shared" si="55"/>
        <v/>
      </c>
      <c r="I1203" s="136" t="str">
        <f t="shared" si="56"/>
        <v/>
      </c>
    </row>
    <row r="1204" spans="1:9" hidden="1" x14ac:dyDescent="0.25">
      <c r="A1204" s="114" t="s">
        <v>3185</v>
      </c>
      <c r="B1204" s="115" t="s">
        <v>3186</v>
      </c>
      <c r="C1204" s="116" t="s">
        <v>20</v>
      </c>
      <c r="D1204" s="116">
        <v>0</v>
      </c>
      <c r="E1204" s="135" t="s">
        <v>558</v>
      </c>
      <c r="F1204" s="136" t="str">
        <f t="shared" si="54"/>
        <v/>
      </c>
      <c r="G1204" s="137" t="e">
        <f>IF(A1204&lt;&gt;"",IF(AND(#REF!="Padrão",$H$4=#REF!),BDI!$B$17,IF(AND(#REF!="Padrão",$H$4=#REF!),BDI!#REF!,IF(AND(#REF!="Diferenciado",$H$4=#REF!),BDI!$E$17,IF(AND(#REF!="Diferenciado",$H$4=#REF!),BDI!#REF!,IF(#REF!="ZERO",0))))),"")</f>
        <v>#REF!</v>
      </c>
      <c r="H1204" s="138" t="str">
        <f t="shared" si="55"/>
        <v/>
      </c>
      <c r="I1204" s="136" t="str">
        <f t="shared" si="56"/>
        <v/>
      </c>
    </row>
    <row r="1205" spans="1:9" hidden="1" x14ac:dyDescent="0.25">
      <c r="A1205" s="114" t="s">
        <v>3187</v>
      </c>
      <c r="B1205" s="115" t="s">
        <v>3188</v>
      </c>
      <c r="C1205" s="116" t="s">
        <v>20</v>
      </c>
      <c r="D1205" s="116">
        <v>0</v>
      </c>
      <c r="E1205" s="135" t="s">
        <v>558</v>
      </c>
      <c r="F1205" s="136" t="str">
        <f t="shared" si="54"/>
        <v/>
      </c>
      <c r="G1205" s="137" t="e">
        <f>IF(A1205&lt;&gt;"",IF(AND(#REF!="Padrão",$H$4=#REF!),BDI!$B$17,IF(AND(#REF!="Padrão",$H$4=#REF!),BDI!#REF!,IF(AND(#REF!="Diferenciado",$H$4=#REF!),BDI!$E$17,IF(AND(#REF!="Diferenciado",$H$4=#REF!),BDI!#REF!,IF(#REF!="ZERO",0))))),"")</f>
        <v>#REF!</v>
      </c>
      <c r="H1205" s="138" t="str">
        <f t="shared" si="55"/>
        <v/>
      </c>
      <c r="I1205" s="136" t="str">
        <f t="shared" si="56"/>
        <v/>
      </c>
    </row>
    <row r="1206" spans="1:9" hidden="1" x14ac:dyDescent="0.25">
      <c r="A1206" s="114" t="s">
        <v>3189</v>
      </c>
      <c r="B1206" s="115" t="s">
        <v>6425</v>
      </c>
      <c r="C1206" s="116" t="s">
        <v>20</v>
      </c>
      <c r="D1206" s="116">
        <v>0</v>
      </c>
      <c r="E1206" s="135" t="s">
        <v>558</v>
      </c>
      <c r="F1206" s="136" t="str">
        <f t="shared" si="54"/>
        <v/>
      </c>
      <c r="G1206" s="137" t="e">
        <f>IF(A1206&lt;&gt;"",IF(AND(#REF!="Padrão",$H$4=#REF!),BDI!$B$17,IF(AND(#REF!="Padrão",$H$4=#REF!),BDI!#REF!,IF(AND(#REF!="Diferenciado",$H$4=#REF!),BDI!$E$17,IF(AND(#REF!="Diferenciado",$H$4=#REF!),BDI!#REF!,IF(#REF!="ZERO",0))))),"")</f>
        <v>#REF!</v>
      </c>
      <c r="H1206" s="138" t="str">
        <f t="shared" si="55"/>
        <v/>
      </c>
      <c r="I1206" s="136" t="str">
        <f t="shared" si="56"/>
        <v/>
      </c>
    </row>
    <row r="1207" spans="1:9" hidden="1" x14ac:dyDescent="0.25">
      <c r="A1207" s="114" t="s">
        <v>3190</v>
      </c>
      <c r="B1207" s="115" t="s">
        <v>3191</v>
      </c>
      <c r="C1207" s="116" t="s">
        <v>20</v>
      </c>
      <c r="D1207" s="116">
        <v>0</v>
      </c>
      <c r="E1207" s="135" t="s">
        <v>558</v>
      </c>
      <c r="F1207" s="136" t="str">
        <f t="shared" si="54"/>
        <v/>
      </c>
      <c r="G1207" s="137" t="e">
        <f>IF(A1207&lt;&gt;"",IF(AND(#REF!="Padrão",$H$4=#REF!),BDI!$B$17,IF(AND(#REF!="Padrão",$H$4=#REF!),BDI!#REF!,IF(AND(#REF!="Diferenciado",$H$4=#REF!),BDI!$E$17,IF(AND(#REF!="Diferenciado",$H$4=#REF!),BDI!#REF!,IF(#REF!="ZERO",0))))),"")</f>
        <v>#REF!</v>
      </c>
      <c r="H1207" s="138" t="str">
        <f t="shared" si="55"/>
        <v/>
      </c>
      <c r="I1207" s="136" t="str">
        <f t="shared" si="56"/>
        <v/>
      </c>
    </row>
    <row r="1208" spans="1:9" hidden="1" x14ac:dyDescent="0.25">
      <c r="A1208" s="114" t="s">
        <v>3192</v>
      </c>
      <c r="B1208" s="115" t="s">
        <v>3193</v>
      </c>
      <c r="C1208" s="116" t="s">
        <v>20</v>
      </c>
      <c r="D1208" s="116">
        <v>0</v>
      </c>
      <c r="E1208" s="135" t="s">
        <v>558</v>
      </c>
      <c r="F1208" s="136" t="str">
        <f t="shared" si="54"/>
        <v/>
      </c>
      <c r="G1208" s="137" t="e">
        <f>IF(A1208&lt;&gt;"",IF(AND(#REF!="Padrão",$H$4=#REF!),BDI!$B$17,IF(AND(#REF!="Padrão",$H$4=#REF!),BDI!#REF!,IF(AND(#REF!="Diferenciado",$H$4=#REF!),BDI!$E$17,IF(AND(#REF!="Diferenciado",$H$4=#REF!),BDI!#REF!,IF(#REF!="ZERO",0))))),"")</f>
        <v>#REF!</v>
      </c>
      <c r="H1208" s="138" t="str">
        <f t="shared" si="55"/>
        <v/>
      </c>
      <c r="I1208" s="136" t="str">
        <f t="shared" si="56"/>
        <v/>
      </c>
    </row>
    <row r="1209" spans="1:9" hidden="1" x14ac:dyDescent="0.25">
      <c r="A1209" s="114" t="s">
        <v>3194</v>
      </c>
      <c r="B1209" s="115" t="s">
        <v>3195</v>
      </c>
      <c r="C1209" s="116" t="s">
        <v>20</v>
      </c>
      <c r="D1209" s="116">
        <v>0</v>
      </c>
      <c r="E1209" s="135" t="s">
        <v>558</v>
      </c>
      <c r="F1209" s="136" t="str">
        <f t="shared" si="54"/>
        <v/>
      </c>
      <c r="G1209" s="137" t="e">
        <f>IF(A1209&lt;&gt;"",IF(AND(#REF!="Padrão",$H$4=#REF!),BDI!$B$17,IF(AND(#REF!="Padrão",$H$4=#REF!),BDI!#REF!,IF(AND(#REF!="Diferenciado",$H$4=#REF!),BDI!$E$17,IF(AND(#REF!="Diferenciado",$H$4=#REF!),BDI!#REF!,IF(#REF!="ZERO",0))))),"")</f>
        <v>#REF!</v>
      </c>
      <c r="H1209" s="138" t="str">
        <f t="shared" si="55"/>
        <v/>
      </c>
      <c r="I1209" s="136" t="str">
        <f t="shared" si="56"/>
        <v/>
      </c>
    </row>
    <row r="1210" spans="1:9" hidden="1" x14ac:dyDescent="0.25">
      <c r="A1210" s="114" t="s">
        <v>3196</v>
      </c>
      <c r="B1210" s="115" t="s">
        <v>3197</v>
      </c>
      <c r="C1210" s="116" t="s">
        <v>2744</v>
      </c>
      <c r="D1210" s="116">
        <v>0</v>
      </c>
      <c r="E1210" s="135" t="s">
        <v>558</v>
      </c>
      <c r="F1210" s="136" t="str">
        <f t="shared" si="54"/>
        <v/>
      </c>
      <c r="G1210" s="137" t="e">
        <f>IF(A1210&lt;&gt;"",IF(AND(#REF!="Padrão",$H$4=#REF!),BDI!$B$17,IF(AND(#REF!="Padrão",$H$4=#REF!),BDI!#REF!,IF(AND(#REF!="Diferenciado",$H$4=#REF!),BDI!$E$17,IF(AND(#REF!="Diferenciado",$H$4=#REF!),BDI!#REF!,IF(#REF!="ZERO",0))))),"")</f>
        <v>#REF!</v>
      </c>
      <c r="H1210" s="138" t="str">
        <f t="shared" si="55"/>
        <v/>
      </c>
      <c r="I1210" s="136" t="str">
        <f t="shared" si="56"/>
        <v/>
      </c>
    </row>
    <row r="1211" spans="1:9" hidden="1" x14ac:dyDescent="0.25">
      <c r="A1211" s="114" t="s">
        <v>3198</v>
      </c>
      <c r="B1211" s="115" t="s">
        <v>3199</v>
      </c>
      <c r="C1211" s="116" t="s">
        <v>20</v>
      </c>
      <c r="D1211" s="116">
        <v>0</v>
      </c>
      <c r="E1211" s="135" t="s">
        <v>558</v>
      </c>
      <c r="F1211" s="136" t="str">
        <f t="shared" si="54"/>
        <v/>
      </c>
      <c r="G1211" s="137" t="e">
        <f>IF(A1211&lt;&gt;"",IF(AND(#REF!="Padrão",$H$4=#REF!),BDI!$B$17,IF(AND(#REF!="Padrão",$H$4=#REF!),BDI!#REF!,IF(AND(#REF!="Diferenciado",$H$4=#REF!),BDI!$E$17,IF(AND(#REF!="Diferenciado",$H$4=#REF!),BDI!#REF!,IF(#REF!="ZERO",0))))),"")</f>
        <v>#REF!</v>
      </c>
      <c r="H1211" s="138" t="str">
        <f t="shared" si="55"/>
        <v/>
      </c>
      <c r="I1211" s="136" t="str">
        <f t="shared" si="56"/>
        <v/>
      </c>
    </row>
    <row r="1212" spans="1:9" hidden="1" x14ac:dyDescent="0.25">
      <c r="A1212" s="114" t="s">
        <v>3200</v>
      </c>
      <c r="B1212" s="115" t="s">
        <v>3201</v>
      </c>
      <c r="C1212" s="116" t="s">
        <v>20</v>
      </c>
      <c r="D1212" s="116">
        <v>0</v>
      </c>
      <c r="E1212" s="135" t="s">
        <v>558</v>
      </c>
      <c r="F1212" s="136" t="str">
        <f t="shared" si="54"/>
        <v/>
      </c>
      <c r="G1212" s="137" t="e">
        <f>IF(A1212&lt;&gt;"",IF(AND(#REF!="Padrão",$H$4=#REF!),BDI!$B$17,IF(AND(#REF!="Padrão",$H$4=#REF!),BDI!#REF!,IF(AND(#REF!="Diferenciado",$H$4=#REF!),BDI!$E$17,IF(AND(#REF!="Diferenciado",$H$4=#REF!),BDI!#REF!,IF(#REF!="ZERO",0))))),"")</f>
        <v>#REF!</v>
      </c>
      <c r="H1212" s="138" t="str">
        <f t="shared" si="55"/>
        <v/>
      </c>
      <c r="I1212" s="136" t="str">
        <f t="shared" si="56"/>
        <v/>
      </c>
    </row>
    <row r="1213" spans="1:9" hidden="1" x14ac:dyDescent="0.25">
      <c r="A1213" s="114" t="s">
        <v>3202</v>
      </c>
      <c r="B1213" s="115" t="s">
        <v>3203</v>
      </c>
      <c r="C1213" s="116" t="s">
        <v>20</v>
      </c>
      <c r="D1213" s="116">
        <v>0</v>
      </c>
      <c r="E1213" s="135" t="s">
        <v>558</v>
      </c>
      <c r="F1213" s="136" t="str">
        <f t="shared" si="54"/>
        <v/>
      </c>
      <c r="G1213" s="137" t="e">
        <f>IF(A1213&lt;&gt;"",IF(AND(#REF!="Padrão",$H$4=#REF!),BDI!$B$17,IF(AND(#REF!="Padrão",$H$4=#REF!),BDI!#REF!,IF(AND(#REF!="Diferenciado",$H$4=#REF!),BDI!$E$17,IF(AND(#REF!="Diferenciado",$H$4=#REF!),BDI!#REF!,IF(#REF!="ZERO",0))))),"")</f>
        <v>#REF!</v>
      </c>
      <c r="H1213" s="138" t="str">
        <f t="shared" si="55"/>
        <v/>
      </c>
      <c r="I1213" s="136" t="str">
        <f t="shared" si="56"/>
        <v/>
      </c>
    </row>
    <row r="1214" spans="1:9" hidden="1" x14ac:dyDescent="0.25">
      <c r="A1214" s="114" t="s">
        <v>3204</v>
      </c>
      <c r="B1214" s="115" t="s">
        <v>6426</v>
      </c>
      <c r="C1214" s="116" t="s">
        <v>20</v>
      </c>
      <c r="D1214" s="116">
        <v>0</v>
      </c>
      <c r="E1214" s="135" t="s">
        <v>558</v>
      </c>
      <c r="F1214" s="136" t="str">
        <f t="shared" si="54"/>
        <v/>
      </c>
      <c r="G1214" s="137" t="e">
        <f>IF(A1214&lt;&gt;"",IF(AND(#REF!="Padrão",$H$4=#REF!),BDI!$B$17,IF(AND(#REF!="Padrão",$H$4=#REF!),BDI!#REF!,IF(AND(#REF!="Diferenciado",$H$4=#REF!),BDI!$E$17,IF(AND(#REF!="Diferenciado",$H$4=#REF!),BDI!#REF!,IF(#REF!="ZERO",0))))),"")</f>
        <v>#REF!</v>
      </c>
      <c r="H1214" s="138" t="str">
        <f t="shared" si="55"/>
        <v/>
      </c>
      <c r="I1214" s="136" t="str">
        <f t="shared" si="56"/>
        <v/>
      </c>
    </row>
    <row r="1215" spans="1:9" hidden="1" x14ac:dyDescent="0.25">
      <c r="A1215" s="114" t="s">
        <v>3205</v>
      </c>
      <c r="B1215" s="115" t="s">
        <v>3206</v>
      </c>
      <c r="C1215" s="116" t="s">
        <v>20</v>
      </c>
      <c r="D1215" s="116">
        <v>0</v>
      </c>
      <c r="E1215" s="135" t="s">
        <v>558</v>
      </c>
      <c r="F1215" s="136" t="str">
        <f t="shared" si="54"/>
        <v/>
      </c>
      <c r="G1215" s="137" t="e">
        <f>IF(A1215&lt;&gt;"",IF(AND(#REF!="Padrão",$H$4=#REF!),BDI!$B$17,IF(AND(#REF!="Padrão",$H$4=#REF!),BDI!#REF!,IF(AND(#REF!="Diferenciado",$H$4=#REF!),BDI!$E$17,IF(AND(#REF!="Diferenciado",$H$4=#REF!),BDI!#REF!,IF(#REF!="ZERO",0))))),"")</f>
        <v>#REF!</v>
      </c>
      <c r="H1215" s="138" t="str">
        <f t="shared" si="55"/>
        <v/>
      </c>
      <c r="I1215" s="136" t="str">
        <f t="shared" si="56"/>
        <v/>
      </c>
    </row>
    <row r="1216" spans="1:9" hidden="1" x14ac:dyDescent="0.25">
      <c r="A1216" s="114" t="s">
        <v>3207</v>
      </c>
      <c r="B1216" s="115" t="s">
        <v>3208</v>
      </c>
      <c r="C1216" s="116" t="s">
        <v>20</v>
      </c>
      <c r="D1216" s="116">
        <v>0</v>
      </c>
      <c r="E1216" s="135" t="s">
        <v>558</v>
      </c>
      <c r="F1216" s="136" t="str">
        <f t="shared" si="54"/>
        <v/>
      </c>
      <c r="G1216" s="137" t="e">
        <f>IF(A1216&lt;&gt;"",IF(AND(#REF!="Padrão",$H$4=#REF!),BDI!$B$17,IF(AND(#REF!="Padrão",$H$4=#REF!),BDI!#REF!,IF(AND(#REF!="Diferenciado",$H$4=#REF!),BDI!$E$17,IF(AND(#REF!="Diferenciado",$H$4=#REF!),BDI!#REF!,IF(#REF!="ZERO",0))))),"")</f>
        <v>#REF!</v>
      </c>
      <c r="H1216" s="138" t="str">
        <f t="shared" si="55"/>
        <v/>
      </c>
      <c r="I1216" s="136" t="str">
        <f t="shared" si="56"/>
        <v/>
      </c>
    </row>
    <row r="1217" spans="1:9" hidden="1" x14ac:dyDescent="0.25">
      <c r="A1217" s="114" t="s">
        <v>3209</v>
      </c>
      <c r="B1217" s="115" t="s">
        <v>3210</v>
      </c>
      <c r="C1217" s="116" t="s">
        <v>615</v>
      </c>
      <c r="D1217" s="116">
        <v>0</v>
      </c>
      <c r="E1217" s="135" t="s">
        <v>558</v>
      </c>
      <c r="F1217" s="136" t="str">
        <f t="shared" si="54"/>
        <v/>
      </c>
      <c r="G1217" s="137" t="e">
        <f>IF(A1217&lt;&gt;"",IF(AND(#REF!="Padrão",$H$4=#REF!),BDI!$B$17,IF(AND(#REF!="Padrão",$H$4=#REF!),BDI!#REF!,IF(AND(#REF!="Diferenciado",$H$4=#REF!),BDI!$E$17,IF(AND(#REF!="Diferenciado",$H$4=#REF!),BDI!#REF!,IF(#REF!="ZERO",0))))),"")</f>
        <v>#REF!</v>
      </c>
      <c r="H1217" s="138" t="str">
        <f t="shared" si="55"/>
        <v/>
      </c>
      <c r="I1217" s="136" t="str">
        <f t="shared" si="56"/>
        <v/>
      </c>
    </row>
    <row r="1218" spans="1:9" hidden="1" x14ac:dyDescent="0.25">
      <c r="A1218" s="114" t="s">
        <v>3211</v>
      </c>
      <c r="B1218" s="115" t="s">
        <v>6427</v>
      </c>
      <c r="C1218" s="116" t="s">
        <v>20</v>
      </c>
      <c r="D1218" s="116">
        <v>0</v>
      </c>
      <c r="E1218" s="135" t="s">
        <v>558</v>
      </c>
      <c r="F1218" s="136" t="str">
        <f t="shared" si="54"/>
        <v/>
      </c>
      <c r="G1218" s="137" t="e">
        <f>IF(A1218&lt;&gt;"",IF(AND(#REF!="Padrão",$H$4=#REF!),BDI!$B$17,IF(AND(#REF!="Padrão",$H$4=#REF!),BDI!#REF!,IF(AND(#REF!="Diferenciado",$H$4=#REF!),BDI!$E$17,IF(AND(#REF!="Diferenciado",$H$4=#REF!),BDI!#REF!,IF(#REF!="ZERO",0))))),"")</f>
        <v>#REF!</v>
      </c>
      <c r="H1218" s="138" t="str">
        <f t="shared" si="55"/>
        <v/>
      </c>
      <c r="I1218" s="136" t="str">
        <f t="shared" si="56"/>
        <v/>
      </c>
    </row>
    <row r="1219" spans="1:9" hidden="1" x14ac:dyDescent="0.25">
      <c r="A1219" s="114" t="s">
        <v>3212</v>
      </c>
      <c r="B1219" s="115" t="s">
        <v>3213</v>
      </c>
      <c r="C1219" s="116" t="s">
        <v>20</v>
      </c>
      <c r="D1219" s="116">
        <v>0</v>
      </c>
      <c r="E1219" s="135" t="s">
        <v>558</v>
      </c>
      <c r="F1219" s="136" t="str">
        <f t="shared" si="54"/>
        <v/>
      </c>
      <c r="G1219" s="137" t="e">
        <f>IF(A1219&lt;&gt;"",IF(AND(#REF!="Padrão",$H$4=#REF!),BDI!$B$17,IF(AND(#REF!="Padrão",$H$4=#REF!),BDI!#REF!,IF(AND(#REF!="Diferenciado",$H$4=#REF!),BDI!$E$17,IF(AND(#REF!="Diferenciado",$H$4=#REF!),BDI!#REF!,IF(#REF!="ZERO",0))))),"")</f>
        <v>#REF!</v>
      </c>
      <c r="H1219" s="138" t="str">
        <f t="shared" si="55"/>
        <v/>
      </c>
      <c r="I1219" s="136" t="str">
        <f t="shared" si="56"/>
        <v/>
      </c>
    </row>
    <row r="1220" spans="1:9" hidden="1" x14ac:dyDescent="0.25">
      <c r="A1220" s="114" t="s">
        <v>3214</v>
      </c>
      <c r="B1220" s="115" t="s">
        <v>3215</v>
      </c>
      <c r="C1220" s="116" t="s">
        <v>20</v>
      </c>
      <c r="D1220" s="116">
        <v>0</v>
      </c>
      <c r="E1220" s="135" t="s">
        <v>558</v>
      </c>
      <c r="F1220" s="136" t="str">
        <f t="shared" si="54"/>
        <v/>
      </c>
      <c r="G1220" s="137" t="e">
        <f>IF(A1220&lt;&gt;"",IF(AND(#REF!="Padrão",$H$4=#REF!),BDI!$B$17,IF(AND(#REF!="Padrão",$H$4=#REF!),BDI!#REF!,IF(AND(#REF!="Diferenciado",$H$4=#REF!),BDI!$E$17,IF(AND(#REF!="Diferenciado",$H$4=#REF!),BDI!#REF!,IF(#REF!="ZERO",0))))),"")</f>
        <v>#REF!</v>
      </c>
      <c r="H1220" s="138" t="str">
        <f t="shared" si="55"/>
        <v/>
      </c>
      <c r="I1220" s="136" t="str">
        <f t="shared" si="56"/>
        <v/>
      </c>
    </row>
    <row r="1221" spans="1:9" hidden="1" x14ac:dyDescent="0.25">
      <c r="A1221" s="114" t="s">
        <v>3216</v>
      </c>
      <c r="B1221" s="115" t="s">
        <v>3217</v>
      </c>
      <c r="C1221" s="116" t="s">
        <v>20</v>
      </c>
      <c r="D1221" s="116">
        <v>0</v>
      </c>
      <c r="E1221" s="135" t="s">
        <v>558</v>
      </c>
      <c r="F1221" s="136" t="str">
        <f t="shared" si="54"/>
        <v/>
      </c>
      <c r="G1221" s="137" t="e">
        <f>IF(A1221&lt;&gt;"",IF(AND(#REF!="Padrão",$H$4=#REF!),BDI!$B$17,IF(AND(#REF!="Padrão",$H$4=#REF!),BDI!#REF!,IF(AND(#REF!="Diferenciado",$H$4=#REF!),BDI!$E$17,IF(AND(#REF!="Diferenciado",$H$4=#REF!),BDI!#REF!,IF(#REF!="ZERO",0))))),"")</f>
        <v>#REF!</v>
      </c>
      <c r="H1221" s="138" t="str">
        <f t="shared" si="55"/>
        <v/>
      </c>
      <c r="I1221" s="136" t="str">
        <f t="shared" si="56"/>
        <v/>
      </c>
    </row>
    <row r="1222" spans="1:9" hidden="1" x14ac:dyDescent="0.25">
      <c r="A1222" s="114" t="s">
        <v>3218</v>
      </c>
      <c r="B1222" s="115" t="s">
        <v>3219</v>
      </c>
      <c r="C1222" s="116" t="s">
        <v>20</v>
      </c>
      <c r="D1222" s="116">
        <v>0</v>
      </c>
      <c r="E1222" s="135" t="s">
        <v>558</v>
      </c>
      <c r="F1222" s="136" t="str">
        <f t="shared" si="54"/>
        <v/>
      </c>
      <c r="G1222" s="137" t="e">
        <f>IF(A1222&lt;&gt;"",IF(AND(#REF!="Padrão",$H$4=#REF!),BDI!$B$17,IF(AND(#REF!="Padrão",$H$4=#REF!),BDI!#REF!,IF(AND(#REF!="Diferenciado",$H$4=#REF!),BDI!$E$17,IF(AND(#REF!="Diferenciado",$H$4=#REF!),BDI!#REF!,IF(#REF!="ZERO",0))))),"")</f>
        <v>#REF!</v>
      </c>
      <c r="H1222" s="138" t="str">
        <f t="shared" si="55"/>
        <v/>
      </c>
      <c r="I1222" s="136" t="str">
        <f t="shared" si="56"/>
        <v/>
      </c>
    </row>
    <row r="1223" spans="1:9" hidden="1" x14ac:dyDescent="0.25">
      <c r="A1223" s="114" t="s">
        <v>3220</v>
      </c>
      <c r="B1223" s="115" t="s">
        <v>3221</v>
      </c>
      <c r="C1223" s="116" t="s">
        <v>615</v>
      </c>
      <c r="D1223" s="116">
        <v>0</v>
      </c>
      <c r="E1223" s="135" t="s">
        <v>558</v>
      </c>
      <c r="F1223" s="136" t="str">
        <f t="shared" ref="F1223:F1239" si="57">IF(ISNUMBER(E1223),D1223*E1223,"")</f>
        <v/>
      </c>
      <c r="G1223" s="137" t="e">
        <f>IF(A1223&lt;&gt;"",IF(AND(#REF!="Padrão",$H$4=#REF!),BDI!$B$17,IF(AND(#REF!="Padrão",$H$4=#REF!),BDI!#REF!,IF(AND(#REF!="Diferenciado",$H$4=#REF!),BDI!$E$17,IF(AND(#REF!="Diferenciado",$H$4=#REF!),BDI!#REF!,IF(#REF!="ZERO",0))))),"")</f>
        <v>#REF!</v>
      </c>
      <c r="H1223" s="138" t="str">
        <f t="shared" ref="H1223:H1239" si="58">IF(ISNUMBER(E1223),ROUND(E1223*(1+G1223),2),"")</f>
        <v/>
      </c>
      <c r="I1223" s="136" t="str">
        <f t="shared" ref="I1223:I1239" si="59">IF(ISNUMBER(E1223),ROUND(H1223*D1223,2),"")</f>
        <v/>
      </c>
    </row>
    <row r="1224" spans="1:9" hidden="1" x14ac:dyDescent="0.25">
      <c r="A1224" s="114" t="s">
        <v>3222</v>
      </c>
      <c r="B1224" s="115" t="s">
        <v>3223</v>
      </c>
      <c r="C1224" s="116" t="s">
        <v>20</v>
      </c>
      <c r="D1224" s="116">
        <v>0</v>
      </c>
      <c r="E1224" s="135" t="s">
        <v>558</v>
      </c>
      <c r="F1224" s="136" t="str">
        <f t="shared" si="57"/>
        <v/>
      </c>
      <c r="G1224" s="137" t="e">
        <f>IF(A1224&lt;&gt;"",IF(AND(#REF!="Padrão",$H$4=#REF!),BDI!$B$17,IF(AND(#REF!="Padrão",$H$4=#REF!),BDI!#REF!,IF(AND(#REF!="Diferenciado",$H$4=#REF!),BDI!$E$17,IF(AND(#REF!="Diferenciado",$H$4=#REF!),BDI!#REF!,IF(#REF!="ZERO",0))))),"")</f>
        <v>#REF!</v>
      </c>
      <c r="H1224" s="138" t="str">
        <f t="shared" si="58"/>
        <v/>
      </c>
      <c r="I1224" s="136" t="str">
        <f t="shared" si="59"/>
        <v/>
      </c>
    </row>
    <row r="1225" spans="1:9" hidden="1" x14ac:dyDescent="0.25">
      <c r="A1225" s="114" t="s">
        <v>3224</v>
      </c>
      <c r="B1225" s="115" t="s">
        <v>6428</v>
      </c>
      <c r="C1225" s="116" t="s">
        <v>20</v>
      </c>
      <c r="D1225" s="116">
        <v>0</v>
      </c>
      <c r="E1225" s="135" t="s">
        <v>558</v>
      </c>
      <c r="F1225" s="136" t="str">
        <f t="shared" si="57"/>
        <v/>
      </c>
      <c r="G1225" s="137" t="e">
        <f>IF(A1225&lt;&gt;"",IF(AND(#REF!="Padrão",$H$4=#REF!),BDI!$B$17,IF(AND(#REF!="Padrão",$H$4=#REF!),BDI!#REF!,IF(AND(#REF!="Diferenciado",$H$4=#REF!),BDI!$E$17,IF(AND(#REF!="Diferenciado",$H$4=#REF!),BDI!#REF!,IF(#REF!="ZERO",0))))),"")</f>
        <v>#REF!</v>
      </c>
      <c r="H1225" s="138" t="str">
        <f t="shared" si="58"/>
        <v/>
      </c>
      <c r="I1225" s="136" t="str">
        <f t="shared" si="59"/>
        <v/>
      </c>
    </row>
    <row r="1226" spans="1:9" hidden="1" x14ac:dyDescent="0.25">
      <c r="A1226" s="114" t="s">
        <v>3225</v>
      </c>
      <c r="B1226" s="115" t="s">
        <v>3226</v>
      </c>
      <c r="C1226" s="116" t="s">
        <v>20</v>
      </c>
      <c r="D1226" s="116">
        <v>0</v>
      </c>
      <c r="E1226" s="135" t="s">
        <v>558</v>
      </c>
      <c r="F1226" s="136" t="str">
        <f t="shared" si="57"/>
        <v/>
      </c>
      <c r="G1226" s="137" t="e">
        <f>IF(A1226&lt;&gt;"",IF(AND(#REF!="Padrão",$H$4=#REF!),BDI!$B$17,IF(AND(#REF!="Padrão",$H$4=#REF!),BDI!#REF!,IF(AND(#REF!="Diferenciado",$H$4=#REF!),BDI!$E$17,IF(AND(#REF!="Diferenciado",$H$4=#REF!),BDI!#REF!,IF(#REF!="ZERO",0))))),"")</f>
        <v>#REF!</v>
      </c>
      <c r="H1226" s="138" t="str">
        <f t="shared" si="58"/>
        <v/>
      </c>
      <c r="I1226" s="136" t="str">
        <f t="shared" si="59"/>
        <v/>
      </c>
    </row>
    <row r="1227" spans="1:9" hidden="1" x14ac:dyDescent="0.25">
      <c r="A1227" s="114" t="s">
        <v>3227</v>
      </c>
      <c r="B1227" s="115" t="s">
        <v>3228</v>
      </c>
      <c r="C1227" s="116" t="s">
        <v>20</v>
      </c>
      <c r="D1227" s="116">
        <v>0</v>
      </c>
      <c r="E1227" s="135" t="s">
        <v>558</v>
      </c>
      <c r="F1227" s="136" t="str">
        <f t="shared" si="57"/>
        <v/>
      </c>
      <c r="G1227" s="137" t="e">
        <f>IF(A1227&lt;&gt;"",IF(AND(#REF!="Padrão",$H$4=#REF!),BDI!$B$17,IF(AND(#REF!="Padrão",$H$4=#REF!),BDI!#REF!,IF(AND(#REF!="Diferenciado",$H$4=#REF!),BDI!$E$17,IF(AND(#REF!="Diferenciado",$H$4=#REF!),BDI!#REF!,IF(#REF!="ZERO",0))))),"")</f>
        <v>#REF!</v>
      </c>
      <c r="H1227" s="138" t="str">
        <f t="shared" si="58"/>
        <v/>
      </c>
      <c r="I1227" s="136" t="str">
        <f t="shared" si="59"/>
        <v/>
      </c>
    </row>
    <row r="1228" spans="1:9" hidden="1" x14ac:dyDescent="0.25">
      <c r="A1228" s="114" t="s">
        <v>3229</v>
      </c>
      <c r="B1228" s="115" t="s">
        <v>3230</v>
      </c>
      <c r="C1228" s="116" t="s">
        <v>93</v>
      </c>
      <c r="D1228" s="116">
        <v>0</v>
      </c>
      <c r="E1228" s="135" t="s">
        <v>558</v>
      </c>
      <c r="F1228" s="136" t="str">
        <f t="shared" si="57"/>
        <v/>
      </c>
      <c r="G1228" s="137" t="e">
        <f>IF(A1228&lt;&gt;"",IF(AND(#REF!="Padrão",$H$4=#REF!),BDI!$B$17,IF(AND(#REF!="Padrão",$H$4=#REF!),BDI!#REF!,IF(AND(#REF!="Diferenciado",$H$4=#REF!),BDI!$E$17,IF(AND(#REF!="Diferenciado",$H$4=#REF!),BDI!#REF!,IF(#REF!="ZERO",0))))),"")</f>
        <v>#REF!</v>
      </c>
      <c r="H1228" s="138" t="str">
        <f t="shared" si="58"/>
        <v/>
      </c>
      <c r="I1228" s="136" t="str">
        <f t="shared" si="59"/>
        <v/>
      </c>
    </row>
    <row r="1229" spans="1:9" hidden="1" x14ac:dyDescent="0.25">
      <c r="A1229" s="114" t="s">
        <v>3231</v>
      </c>
      <c r="B1229" s="115" t="s">
        <v>3232</v>
      </c>
      <c r="C1229" s="116" t="s">
        <v>20</v>
      </c>
      <c r="D1229" s="116">
        <v>0</v>
      </c>
      <c r="E1229" s="135" t="s">
        <v>558</v>
      </c>
      <c r="F1229" s="136" t="str">
        <f t="shared" si="57"/>
        <v/>
      </c>
      <c r="G1229" s="137" t="e">
        <f>IF(A1229&lt;&gt;"",IF(AND(#REF!="Padrão",$H$4=#REF!),BDI!$B$17,IF(AND(#REF!="Padrão",$H$4=#REF!),BDI!#REF!,IF(AND(#REF!="Diferenciado",$H$4=#REF!),BDI!$E$17,IF(AND(#REF!="Diferenciado",$H$4=#REF!),BDI!#REF!,IF(#REF!="ZERO",0))))),"")</f>
        <v>#REF!</v>
      </c>
      <c r="H1229" s="138" t="str">
        <f t="shared" si="58"/>
        <v/>
      </c>
      <c r="I1229" s="136" t="str">
        <f t="shared" si="59"/>
        <v/>
      </c>
    </row>
    <row r="1230" spans="1:9" hidden="1" x14ac:dyDescent="0.25">
      <c r="A1230" s="114" t="s">
        <v>3233</v>
      </c>
      <c r="B1230" s="115" t="s">
        <v>3234</v>
      </c>
      <c r="C1230" s="116" t="s">
        <v>95</v>
      </c>
      <c r="D1230" s="116">
        <v>0</v>
      </c>
      <c r="E1230" s="135" t="s">
        <v>558</v>
      </c>
      <c r="F1230" s="136" t="str">
        <f t="shared" si="57"/>
        <v/>
      </c>
      <c r="G1230" s="137" t="e">
        <f>IF(A1230&lt;&gt;"",IF(AND(#REF!="Padrão",$H$4=#REF!),BDI!$B$17,IF(AND(#REF!="Padrão",$H$4=#REF!),BDI!#REF!,IF(AND(#REF!="Diferenciado",$H$4=#REF!),BDI!$E$17,IF(AND(#REF!="Diferenciado",$H$4=#REF!),BDI!#REF!,IF(#REF!="ZERO",0))))),"")</f>
        <v>#REF!</v>
      </c>
      <c r="H1230" s="138" t="str">
        <f t="shared" si="58"/>
        <v/>
      </c>
      <c r="I1230" s="136" t="str">
        <f t="shared" si="59"/>
        <v/>
      </c>
    </row>
    <row r="1231" spans="1:9" hidden="1" x14ac:dyDescent="0.25">
      <c r="A1231" s="114" t="s">
        <v>3235</v>
      </c>
      <c r="B1231" s="115" t="s">
        <v>3236</v>
      </c>
      <c r="C1231" s="116" t="s">
        <v>103</v>
      </c>
      <c r="D1231" s="116">
        <v>0</v>
      </c>
      <c r="E1231" s="135" t="s">
        <v>558</v>
      </c>
      <c r="F1231" s="136" t="str">
        <f t="shared" si="57"/>
        <v/>
      </c>
      <c r="G1231" s="137" t="e">
        <f>IF(A1231&lt;&gt;"",IF(AND(#REF!="Padrão",$H$4=#REF!),BDI!$B$17,IF(AND(#REF!="Padrão",$H$4=#REF!),BDI!#REF!,IF(AND(#REF!="Diferenciado",$H$4=#REF!),BDI!$E$17,IF(AND(#REF!="Diferenciado",$H$4=#REF!),BDI!#REF!,IF(#REF!="ZERO",0))))),"")</f>
        <v>#REF!</v>
      </c>
      <c r="H1231" s="138" t="str">
        <f t="shared" si="58"/>
        <v/>
      </c>
      <c r="I1231" s="136" t="str">
        <f t="shared" si="59"/>
        <v/>
      </c>
    </row>
    <row r="1232" spans="1:9" ht="38.25" hidden="1" x14ac:dyDescent="0.25">
      <c r="A1232" s="114" t="s">
        <v>3237</v>
      </c>
      <c r="B1232" s="115" t="s">
        <v>3238</v>
      </c>
      <c r="C1232" s="116" t="s">
        <v>20</v>
      </c>
      <c r="D1232" s="116">
        <v>0</v>
      </c>
      <c r="E1232" s="135" t="s">
        <v>558</v>
      </c>
      <c r="F1232" s="136" t="str">
        <f t="shared" si="57"/>
        <v/>
      </c>
      <c r="G1232" s="137" t="e">
        <f>IF(A1232&lt;&gt;"",IF(AND(#REF!="Padrão",$H$4=#REF!),BDI!$B$17,IF(AND(#REF!="Padrão",$H$4=#REF!),BDI!#REF!,IF(AND(#REF!="Diferenciado",$H$4=#REF!),BDI!$E$17,IF(AND(#REF!="Diferenciado",$H$4=#REF!),BDI!#REF!,IF(#REF!="ZERO",0))))),"")</f>
        <v>#REF!</v>
      </c>
      <c r="H1232" s="138" t="str">
        <f t="shared" si="58"/>
        <v/>
      </c>
      <c r="I1232" s="136" t="str">
        <f t="shared" si="59"/>
        <v/>
      </c>
    </row>
    <row r="1233" spans="1:9" ht="38.25" hidden="1" x14ac:dyDescent="0.25">
      <c r="A1233" s="114" t="s">
        <v>3239</v>
      </c>
      <c r="B1233" s="115" t="s">
        <v>3240</v>
      </c>
      <c r="C1233" s="116" t="s">
        <v>20</v>
      </c>
      <c r="D1233" s="116">
        <v>0</v>
      </c>
      <c r="E1233" s="135" t="s">
        <v>558</v>
      </c>
      <c r="F1233" s="136" t="str">
        <f t="shared" si="57"/>
        <v/>
      </c>
      <c r="G1233" s="137" t="e">
        <f>IF(A1233&lt;&gt;"",IF(AND(#REF!="Padrão",$H$4=#REF!),BDI!$B$17,IF(AND(#REF!="Padrão",$H$4=#REF!),BDI!#REF!,IF(AND(#REF!="Diferenciado",$H$4=#REF!),BDI!$E$17,IF(AND(#REF!="Diferenciado",$H$4=#REF!),BDI!#REF!,IF(#REF!="ZERO",0))))),"")</f>
        <v>#REF!</v>
      </c>
      <c r="H1233" s="138" t="str">
        <f t="shared" si="58"/>
        <v/>
      </c>
      <c r="I1233" s="136" t="str">
        <f t="shared" si="59"/>
        <v/>
      </c>
    </row>
    <row r="1234" spans="1:9" hidden="1" x14ac:dyDescent="0.25">
      <c r="A1234" s="114" t="s">
        <v>3241</v>
      </c>
      <c r="B1234" s="115" t="s">
        <v>3242</v>
      </c>
      <c r="C1234" s="116" t="s">
        <v>20</v>
      </c>
      <c r="D1234" s="116">
        <v>0</v>
      </c>
      <c r="E1234" s="135" t="s">
        <v>558</v>
      </c>
      <c r="F1234" s="136" t="str">
        <f t="shared" si="57"/>
        <v/>
      </c>
      <c r="G1234" s="137" t="e">
        <f>IF(A1234&lt;&gt;"",IF(AND(#REF!="Padrão",$H$4=#REF!),BDI!$B$17,IF(AND(#REF!="Padrão",$H$4=#REF!),BDI!#REF!,IF(AND(#REF!="Diferenciado",$H$4=#REF!),BDI!$E$17,IF(AND(#REF!="Diferenciado",$H$4=#REF!),BDI!#REF!,IF(#REF!="ZERO",0))))),"")</f>
        <v>#REF!</v>
      </c>
      <c r="H1234" s="138" t="str">
        <f t="shared" si="58"/>
        <v/>
      </c>
      <c r="I1234" s="136" t="str">
        <f t="shared" si="59"/>
        <v/>
      </c>
    </row>
    <row r="1235" spans="1:9" hidden="1" x14ac:dyDescent="0.25">
      <c r="A1235" s="114" t="s">
        <v>3243</v>
      </c>
      <c r="B1235" s="115" t="s">
        <v>3244</v>
      </c>
      <c r="C1235" s="116" t="s">
        <v>20</v>
      </c>
      <c r="D1235" s="116">
        <v>0</v>
      </c>
      <c r="E1235" s="135" t="s">
        <v>558</v>
      </c>
      <c r="F1235" s="136" t="str">
        <f t="shared" si="57"/>
        <v/>
      </c>
      <c r="G1235" s="137" t="e">
        <f>IF(A1235&lt;&gt;"",IF(AND(#REF!="Padrão",$H$4=#REF!),BDI!$B$17,IF(AND(#REF!="Padrão",$H$4=#REF!),BDI!#REF!,IF(AND(#REF!="Diferenciado",$H$4=#REF!),BDI!$E$17,IF(AND(#REF!="Diferenciado",$H$4=#REF!),BDI!#REF!,IF(#REF!="ZERO",0))))),"")</f>
        <v>#REF!</v>
      </c>
      <c r="H1235" s="138" t="str">
        <f t="shared" si="58"/>
        <v/>
      </c>
      <c r="I1235" s="136" t="str">
        <f t="shared" si="59"/>
        <v/>
      </c>
    </row>
    <row r="1236" spans="1:9" hidden="1" x14ac:dyDescent="0.25">
      <c r="A1236" s="114" t="s">
        <v>3245</v>
      </c>
      <c r="B1236" s="115" t="s">
        <v>3246</v>
      </c>
      <c r="C1236" s="116" t="s">
        <v>6351</v>
      </c>
      <c r="D1236" s="116">
        <v>0</v>
      </c>
      <c r="E1236" s="135" t="s">
        <v>558</v>
      </c>
      <c r="F1236" s="136" t="str">
        <f t="shared" si="57"/>
        <v/>
      </c>
      <c r="G1236" s="137" t="e">
        <f>IF(A1236&lt;&gt;"",IF(AND(#REF!="Padrão",$H$4=#REF!),BDI!$B$17,IF(AND(#REF!="Padrão",$H$4=#REF!),BDI!#REF!,IF(AND(#REF!="Diferenciado",$H$4=#REF!),BDI!$E$17,IF(AND(#REF!="Diferenciado",$H$4=#REF!),BDI!#REF!,IF(#REF!="ZERO",0))))),"")</f>
        <v>#REF!</v>
      </c>
      <c r="H1236" s="138" t="str">
        <f t="shared" si="58"/>
        <v/>
      </c>
      <c r="I1236" s="136" t="str">
        <f t="shared" si="59"/>
        <v/>
      </c>
    </row>
    <row r="1237" spans="1:9" x14ac:dyDescent="0.25">
      <c r="A1237" s="216" t="s">
        <v>1479</v>
      </c>
      <c r="B1237" s="217" t="s">
        <v>3247</v>
      </c>
      <c r="C1237" s="218" t="s">
        <v>95</v>
      </c>
      <c r="D1237" s="218">
        <v>1600</v>
      </c>
      <c r="E1237" s="135">
        <f ca="1">OFFSET(INDEX(Composições!A:J,MATCH(Orçamentária!A1237,Composições!A:A,0),8),2,0)</f>
        <v>277.56009999999998</v>
      </c>
      <c r="F1237" s="136">
        <f t="shared" ca="1" si="57"/>
        <v>444096.16</v>
      </c>
      <c r="G1237" s="137">
        <f>BDI!$E$17</f>
        <v>0.11260000000000001</v>
      </c>
      <c r="H1237" s="138">
        <f t="shared" ca="1" si="58"/>
        <v>308.81</v>
      </c>
      <c r="I1237" s="136">
        <f t="shared" ca="1" si="59"/>
        <v>494096</v>
      </c>
    </row>
    <row r="1238" spans="1:9" x14ac:dyDescent="0.25">
      <c r="A1238" s="216" t="s">
        <v>1482</v>
      </c>
      <c r="B1238" s="217" t="s">
        <v>3248</v>
      </c>
      <c r="C1238" s="218" t="s">
        <v>95</v>
      </c>
      <c r="D1238" s="218">
        <v>1600</v>
      </c>
      <c r="E1238" s="135">
        <f ca="1">OFFSET(INDEX(Composições!A:J,MATCH(Orçamentária!A1238,Composições!A:A,0),8),2,0)</f>
        <v>1.9</v>
      </c>
      <c r="F1238" s="136">
        <f t="shared" ca="1" si="57"/>
        <v>3040</v>
      </c>
      <c r="G1238" s="137">
        <f>BDI!$B$17</f>
        <v>0.191</v>
      </c>
      <c r="H1238" s="138">
        <f t="shared" ca="1" si="58"/>
        <v>2.2599999999999998</v>
      </c>
      <c r="I1238" s="136">
        <f t="shared" ca="1" si="59"/>
        <v>3616</v>
      </c>
    </row>
    <row r="1239" spans="1:9" hidden="1" x14ac:dyDescent="0.25">
      <c r="A1239" s="114" t="s">
        <v>3249</v>
      </c>
      <c r="B1239" s="115" t="s">
        <v>6429</v>
      </c>
      <c r="C1239" s="116" t="s">
        <v>20</v>
      </c>
      <c r="D1239" s="116">
        <v>0</v>
      </c>
      <c r="E1239" s="135" t="s">
        <v>558</v>
      </c>
      <c r="F1239" s="136" t="str">
        <f t="shared" si="57"/>
        <v/>
      </c>
      <c r="G1239" s="137" t="e">
        <f>IF(A1239&lt;&gt;"",IF(AND(#REF!="Padrão",$H$4=#REF!),BDI!$B$17,IF(AND(#REF!="Padrão",$H$4=#REF!),BDI!#REF!,IF(AND(#REF!="Diferenciado",$H$4=#REF!),BDI!$E$17,IF(AND(#REF!="Diferenciado",$H$4=#REF!),BDI!#REF!,IF(#REF!="ZERO",0))))),"")</f>
        <v>#REF!</v>
      </c>
      <c r="H1239" s="138" t="str">
        <f t="shared" si="58"/>
        <v/>
      </c>
      <c r="I1239" s="136" t="str">
        <f t="shared" si="59"/>
        <v/>
      </c>
    </row>
    <row r="1240" spans="1:9" hidden="1" x14ac:dyDescent="0.25">
      <c r="A1240" s="114" t="s">
        <v>3483</v>
      </c>
      <c r="B1240" s="115" t="s">
        <v>3540</v>
      </c>
      <c r="C1240" s="116" t="s">
        <v>20</v>
      </c>
      <c r="D1240" s="116">
        <v>0</v>
      </c>
      <c r="E1240" s="135">
        <f ca="1">OFFSET(INDEX(Composições!A:J,MATCH(Orçamentária!A1240,Composições!A:A,0),8),2,0)</f>
        <v>1020.9174502199999</v>
      </c>
      <c r="F1240" s="136">
        <f t="shared" ref="F1240:F1291" ca="1" si="60">IF(ISNUMBER(E1240),D1240*E1240,"")</f>
        <v>0</v>
      </c>
      <c r="G1240" s="137" t="e">
        <f>IF(A1240&lt;&gt;"",IF(AND(#REF!="Padrão",$H$4=#REF!),BDI!$B$17,IF(AND(#REF!="Padrão",$H$4=#REF!),BDI!#REF!,IF(AND(#REF!="Diferenciado",$H$4=#REF!),BDI!$E$17,IF(AND(#REF!="Diferenciado",$H$4=#REF!),BDI!#REF!,IF(#REF!="ZERO",0))))),"")</f>
        <v>#REF!</v>
      </c>
      <c r="H1240" s="138" t="e">
        <f t="shared" ref="H1240:H1291" ca="1" si="61">IF(ISNUMBER(E1240),ROUND(E1240*(1+G1240),2),"")</f>
        <v>#REF!</v>
      </c>
      <c r="I1240" s="136" t="e">
        <f t="shared" ref="I1240:I1291" ca="1" si="62">IF(ISNUMBER(E1240),ROUND(H1240*D1240,2),"")</f>
        <v>#REF!</v>
      </c>
    </row>
    <row r="1241" spans="1:9" hidden="1" x14ac:dyDescent="0.25">
      <c r="A1241" s="114" t="s">
        <v>3484</v>
      </c>
      <c r="B1241" s="115" t="s">
        <v>3541</v>
      </c>
      <c r="C1241" s="116" t="s">
        <v>20</v>
      </c>
      <c r="D1241" s="116">
        <v>0</v>
      </c>
      <c r="E1241" s="135">
        <f ca="1">OFFSET(INDEX(Composições!A:J,MATCH(Orçamentária!A1241,Composições!A:A,0),8),2,0)</f>
        <v>1058.3600681833332</v>
      </c>
      <c r="F1241" s="136">
        <f t="shared" ca="1" si="60"/>
        <v>0</v>
      </c>
      <c r="G1241" s="137" t="e">
        <f>IF(A1241&lt;&gt;"",IF(AND(#REF!="Padrão",$H$4=#REF!),BDI!$B$17,IF(AND(#REF!="Padrão",$H$4=#REF!),BDI!#REF!,IF(AND(#REF!="Diferenciado",$H$4=#REF!),BDI!$E$17,IF(AND(#REF!="Diferenciado",$H$4=#REF!),BDI!#REF!,IF(#REF!="ZERO",0))))),"")</f>
        <v>#REF!</v>
      </c>
      <c r="H1241" s="138" t="e">
        <f t="shared" ca="1" si="61"/>
        <v>#REF!</v>
      </c>
      <c r="I1241" s="136" t="e">
        <f t="shared" ca="1" si="62"/>
        <v>#REF!</v>
      </c>
    </row>
    <row r="1242" spans="1:9" hidden="1" x14ac:dyDescent="0.25">
      <c r="A1242" s="114" t="s">
        <v>3485</v>
      </c>
      <c r="B1242" s="115" t="s">
        <v>3542</v>
      </c>
      <c r="C1242" s="116" t="s">
        <v>20</v>
      </c>
      <c r="D1242" s="116">
        <v>0</v>
      </c>
      <c r="E1242" s="135" t="s">
        <v>558</v>
      </c>
      <c r="F1242" s="136" t="str">
        <f t="shared" si="60"/>
        <v/>
      </c>
      <c r="G1242" s="137" t="e">
        <f>IF(A1242&lt;&gt;"",IF(AND(#REF!="Padrão",$H$4=#REF!),BDI!$B$17,IF(AND(#REF!="Padrão",$H$4=#REF!),BDI!#REF!,IF(AND(#REF!="Diferenciado",$H$4=#REF!),BDI!$E$17,IF(AND(#REF!="Diferenciado",$H$4=#REF!),BDI!#REF!,IF(#REF!="ZERO",0))))),"")</f>
        <v>#REF!</v>
      </c>
      <c r="H1242" s="138" t="str">
        <f t="shared" si="61"/>
        <v/>
      </c>
      <c r="I1242" s="136" t="str">
        <f t="shared" si="62"/>
        <v/>
      </c>
    </row>
    <row r="1243" spans="1:9" hidden="1" x14ac:dyDescent="0.25">
      <c r="A1243" s="114" t="s">
        <v>3486</v>
      </c>
      <c r="B1243" s="115" t="s">
        <v>3543</v>
      </c>
      <c r="C1243" s="116" t="s">
        <v>20</v>
      </c>
      <c r="D1243" s="116">
        <v>0</v>
      </c>
      <c r="E1243" s="135" t="s">
        <v>558</v>
      </c>
      <c r="F1243" s="136" t="str">
        <f t="shared" si="60"/>
        <v/>
      </c>
      <c r="G1243" s="137" t="e">
        <f>IF(A1243&lt;&gt;"",IF(AND(#REF!="Padrão",$H$4=#REF!),BDI!$B$17,IF(AND(#REF!="Padrão",$H$4=#REF!),BDI!#REF!,IF(AND(#REF!="Diferenciado",$H$4=#REF!),BDI!$E$17,IF(AND(#REF!="Diferenciado",$H$4=#REF!),BDI!#REF!,IF(#REF!="ZERO",0))))),"")</f>
        <v>#REF!</v>
      </c>
      <c r="H1243" s="138" t="str">
        <f t="shared" si="61"/>
        <v/>
      </c>
      <c r="I1243" s="136" t="str">
        <f t="shared" si="62"/>
        <v/>
      </c>
    </row>
    <row r="1244" spans="1:9" hidden="1" x14ac:dyDescent="0.25">
      <c r="A1244" s="114" t="s">
        <v>3487</v>
      </c>
      <c r="B1244" s="115" t="s">
        <v>3544</v>
      </c>
      <c r="C1244" s="116" t="s">
        <v>20</v>
      </c>
      <c r="D1244" s="116">
        <v>0</v>
      </c>
      <c r="E1244" s="135" t="s">
        <v>558</v>
      </c>
      <c r="F1244" s="136" t="str">
        <f t="shared" si="60"/>
        <v/>
      </c>
      <c r="G1244" s="137" t="e">
        <f>IF(A1244&lt;&gt;"",IF(AND(#REF!="Padrão",$H$4=#REF!),BDI!$B$17,IF(AND(#REF!="Padrão",$H$4=#REF!),BDI!#REF!,IF(AND(#REF!="Diferenciado",$H$4=#REF!),BDI!$E$17,IF(AND(#REF!="Diferenciado",$H$4=#REF!),BDI!#REF!,IF(#REF!="ZERO",0))))),"")</f>
        <v>#REF!</v>
      </c>
      <c r="H1244" s="138" t="str">
        <f t="shared" si="61"/>
        <v/>
      </c>
      <c r="I1244" s="136" t="str">
        <f t="shared" si="62"/>
        <v/>
      </c>
    </row>
    <row r="1245" spans="1:9" hidden="1" x14ac:dyDescent="0.25">
      <c r="A1245" s="114" t="s">
        <v>3488</v>
      </c>
      <c r="B1245" s="115" t="s">
        <v>3545</v>
      </c>
      <c r="C1245" s="116" t="s">
        <v>20</v>
      </c>
      <c r="D1245" s="116">
        <v>0</v>
      </c>
      <c r="E1245" s="135">
        <f ca="1">OFFSET(INDEX(Composições!A:J,MATCH(Orçamentária!A1245,Composições!A:A,0),8),2,0)</f>
        <v>3.1620750000000002</v>
      </c>
      <c r="F1245" s="136">
        <f t="shared" ca="1" si="60"/>
        <v>0</v>
      </c>
      <c r="G1245" s="137" t="e">
        <f>IF(A1245&lt;&gt;"",IF(AND(#REF!="Padrão",$H$4=#REF!),BDI!$B$17,IF(AND(#REF!="Padrão",$H$4=#REF!),BDI!#REF!,IF(AND(#REF!="Diferenciado",$H$4=#REF!),BDI!$E$17,IF(AND(#REF!="Diferenciado",$H$4=#REF!),BDI!#REF!,IF(#REF!="ZERO",0))))),"")</f>
        <v>#REF!</v>
      </c>
      <c r="H1245" s="138" t="e">
        <f t="shared" ca="1" si="61"/>
        <v>#REF!</v>
      </c>
      <c r="I1245" s="136" t="e">
        <f t="shared" ca="1" si="62"/>
        <v>#REF!</v>
      </c>
    </row>
    <row r="1246" spans="1:9" hidden="1" x14ac:dyDescent="0.25">
      <c r="A1246" s="114" t="s">
        <v>3489</v>
      </c>
      <c r="B1246" s="115" t="s">
        <v>3546</v>
      </c>
      <c r="C1246" s="116" t="s">
        <v>20</v>
      </c>
      <c r="D1246" s="116">
        <v>0</v>
      </c>
      <c r="E1246" s="135">
        <f ca="1">OFFSET(INDEX(Composições!A:J,MATCH(Orçamentária!A1246,Composições!A:A,0),8),2,0)</f>
        <v>3.1620750000000002</v>
      </c>
      <c r="F1246" s="136">
        <f t="shared" ca="1" si="60"/>
        <v>0</v>
      </c>
      <c r="G1246" s="137" t="e">
        <f>IF(A1246&lt;&gt;"",IF(AND(#REF!="Padrão",$H$4=#REF!),BDI!$B$17,IF(AND(#REF!="Padrão",$H$4=#REF!),BDI!#REF!,IF(AND(#REF!="Diferenciado",$H$4=#REF!),BDI!$E$17,IF(AND(#REF!="Diferenciado",$H$4=#REF!),BDI!#REF!,IF(#REF!="ZERO",0))))),"")</f>
        <v>#REF!</v>
      </c>
      <c r="H1246" s="138" t="e">
        <f t="shared" ca="1" si="61"/>
        <v>#REF!</v>
      </c>
      <c r="I1246" s="136" t="e">
        <f t="shared" ca="1" si="62"/>
        <v>#REF!</v>
      </c>
    </row>
    <row r="1247" spans="1:9" hidden="1" x14ac:dyDescent="0.25">
      <c r="A1247" s="114" t="s">
        <v>3490</v>
      </c>
      <c r="B1247" s="115" t="s">
        <v>3547</v>
      </c>
      <c r="C1247" s="116" t="s">
        <v>20</v>
      </c>
      <c r="D1247" s="116">
        <v>0</v>
      </c>
      <c r="E1247" s="135">
        <f ca="1">OFFSET(INDEX(Composições!A:J,MATCH(Orçamentária!A1247,Composições!A:A,0),8),2,0)</f>
        <v>3.1620750000000002</v>
      </c>
      <c r="F1247" s="136">
        <f t="shared" ca="1" si="60"/>
        <v>0</v>
      </c>
      <c r="G1247" s="137" t="e">
        <f>IF(A1247&lt;&gt;"",IF(AND(#REF!="Padrão",$H$4=#REF!),BDI!$B$17,IF(AND(#REF!="Padrão",$H$4=#REF!),BDI!#REF!,IF(AND(#REF!="Diferenciado",$H$4=#REF!),BDI!$E$17,IF(AND(#REF!="Diferenciado",$H$4=#REF!),BDI!#REF!,IF(#REF!="ZERO",0))))),"")</f>
        <v>#REF!</v>
      </c>
      <c r="H1247" s="138" t="e">
        <f t="shared" ca="1" si="61"/>
        <v>#REF!</v>
      </c>
      <c r="I1247" s="136" t="e">
        <f t="shared" ca="1" si="62"/>
        <v>#REF!</v>
      </c>
    </row>
    <row r="1248" spans="1:9" ht="25.5" hidden="1" x14ac:dyDescent="0.25">
      <c r="A1248" s="114" t="s">
        <v>3491</v>
      </c>
      <c r="B1248" s="115" t="s">
        <v>3548</v>
      </c>
      <c r="C1248" s="116" t="s">
        <v>93</v>
      </c>
      <c r="D1248" s="116">
        <v>0</v>
      </c>
      <c r="E1248" s="135">
        <f ca="1">OFFSET(INDEX(Composições!A:J,MATCH(Orçamentária!A1248,Composições!A:A,0),8),2,0)</f>
        <v>9.047191999999999</v>
      </c>
      <c r="F1248" s="136">
        <f t="shared" ca="1" si="60"/>
        <v>0</v>
      </c>
      <c r="G1248" s="137" t="e">
        <f>IF(A1248&lt;&gt;"",IF(AND(#REF!="Padrão",$H$4=#REF!),BDI!$B$17,IF(AND(#REF!="Padrão",$H$4=#REF!),BDI!#REF!,IF(AND(#REF!="Diferenciado",$H$4=#REF!),BDI!$E$17,IF(AND(#REF!="Diferenciado",$H$4=#REF!),BDI!#REF!,IF(#REF!="ZERO",0))))),"")</f>
        <v>#REF!</v>
      </c>
      <c r="H1248" s="138" t="e">
        <f t="shared" ca="1" si="61"/>
        <v>#REF!</v>
      </c>
      <c r="I1248" s="136" t="e">
        <f t="shared" ca="1" si="62"/>
        <v>#REF!</v>
      </c>
    </row>
    <row r="1249" spans="1:9" hidden="1" x14ac:dyDescent="0.25">
      <c r="A1249" s="114" t="s">
        <v>3492</v>
      </c>
      <c r="B1249" s="115" t="s">
        <v>3549</v>
      </c>
      <c r="C1249" s="116" t="s">
        <v>93</v>
      </c>
      <c r="D1249" s="116">
        <v>0</v>
      </c>
      <c r="E1249" s="135">
        <f ca="1">OFFSET(INDEX(Composições!A:J,MATCH(Orçamentária!A1249,Composições!A:A,0),8),2,0)</f>
        <v>12.843050000000002</v>
      </c>
      <c r="F1249" s="136">
        <f t="shared" ca="1" si="60"/>
        <v>0</v>
      </c>
      <c r="G1249" s="137" t="e">
        <f>IF(A1249&lt;&gt;"",IF(AND(#REF!="Padrão",$H$4=#REF!),BDI!$B$17,IF(AND(#REF!="Padrão",$H$4=#REF!),BDI!#REF!,IF(AND(#REF!="Diferenciado",$H$4=#REF!),BDI!$E$17,IF(AND(#REF!="Diferenciado",$H$4=#REF!),BDI!#REF!,IF(#REF!="ZERO",0))))),"")</f>
        <v>#REF!</v>
      </c>
      <c r="H1249" s="138" t="e">
        <f t="shared" ca="1" si="61"/>
        <v>#REF!</v>
      </c>
      <c r="I1249" s="136" t="e">
        <f t="shared" ca="1" si="62"/>
        <v>#REF!</v>
      </c>
    </row>
    <row r="1250" spans="1:9" hidden="1" x14ac:dyDescent="0.25">
      <c r="A1250" s="114" t="s">
        <v>3493</v>
      </c>
      <c r="B1250" s="115" t="s">
        <v>3550</v>
      </c>
      <c r="C1250" s="116" t="s">
        <v>93</v>
      </c>
      <c r="D1250" s="116">
        <v>0</v>
      </c>
      <c r="E1250" s="135">
        <f ca="1">OFFSET(INDEX(Composições!A:J,MATCH(Orçamentária!A1250,Composições!A:A,0),8),2,0)</f>
        <v>5.2708849999999998</v>
      </c>
      <c r="F1250" s="136">
        <f t="shared" ca="1" si="60"/>
        <v>0</v>
      </c>
      <c r="G1250" s="137" t="e">
        <f>IF(A1250&lt;&gt;"",IF(AND(#REF!="Padrão",$H$4=#REF!),BDI!$B$17,IF(AND(#REF!="Padrão",$H$4=#REF!),BDI!#REF!,IF(AND(#REF!="Diferenciado",$H$4=#REF!),BDI!$E$17,IF(AND(#REF!="Diferenciado",$H$4=#REF!),BDI!#REF!,IF(#REF!="ZERO",0))))),"")</f>
        <v>#REF!</v>
      </c>
      <c r="H1250" s="138" t="e">
        <f t="shared" ca="1" si="61"/>
        <v>#REF!</v>
      </c>
      <c r="I1250" s="136" t="e">
        <f t="shared" ca="1" si="62"/>
        <v>#REF!</v>
      </c>
    </row>
    <row r="1251" spans="1:9" hidden="1" x14ac:dyDescent="0.25">
      <c r="A1251" s="114" t="s">
        <v>3494</v>
      </c>
      <c r="B1251" s="115" t="s">
        <v>3551</v>
      </c>
      <c r="C1251" s="116" t="s">
        <v>93</v>
      </c>
      <c r="D1251" s="116">
        <v>0</v>
      </c>
      <c r="E1251" s="135">
        <f ca="1">OFFSET(INDEX(Composições!A:J,MATCH(Orçamentária!A1251,Composições!A:A,0),8),2,0)</f>
        <v>14.299285999999999</v>
      </c>
      <c r="F1251" s="136">
        <f t="shared" ca="1" si="60"/>
        <v>0</v>
      </c>
      <c r="G1251" s="137" t="e">
        <f>IF(A1251&lt;&gt;"",IF(AND(#REF!="Padrão",$H$4=#REF!),BDI!$B$17,IF(AND(#REF!="Padrão",$H$4=#REF!),BDI!#REF!,IF(AND(#REF!="Diferenciado",$H$4=#REF!),BDI!$E$17,IF(AND(#REF!="Diferenciado",$H$4=#REF!),BDI!#REF!,IF(#REF!="ZERO",0))))),"")</f>
        <v>#REF!</v>
      </c>
      <c r="H1251" s="138" t="e">
        <f t="shared" ca="1" si="61"/>
        <v>#REF!</v>
      </c>
      <c r="I1251" s="136" t="e">
        <f t="shared" ca="1" si="62"/>
        <v>#REF!</v>
      </c>
    </row>
    <row r="1252" spans="1:9" hidden="1" x14ac:dyDescent="0.25">
      <c r="A1252" s="114" t="s">
        <v>3495</v>
      </c>
      <c r="B1252" s="115" t="s">
        <v>3552</v>
      </c>
      <c r="C1252" s="116" t="s">
        <v>93</v>
      </c>
      <c r="D1252" s="116">
        <v>0</v>
      </c>
      <c r="E1252" s="135">
        <f ca="1">OFFSET(INDEX(Composições!A:J,MATCH(Orçamentária!A1252,Composições!A:A,0),8),2,0)</f>
        <v>16.254728</v>
      </c>
      <c r="F1252" s="136">
        <f t="shared" ca="1" si="60"/>
        <v>0</v>
      </c>
      <c r="G1252" s="137" t="e">
        <f>IF(A1252&lt;&gt;"",IF(AND(#REF!="Padrão",$H$4=#REF!),BDI!$B$17,IF(AND(#REF!="Padrão",$H$4=#REF!),BDI!#REF!,IF(AND(#REF!="Diferenciado",$H$4=#REF!),BDI!$E$17,IF(AND(#REF!="Diferenciado",$H$4=#REF!),BDI!#REF!,IF(#REF!="ZERO",0))))),"")</f>
        <v>#REF!</v>
      </c>
      <c r="H1252" s="138" t="e">
        <f t="shared" ca="1" si="61"/>
        <v>#REF!</v>
      </c>
      <c r="I1252" s="136" t="e">
        <f t="shared" ca="1" si="62"/>
        <v>#REF!</v>
      </c>
    </row>
    <row r="1253" spans="1:9" hidden="1" x14ac:dyDescent="0.25">
      <c r="A1253" s="114" t="s">
        <v>3496</v>
      </c>
      <c r="B1253" s="115" t="s">
        <v>3553</v>
      </c>
      <c r="C1253" s="116" t="s">
        <v>93</v>
      </c>
      <c r="D1253" s="116">
        <v>0</v>
      </c>
      <c r="E1253" s="135">
        <f ca="1">OFFSET(INDEX(Composições!A:J,MATCH(Orçamentária!A1253,Composições!A:A,0),8),2,0)</f>
        <v>26.875461999999999</v>
      </c>
      <c r="F1253" s="136">
        <f t="shared" ca="1" si="60"/>
        <v>0</v>
      </c>
      <c r="G1253" s="137" t="e">
        <f>IF(A1253&lt;&gt;"",IF(AND(#REF!="Padrão",$H$4=#REF!),BDI!$B$17,IF(AND(#REF!="Padrão",$H$4=#REF!),BDI!#REF!,IF(AND(#REF!="Diferenciado",$H$4=#REF!),BDI!$E$17,IF(AND(#REF!="Diferenciado",$H$4=#REF!),BDI!#REF!,IF(#REF!="ZERO",0))))),"")</f>
        <v>#REF!</v>
      </c>
      <c r="H1253" s="138" t="e">
        <f t="shared" ca="1" si="61"/>
        <v>#REF!</v>
      </c>
      <c r="I1253" s="136" t="e">
        <f t="shared" ca="1" si="62"/>
        <v>#REF!</v>
      </c>
    </row>
    <row r="1254" spans="1:9" hidden="1" x14ac:dyDescent="0.25">
      <c r="A1254" s="114" t="s">
        <v>3497</v>
      </c>
      <c r="B1254" s="115" t="s">
        <v>3554</v>
      </c>
      <c r="C1254" s="116" t="s">
        <v>93</v>
      </c>
      <c r="D1254" s="116">
        <v>0</v>
      </c>
      <c r="E1254" s="135">
        <f ca="1">OFFSET(INDEX(Composições!A:J,MATCH(Orçamentária!A1254,Composições!A:A,0),8),2,0)</f>
        <v>8.2420100000000005</v>
      </c>
      <c r="F1254" s="136">
        <f t="shared" ca="1" si="60"/>
        <v>0</v>
      </c>
      <c r="G1254" s="137" t="e">
        <f>IF(A1254&lt;&gt;"",IF(AND(#REF!="Padrão",$H$4=#REF!),BDI!$B$17,IF(AND(#REF!="Padrão",$H$4=#REF!),BDI!#REF!,IF(AND(#REF!="Diferenciado",$H$4=#REF!),BDI!$E$17,IF(AND(#REF!="Diferenciado",$H$4=#REF!),BDI!#REF!,IF(#REF!="ZERO",0))))),"")</f>
        <v>#REF!</v>
      </c>
      <c r="H1254" s="138" t="e">
        <f t="shared" ca="1" si="61"/>
        <v>#REF!</v>
      </c>
      <c r="I1254" s="136" t="e">
        <f t="shared" ca="1" si="62"/>
        <v>#REF!</v>
      </c>
    </row>
    <row r="1255" spans="1:9" hidden="1" x14ac:dyDescent="0.25">
      <c r="A1255" s="114" t="s">
        <v>3498</v>
      </c>
      <c r="B1255" s="115" t="s">
        <v>3555</v>
      </c>
      <c r="C1255" s="116" t="s">
        <v>93</v>
      </c>
      <c r="D1255" s="116">
        <v>0</v>
      </c>
      <c r="E1255" s="135">
        <f ca="1">OFFSET(INDEX(Composições!A:J,MATCH(Orçamentária!A1255,Composições!A:A,0),8),2,0)</f>
        <v>8.7787979999999983</v>
      </c>
      <c r="F1255" s="136">
        <f t="shared" ca="1" si="60"/>
        <v>0</v>
      </c>
      <c r="G1255" s="137" t="e">
        <f>IF(A1255&lt;&gt;"",IF(AND(#REF!="Padrão",$H$4=#REF!),BDI!$B$17,IF(AND(#REF!="Padrão",$H$4=#REF!),BDI!#REF!,IF(AND(#REF!="Diferenciado",$H$4=#REF!),BDI!$E$17,IF(AND(#REF!="Diferenciado",$H$4=#REF!),BDI!#REF!,IF(#REF!="ZERO",0))))),"")</f>
        <v>#REF!</v>
      </c>
      <c r="H1255" s="138" t="e">
        <f t="shared" ca="1" si="61"/>
        <v>#REF!</v>
      </c>
      <c r="I1255" s="136" t="e">
        <f t="shared" ca="1" si="62"/>
        <v>#REF!</v>
      </c>
    </row>
    <row r="1256" spans="1:9" hidden="1" x14ac:dyDescent="0.25">
      <c r="A1256" s="114" t="s">
        <v>3499</v>
      </c>
      <c r="B1256" s="115" t="s">
        <v>3556</v>
      </c>
      <c r="C1256" s="116" t="s">
        <v>20</v>
      </c>
      <c r="D1256" s="116">
        <v>0</v>
      </c>
      <c r="E1256" s="135">
        <f ca="1">OFFSET(INDEX(Composições!A:J,MATCH(Orçamentária!A1256,Composições!A:A,0),8),2,0)</f>
        <v>52.5231706</v>
      </c>
      <c r="F1256" s="136">
        <f t="shared" ca="1" si="60"/>
        <v>0</v>
      </c>
      <c r="G1256" s="137" t="e">
        <f>IF(A1256&lt;&gt;"",IF(AND(#REF!="Padrão",$H$4=#REF!),BDI!$B$17,IF(AND(#REF!="Padrão",$H$4=#REF!),BDI!#REF!,IF(AND(#REF!="Diferenciado",$H$4=#REF!),BDI!$E$17,IF(AND(#REF!="Diferenciado",$H$4=#REF!),BDI!#REF!,IF(#REF!="ZERO",0))))),"")</f>
        <v>#REF!</v>
      </c>
      <c r="H1256" s="138" t="e">
        <f t="shared" ca="1" si="61"/>
        <v>#REF!</v>
      </c>
      <c r="I1256" s="136" t="e">
        <f t="shared" ca="1" si="62"/>
        <v>#REF!</v>
      </c>
    </row>
    <row r="1257" spans="1:9" hidden="1" x14ac:dyDescent="0.25">
      <c r="A1257" s="114" t="s">
        <v>3500</v>
      </c>
      <c r="B1257" s="115" t="s">
        <v>3557</v>
      </c>
      <c r="C1257" s="116" t="s">
        <v>20</v>
      </c>
      <c r="D1257" s="116">
        <v>0</v>
      </c>
      <c r="E1257" s="135">
        <f ca="1">OFFSET(INDEX(Composições!A:J,MATCH(Orçamentária!A1257,Composições!A:A,0),8),2,0)</f>
        <v>49.768170599999991</v>
      </c>
      <c r="F1257" s="136">
        <f t="shared" ca="1" si="60"/>
        <v>0</v>
      </c>
      <c r="G1257" s="137" t="e">
        <f>IF(A1257&lt;&gt;"",IF(AND(#REF!="Padrão",$H$4=#REF!),BDI!$B$17,IF(AND(#REF!="Padrão",$H$4=#REF!),BDI!#REF!,IF(AND(#REF!="Diferenciado",$H$4=#REF!),BDI!$E$17,IF(AND(#REF!="Diferenciado",$H$4=#REF!),BDI!#REF!,IF(#REF!="ZERO",0))))),"")</f>
        <v>#REF!</v>
      </c>
      <c r="H1257" s="138" t="e">
        <f t="shared" ca="1" si="61"/>
        <v>#REF!</v>
      </c>
      <c r="I1257" s="136" t="e">
        <f t="shared" ca="1" si="62"/>
        <v>#REF!</v>
      </c>
    </row>
    <row r="1258" spans="1:9" hidden="1" x14ac:dyDescent="0.25">
      <c r="A1258" s="114" t="s">
        <v>3501</v>
      </c>
      <c r="B1258" s="115" t="s">
        <v>3558</v>
      </c>
      <c r="C1258" s="116" t="s">
        <v>95</v>
      </c>
      <c r="D1258" s="116">
        <v>0</v>
      </c>
      <c r="E1258" s="135" t="s">
        <v>558</v>
      </c>
      <c r="F1258" s="136" t="str">
        <f t="shared" si="60"/>
        <v/>
      </c>
      <c r="G1258" s="137" t="e">
        <f>IF(A1258&lt;&gt;"",IF(AND(#REF!="Padrão",$H$4=#REF!),BDI!$B$17,IF(AND(#REF!="Padrão",$H$4=#REF!),BDI!#REF!,IF(AND(#REF!="Diferenciado",$H$4=#REF!),BDI!$E$17,IF(AND(#REF!="Diferenciado",$H$4=#REF!),BDI!#REF!,IF(#REF!="ZERO",0))))),"")</f>
        <v>#REF!</v>
      </c>
      <c r="H1258" s="138" t="str">
        <f t="shared" si="61"/>
        <v/>
      </c>
      <c r="I1258" s="136" t="str">
        <f t="shared" si="62"/>
        <v/>
      </c>
    </row>
    <row r="1259" spans="1:9" hidden="1" x14ac:dyDescent="0.25">
      <c r="A1259" s="114" t="s">
        <v>3502</v>
      </c>
      <c r="B1259" s="115" t="s">
        <v>3559</v>
      </c>
      <c r="C1259" s="116" t="s">
        <v>95</v>
      </c>
      <c r="D1259" s="116">
        <v>0</v>
      </c>
      <c r="E1259" s="135" t="s">
        <v>558</v>
      </c>
      <c r="F1259" s="136" t="str">
        <f t="shared" si="60"/>
        <v/>
      </c>
      <c r="G1259" s="137" t="e">
        <f>IF(A1259&lt;&gt;"",IF(AND(#REF!="Padrão",$H$4=#REF!),BDI!$B$17,IF(AND(#REF!="Padrão",$H$4=#REF!),BDI!#REF!,IF(AND(#REF!="Diferenciado",$H$4=#REF!),BDI!$E$17,IF(AND(#REF!="Diferenciado",$H$4=#REF!),BDI!#REF!,IF(#REF!="ZERO",0))))),"")</f>
        <v>#REF!</v>
      </c>
      <c r="H1259" s="138" t="str">
        <f t="shared" si="61"/>
        <v/>
      </c>
      <c r="I1259" s="136" t="str">
        <f t="shared" si="62"/>
        <v/>
      </c>
    </row>
    <row r="1260" spans="1:9" hidden="1" x14ac:dyDescent="0.25">
      <c r="A1260" s="114" t="s">
        <v>3503</v>
      </c>
      <c r="B1260" s="115" t="s">
        <v>3560</v>
      </c>
      <c r="C1260" s="116" t="s">
        <v>20</v>
      </c>
      <c r="D1260" s="116">
        <v>0</v>
      </c>
      <c r="E1260" s="135">
        <f ca="1">OFFSET(INDEX(Composições!A:J,MATCH(Orçamentária!A1260,Composições!A:A,0),8),2,0)</f>
        <v>12.361242300000001</v>
      </c>
      <c r="F1260" s="136">
        <f t="shared" ca="1" si="60"/>
        <v>0</v>
      </c>
      <c r="G1260" s="137" t="e">
        <f>IF(A1260&lt;&gt;"",IF(AND(#REF!="Padrão",$H$4=#REF!),BDI!$B$17,IF(AND(#REF!="Padrão",$H$4=#REF!),BDI!#REF!,IF(AND(#REF!="Diferenciado",$H$4=#REF!),BDI!$E$17,IF(AND(#REF!="Diferenciado",$H$4=#REF!),BDI!#REF!,IF(#REF!="ZERO",0))))),"")</f>
        <v>#REF!</v>
      </c>
      <c r="H1260" s="138" t="e">
        <f t="shared" ca="1" si="61"/>
        <v>#REF!</v>
      </c>
      <c r="I1260" s="136" t="e">
        <f t="shared" ca="1" si="62"/>
        <v>#REF!</v>
      </c>
    </row>
    <row r="1261" spans="1:9" hidden="1" x14ac:dyDescent="0.25">
      <c r="A1261" s="114" t="s">
        <v>3504</v>
      </c>
      <c r="B1261" s="115" t="s">
        <v>3561</v>
      </c>
      <c r="C1261" s="116" t="s">
        <v>20</v>
      </c>
      <c r="D1261" s="116">
        <v>0</v>
      </c>
      <c r="E1261" s="135">
        <f ca="1">OFFSET(INDEX(Composições!A:J,MATCH(Orçamentária!A1261,Composições!A:A,0),8),2,0)</f>
        <v>12.892101349999999</v>
      </c>
      <c r="F1261" s="136">
        <f t="shared" ca="1" si="60"/>
        <v>0</v>
      </c>
      <c r="G1261" s="137" t="e">
        <f>IF(A1261&lt;&gt;"",IF(AND(#REF!="Padrão",$H$4=#REF!),BDI!$B$17,IF(AND(#REF!="Padrão",$H$4=#REF!),BDI!#REF!,IF(AND(#REF!="Diferenciado",$H$4=#REF!),BDI!$E$17,IF(AND(#REF!="Diferenciado",$H$4=#REF!),BDI!#REF!,IF(#REF!="ZERO",0))))),"")</f>
        <v>#REF!</v>
      </c>
      <c r="H1261" s="138" t="e">
        <f t="shared" ca="1" si="61"/>
        <v>#REF!</v>
      </c>
      <c r="I1261" s="136" t="e">
        <f t="shared" ca="1" si="62"/>
        <v>#REF!</v>
      </c>
    </row>
    <row r="1262" spans="1:9" hidden="1" x14ac:dyDescent="0.25">
      <c r="A1262" s="114" t="s">
        <v>3505</v>
      </c>
      <c r="B1262" s="115" t="s">
        <v>3562</v>
      </c>
      <c r="C1262" s="116" t="s">
        <v>20</v>
      </c>
      <c r="D1262" s="116">
        <v>0</v>
      </c>
      <c r="E1262" s="135">
        <f ca="1">OFFSET(INDEX(Composições!A:J,MATCH(Orçamentária!A1262,Composições!A:A,0),8),2,0)</f>
        <v>6.3799910000000004</v>
      </c>
      <c r="F1262" s="136">
        <f t="shared" ca="1" si="60"/>
        <v>0</v>
      </c>
      <c r="G1262" s="137" t="e">
        <f>IF(A1262&lt;&gt;"",IF(AND(#REF!="Padrão",$H$4=#REF!),BDI!$B$17,IF(AND(#REF!="Padrão",$H$4=#REF!),BDI!#REF!,IF(AND(#REF!="Diferenciado",$H$4=#REF!),BDI!$E$17,IF(AND(#REF!="Diferenciado",$H$4=#REF!),BDI!#REF!,IF(#REF!="ZERO",0))))),"")</f>
        <v>#REF!</v>
      </c>
      <c r="H1262" s="138" t="e">
        <f t="shared" ca="1" si="61"/>
        <v>#REF!</v>
      </c>
      <c r="I1262" s="136" t="e">
        <f t="shared" ca="1" si="62"/>
        <v>#REF!</v>
      </c>
    </row>
    <row r="1263" spans="1:9" hidden="1" x14ac:dyDescent="0.25">
      <c r="A1263" s="114" t="s">
        <v>3506</v>
      </c>
      <c r="B1263" s="115" t="s">
        <v>3563</v>
      </c>
      <c r="C1263" s="116" t="s">
        <v>20</v>
      </c>
      <c r="D1263" s="116">
        <v>0</v>
      </c>
      <c r="E1263" s="135">
        <f ca="1">OFFSET(INDEX(Composições!A:J,MATCH(Orçamentária!A1263,Composições!A:A,0),8),2,0)</f>
        <v>12.892101349999999</v>
      </c>
      <c r="F1263" s="136">
        <f t="shared" ca="1" si="60"/>
        <v>0</v>
      </c>
      <c r="G1263" s="137" t="e">
        <f>IF(A1263&lt;&gt;"",IF(AND(#REF!="Padrão",$H$4=#REF!),BDI!$B$17,IF(AND(#REF!="Padrão",$H$4=#REF!),BDI!#REF!,IF(AND(#REF!="Diferenciado",$H$4=#REF!),BDI!$E$17,IF(AND(#REF!="Diferenciado",$H$4=#REF!),BDI!#REF!,IF(#REF!="ZERO",0))))),"")</f>
        <v>#REF!</v>
      </c>
      <c r="H1263" s="138" t="e">
        <f t="shared" ca="1" si="61"/>
        <v>#REF!</v>
      </c>
      <c r="I1263" s="136" t="e">
        <f t="shared" ca="1" si="62"/>
        <v>#REF!</v>
      </c>
    </row>
    <row r="1264" spans="1:9" hidden="1" x14ac:dyDescent="0.25">
      <c r="A1264" s="114" t="s">
        <v>3507</v>
      </c>
      <c r="B1264" s="115" t="s">
        <v>3564</v>
      </c>
      <c r="C1264" s="116" t="s">
        <v>20</v>
      </c>
      <c r="D1264" s="116">
        <v>0</v>
      </c>
      <c r="E1264" s="135">
        <f ca="1">OFFSET(INDEX(Composições!A:J,MATCH(Orçamentária!A1264,Composições!A:A,0),8),2,0)</f>
        <v>6.3799910000000004</v>
      </c>
      <c r="F1264" s="136">
        <f t="shared" ca="1" si="60"/>
        <v>0</v>
      </c>
      <c r="G1264" s="137" t="e">
        <f>IF(A1264&lt;&gt;"",IF(AND(#REF!="Padrão",$H$4=#REF!),BDI!$B$17,IF(AND(#REF!="Padrão",$H$4=#REF!),BDI!#REF!,IF(AND(#REF!="Diferenciado",$H$4=#REF!),BDI!$E$17,IF(AND(#REF!="Diferenciado",$H$4=#REF!),BDI!#REF!,IF(#REF!="ZERO",0))))),"")</f>
        <v>#REF!</v>
      </c>
      <c r="H1264" s="138" t="e">
        <f t="shared" ca="1" si="61"/>
        <v>#REF!</v>
      </c>
      <c r="I1264" s="136" t="e">
        <f t="shared" ca="1" si="62"/>
        <v>#REF!</v>
      </c>
    </row>
    <row r="1265" spans="1:9" hidden="1" x14ac:dyDescent="0.25">
      <c r="A1265" s="114" t="s">
        <v>3508</v>
      </c>
      <c r="B1265" s="115" t="s">
        <v>3565</v>
      </c>
      <c r="C1265" s="116" t="s">
        <v>20</v>
      </c>
      <c r="D1265" s="116">
        <v>0</v>
      </c>
      <c r="E1265" s="135">
        <f ca="1">OFFSET(INDEX(Composições!A:J,MATCH(Orçamentária!A1265,Composições!A:A,0),8),2,0)</f>
        <v>6.3241500000000004</v>
      </c>
      <c r="F1265" s="136">
        <f t="shared" ca="1" si="60"/>
        <v>0</v>
      </c>
      <c r="G1265" s="137" t="e">
        <f>IF(A1265&lt;&gt;"",IF(AND(#REF!="Padrão",$H$4=#REF!),BDI!$B$17,IF(AND(#REF!="Padrão",$H$4=#REF!),BDI!#REF!,IF(AND(#REF!="Diferenciado",$H$4=#REF!),BDI!$E$17,IF(AND(#REF!="Diferenciado",$H$4=#REF!),BDI!#REF!,IF(#REF!="ZERO",0))))),"")</f>
        <v>#REF!</v>
      </c>
      <c r="H1265" s="138" t="e">
        <f t="shared" ca="1" si="61"/>
        <v>#REF!</v>
      </c>
      <c r="I1265" s="136" t="e">
        <f t="shared" ca="1" si="62"/>
        <v>#REF!</v>
      </c>
    </row>
    <row r="1266" spans="1:9" hidden="1" x14ac:dyDescent="0.25">
      <c r="A1266" s="114" t="s">
        <v>3509</v>
      </c>
      <c r="B1266" s="115" t="s">
        <v>3566</v>
      </c>
      <c r="C1266" s="116" t="s">
        <v>20</v>
      </c>
      <c r="D1266" s="116">
        <v>0</v>
      </c>
      <c r="E1266" s="135">
        <f ca="1">OFFSET(INDEX(Composições!A:J,MATCH(Orçamentária!A1266,Composições!A:A,0),8),2,0)</f>
        <v>14.344665599999999</v>
      </c>
      <c r="F1266" s="136">
        <f t="shared" ca="1" si="60"/>
        <v>0</v>
      </c>
      <c r="G1266" s="137" t="e">
        <f>IF(A1266&lt;&gt;"",IF(AND(#REF!="Padrão",$H$4=#REF!),BDI!$B$17,IF(AND(#REF!="Padrão",$H$4=#REF!),BDI!#REF!,IF(AND(#REF!="Diferenciado",$H$4=#REF!),BDI!$E$17,IF(AND(#REF!="Diferenciado",$H$4=#REF!),BDI!#REF!,IF(#REF!="ZERO",0))))),"")</f>
        <v>#REF!</v>
      </c>
      <c r="H1266" s="138" t="e">
        <f t="shared" ca="1" si="61"/>
        <v>#REF!</v>
      </c>
      <c r="I1266" s="136" t="e">
        <f t="shared" ca="1" si="62"/>
        <v>#REF!</v>
      </c>
    </row>
    <row r="1267" spans="1:9" hidden="1" x14ac:dyDescent="0.25">
      <c r="A1267" s="114" t="s">
        <v>3510</v>
      </c>
      <c r="B1267" s="115" t="s">
        <v>3567</v>
      </c>
      <c r="C1267" s="116" t="s">
        <v>20</v>
      </c>
      <c r="D1267" s="116">
        <v>0</v>
      </c>
      <c r="E1267" s="135">
        <f ca="1">OFFSET(INDEX(Composições!A:J,MATCH(Orçamentária!A1267,Composições!A:A,0),8),2,0)</f>
        <v>29.219834000000002</v>
      </c>
      <c r="F1267" s="136">
        <f t="shared" ca="1" si="60"/>
        <v>0</v>
      </c>
      <c r="G1267" s="137" t="e">
        <f>IF(A1267&lt;&gt;"",IF(AND(#REF!="Padrão",$H$4=#REF!),BDI!$B$17,IF(AND(#REF!="Padrão",$H$4=#REF!),BDI!#REF!,IF(AND(#REF!="Diferenciado",$H$4=#REF!),BDI!$E$17,IF(AND(#REF!="Diferenciado",$H$4=#REF!),BDI!#REF!,IF(#REF!="ZERO",0))))),"")</f>
        <v>#REF!</v>
      </c>
      <c r="H1267" s="138" t="e">
        <f t="shared" ca="1" si="61"/>
        <v>#REF!</v>
      </c>
      <c r="I1267" s="136" t="e">
        <f t="shared" ca="1" si="62"/>
        <v>#REF!</v>
      </c>
    </row>
    <row r="1268" spans="1:9" hidden="1" x14ac:dyDescent="0.25">
      <c r="A1268" s="114" t="s">
        <v>3511</v>
      </c>
      <c r="B1268" s="115" t="s">
        <v>3568</v>
      </c>
      <c r="C1268" s="116" t="s">
        <v>20</v>
      </c>
      <c r="D1268" s="116">
        <v>0</v>
      </c>
      <c r="E1268" s="135">
        <f ca="1">OFFSET(INDEX(Composições!A:J,MATCH(Orçamentária!A1268,Composições!A:A,0),8),2,0)</f>
        <v>25.2125041</v>
      </c>
      <c r="F1268" s="136">
        <f t="shared" ca="1" si="60"/>
        <v>0</v>
      </c>
      <c r="G1268" s="137" t="e">
        <f>IF(A1268&lt;&gt;"",IF(AND(#REF!="Padrão",$H$4=#REF!),BDI!$B$17,IF(AND(#REF!="Padrão",$H$4=#REF!),BDI!#REF!,IF(AND(#REF!="Diferenciado",$H$4=#REF!),BDI!$E$17,IF(AND(#REF!="Diferenciado",$H$4=#REF!),BDI!#REF!,IF(#REF!="ZERO",0))))),"")</f>
        <v>#REF!</v>
      </c>
      <c r="H1268" s="138" t="e">
        <f t="shared" ca="1" si="61"/>
        <v>#REF!</v>
      </c>
      <c r="I1268" s="136" t="e">
        <f t="shared" ca="1" si="62"/>
        <v>#REF!</v>
      </c>
    </row>
    <row r="1269" spans="1:9" hidden="1" x14ac:dyDescent="0.25">
      <c r="A1269" s="114" t="s">
        <v>3512</v>
      </c>
      <c r="B1269" s="115" t="s">
        <v>3569</v>
      </c>
      <c r="C1269" s="116" t="s">
        <v>20</v>
      </c>
      <c r="D1269" s="116">
        <v>0</v>
      </c>
      <c r="E1269" s="135">
        <f ca="1">OFFSET(INDEX(Composições!A:J,MATCH(Orçamentária!A1269,Composições!A:A,0),8),2,0)</f>
        <v>25.2125041</v>
      </c>
      <c r="F1269" s="136">
        <f t="shared" ca="1" si="60"/>
        <v>0</v>
      </c>
      <c r="G1269" s="137" t="e">
        <f>IF(A1269&lt;&gt;"",IF(AND(#REF!="Padrão",$H$4=#REF!),BDI!$B$17,IF(AND(#REF!="Padrão",$H$4=#REF!),BDI!#REF!,IF(AND(#REF!="Diferenciado",$H$4=#REF!),BDI!$E$17,IF(AND(#REF!="Diferenciado",$H$4=#REF!),BDI!#REF!,IF(#REF!="ZERO",0))))),"")</f>
        <v>#REF!</v>
      </c>
      <c r="H1269" s="138" t="e">
        <f t="shared" ca="1" si="61"/>
        <v>#REF!</v>
      </c>
      <c r="I1269" s="136" t="e">
        <f t="shared" ca="1" si="62"/>
        <v>#REF!</v>
      </c>
    </row>
    <row r="1270" spans="1:9" hidden="1" x14ac:dyDescent="0.25">
      <c r="A1270" s="114" t="s">
        <v>3513</v>
      </c>
      <c r="B1270" s="115" t="s">
        <v>3570</v>
      </c>
      <c r="C1270" s="116" t="s">
        <v>20</v>
      </c>
      <c r="D1270" s="116">
        <v>0</v>
      </c>
      <c r="E1270" s="135">
        <f ca="1">OFFSET(INDEX(Composições!A:J,MATCH(Orçamentária!A1270,Composições!A:A,0),8),2,0)</f>
        <v>4.9789499999999993</v>
      </c>
      <c r="F1270" s="136">
        <f t="shared" ca="1" si="60"/>
        <v>0</v>
      </c>
      <c r="G1270" s="137" t="e">
        <f>IF(A1270&lt;&gt;"",IF(AND(#REF!="Padrão",$H$4=#REF!),BDI!$B$17,IF(AND(#REF!="Padrão",$H$4=#REF!),BDI!#REF!,IF(AND(#REF!="Diferenciado",$H$4=#REF!),BDI!$E$17,IF(AND(#REF!="Diferenciado",$H$4=#REF!),BDI!#REF!,IF(#REF!="ZERO",0))))),"")</f>
        <v>#REF!</v>
      </c>
      <c r="H1270" s="138" t="e">
        <f t="shared" ca="1" si="61"/>
        <v>#REF!</v>
      </c>
      <c r="I1270" s="136" t="e">
        <f t="shared" ca="1" si="62"/>
        <v>#REF!</v>
      </c>
    </row>
    <row r="1271" spans="1:9" hidden="1" x14ac:dyDescent="0.25">
      <c r="A1271" s="114" t="s">
        <v>3514</v>
      </c>
      <c r="B1271" s="115" t="s">
        <v>3636</v>
      </c>
      <c r="C1271" s="116" t="s">
        <v>20</v>
      </c>
      <c r="D1271" s="116">
        <v>0</v>
      </c>
      <c r="E1271" s="135">
        <f ca="1">OFFSET(INDEX(Composições!A:J,MATCH(Orçamentária!A1271,Composições!A:A,0),8),2,0)</f>
        <v>228.02625799999998</v>
      </c>
      <c r="F1271" s="136">
        <f t="shared" ca="1" si="60"/>
        <v>0</v>
      </c>
      <c r="G1271" s="137" t="e">
        <f>IF(A1271&lt;&gt;"",IF(AND(#REF!="Padrão",$H$4=#REF!),BDI!$B$17,IF(AND(#REF!="Padrão",$H$4=#REF!),BDI!#REF!,IF(AND(#REF!="Diferenciado",$H$4=#REF!),BDI!$E$17,IF(AND(#REF!="Diferenciado",$H$4=#REF!),BDI!#REF!,IF(#REF!="ZERO",0))))),"")</f>
        <v>#REF!</v>
      </c>
      <c r="H1271" s="138" t="e">
        <f t="shared" ca="1" si="61"/>
        <v>#REF!</v>
      </c>
      <c r="I1271" s="136" t="e">
        <f t="shared" ca="1" si="62"/>
        <v>#REF!</v>
      </c>
    </row>
    <row r="1272" spans="1:9" hidden="1" x14ac:dyDescent="0.25">
      <c r="A1272" s="114" t="s">
        <v>3515</v>
      </c>
      <c r="B1272" s="115" t="s">
        <v>3637</v>
      </c>
      <c r="C1272" s="116" t="s">
        <v>20</v>
      </c>
      <c r="D1272" s="116">
        <v>0</v>
      </c>
      <c r="E1272" s="135">
        <f ca="1">OFFSET(INDEX(Composições!A:J,MATCH(Orçamentária!A1272,Composições!A:A,0),8),2,0)</f>
        <v>248.37016599999998</v>
      </c>
      <c r="F1272" s="136">
        <f t="shared" ca="1" si="60"/>
        <v>0</v>
      </c>
      <c r="G1272" s="137" t="e">
        <f>IF(A1272&lt;&gt;"",IF(AND(#REF!="Padrão",$H$4=#REF!),BDI!$B$17,IF(AND(#REF!="Padrão",$H$4=#REF!),BDI!#REF!,IF(AND(#REF!="Diferenciado",$H$4=#REF!),BDI!$E$17,IF(AND(#REF!="Diferenciado",$H$4=#REF!),BDI!#REF!,IF(#REF!="ZERO",0))))),"")</f>
        <v>#REF!</v>
      </c>
      <c r="H1272" s="138" t="e">
        <f t="shared" ca="1" si="61"/>
        <v>#REF!</v>
      </c>
      <c r="I1272" s="136" t="e">
        <f t="shared" ca="1" si="62"/>
        <v>#REF!</v>
      </c>
    </row>
    <row r="1273" spans="1:9" hidden="1" x14ac:dyDescent="0.25">
      <c r="A1273" s="114" t="s">
        <v>3516</v>
      </c>
      <c r="B1273" s="115" t="s">
        <v>3638</v>
      </c>
      <c r="C1273" s="116" t="s">
        <v>20</v>
      </c>
      <c r="D1273" s="116">
        <v>0</v>
      </c>
      <c r="E1273" s="135">
        <f ca="1">OFFSET(INDEX(Composições!A:J,MATCH(Orçamentária!A1273,Composições!A:A,0),8),2,0)</f>
        <v>279.24957399999994</v>
      </c>
      <c r="F1273" s="136">
        <f t="shared" ca="1" si="60"/>
        <v>0</v>
      </c>
      <c r="G1273" s="137" t="e">
        <f>IF(A1273&lt;&gt;"",IF(AND(#REF!="Padrão",$H$4=#REF!),BDI!$B$17,IF(AND(#REF!="Padrão",$H$4=#REF!),BDI!#REF!,IF(AND(#REF!="Diferenciado",$H$4=#REF!),BDI!$E$17,IF(AND(#REF!="Diferenciado",$H$4=#REF!),BDI!#REF!,IF(#REF!="ZERO",0))))),"")</f>
        <v>#REF!</v>
      </c>
      <c r="H1273" s="138" t="e">
        <f t="shared" ca="1" si="61"/>
        <v>#REF!</v>
      </c>
      <c r="I1273" s="136" t="e">
        <f t="shared" ca="1" si="62"/>
        <v>#REF!</v>
      </c>
    </row>
    <row r="1274" spans="1:9" hidden="1" x14ac:dyDescent="0.25">
      <c r="A1274" s="114" t="s">
        <v>3517</v>
      </c>
      <c r="B1274" s="115" t="s">
        <v>3639</v>
      </c>
      <c r="C1274" s="116" t="s">
        <v>20</v>
      </c>
      <c r="D1274" s="116">
        <v>0</v>
      </c>
      <c r="E1274" s="135">
        <f ca="1">OFFSET(INDEX(Composições!A:J,MATCH(Orçamentária!A1274,Composições!A:A,0),8),2,0)</f>
        <v>310.85098200000004</v>
      </c>
      <c r="F1274" s="136">
        <f t="shared" ca="1" si="60"/>
        <v>0</v>
      </c>
      <c r="G1274" s="137" t="e">
        <f>IF(A1274&lt;&gt;"",IF(AND(#REF!="Padrão",$H$4=#REF!),BDI!$B$17,IF(AND(#REF!="Padrão",$H$4=#REF!),BDI!#REF!,IF(AND(#REF!="Diferenciado",$H$4=#REF!),BDI!$E$17,IF(AND(#REF!="Diferenciado",$H$4=#REF!),BDI!#REF!,IF(#REF!="ZERO",0))))),"")</f>
        <v>#REF!</v>
      </c>
      <c r="H1274" s="138" t="e">
        <f t="shared" ca="1" si="61"/>
        <v>#REF!</v>
      </c>
      <c r="I1274" s="136" t="e">
        <f t="shared" ca="1" si="62"/>
        <v>#REF!</v>
      </c>
    </row>
    <row r="1275" spans="1:9" hidden="1" x14ac:dyDescent="0.25">
      <c r="A1275" s="114" t="s">
        <v>3518</v>
      </c>
      <c r="B1275" s="115" t="s">
        <v>3571</v>
      </c>
      <c r="C1275" s="116" t="s">
        <v>20</v>
      </c>
      <c r="D1275" s="116">
        <v>0</v>
      </c>
      <c r="E1275" s="135">
        <f ca="1">OFFSET(INDEX(Composições!A:J,MATCH(Orçamentária!A1275,Composições!A:A,0),8),2,0)</f>
        <v>71.88839999999999</v>
      </c>
      <c r="F1275" s="136">
        <f t="shared" ca="1" si="60"/>
        <v>0</v>
      </c>
      <c r="G1275" s="137" t="e">
        <f>IF(A1275&lt;&gt;"",IF(AND(#REF!="Padrão",$H$4=#REF!),BDI!$B$17,IF(AND(#REF!="Padrão",$H$4=#REF!),BDI!#REF!,IF(AND(#REF!="Diferenciado",$H$4=#REF!),BDI!$E$17,IF(AND(#REF!="Diferenciado",$H$4=#REF!),BDI!#REF!,IF(#REF!="ZERO",0))))),"")</f>
        <v>#REF!</v>
      </c>
      <c r="H1275" s="138" t="e">
        <f t="shared" ca="1" si="61"/>
        <v>#REF!</v>
      </c>
      <c r="I1275" s="136" t="e">
        <f t="shared" ca="1" si="62"/>
        <v>#REF!</v>
      </c>
    </row>
    <row r="1276" spans="1:9" hidden="1" x14ac:dyDescent="0.25">
      <c r="A1276" s="114" t="s">
        <v>3519</v>
      </c>
      <c r="B1276" s="115" t="s">
        <v>3572</v>
      </c>
      <c r="C1276" s="116" t="s">
        <v>95</v>
      </c>
      <c r="D1276" s="116">
        <v>0</v>
      </c>
      <c r="E1276" s="135">
        <f ca="1">OFFSET(INDEX(Composições!A:J,MATCH(Orçamentária!A1276,Composições!A:A,0),8),2,0)</f>
        <v>25.458480000000002</v>
      </c>
      <c r="F1276" s="136">
        <f t="shared" ca="1" si="60"/>
        <v>0</v>
      </c>
      <c r="G1276" s="137" t="e">
        <f>IF(A1276&lt;&gt;"",IF(AND(#REF!="Padrão",$H$4=#REF!),BDI!$B$17,IF(AND(#REF!="Padrão",$H$4=#REF!),BDI!#REF!,IF(AND(#REF!="Diferenciado",$H$4=#REF!),BDI!$E$17,IF(AND(#REF!="Diferenciado",$H$4=#REF!),BDI!#REF!,IF(#REF!="ZERO",0))))),"")</f>
        <v>#REF!</v>
      </c>
      <c r="H1276" s="138" t="e">
        <f t="shared" ca="1" si="61"/>
        <v>#REF!</v>
      </c>
      <c r="I1276" s="136" t="e">
        <f t="shared" ca="1" si="62"/>
        <v>#REF!</v>
      </c>
    </row>
    <row r="1277" spans="1:9" hidden="1" x14ac:dyDescent="0.25">
      <c r="A1277" s="114" t="s">
        <v>3520</v>
      </c>
      <c r="B1277" s="115" t="s">
        <v>3573</v>
      </c>
      <c r="C1277" s="116" t="s">
        <v>95</v>
      </c>
      <c r="D1277" s="116">
        <v>0</v>
      </c>
      <c r="E1277" s="135">
        <f ca="1">OFFSET(INDEX(Composições!A:J,MATCH(Orçamentária!A1277,Composições!A:A,0),8),2,0)</f>
        <v>26.350909999999999</v>
      </c>
      <c r="F1277" s="136">
        <f t="shared" ca="1" si="60"/>
        <v>0</v>
      </c>
      <c r="G1277" s="137" t="e">
        <f>IF(A1277&lt;&gt;"",IF(AND(#REF!="Padrão",$H$4=#REF!),BDI!$B$17,IF(AND(#REF!="Padrão",$H$4=#REF!),BDI!#REF!,IF(AND(#REF!="Diferenciado",$H$4=#REF!),BDI!$E$17,IF(AND(#REF!="Diferenciado",$H$4=#REF!),BDI!#REF!,IF(#REF!="ZERO",0))))),"")</f>
        <v>#REF!</v>
      </c>
      <c r="H1277" s="138" t="e">
        <f t="shared" ca="1" si="61"/>
        <v>#REF!</v>
      </c>
      <c r="I1277" s="136" t="e">
        <f t="shared" ca="1" si="62"/>
        <v>#REF!</v>
      </c>
    </row>
    <row r="1278" spans="1:9" hidden="1" x14ac:dyDescent="0.25">
      <c r="A1278" s="114" t="s">
        <v>3521</v>
      </c>
      <c r="B1278" s="115" t="s">
        <v>3574</v>
      </c>
      <c r="C1278" s="116" t="s">
        <v>95</v>
      </c>
      <c r="D1278" s="116">
        <v>0</v>
      </c>
      <c r="E1278" s="135">
        <f ca="1">OFFSET(INDEX(Composições!A:J,MATCH(Orçamentária!A1278,Composições!A:A,0),8),2,0)</f>
        <v>29.21919845</v>
      </c>
      <c r="F1278" s="136">
        <f t="shared" ca="1" si="60"/>
        <v>0</v>
      </c>
      <c r="G1278" s="137" t="e">
        <f>IF(A1278&lt;&gt;"",IF(AND(#REF!="Padrão",$H$4=#REF!),BDI!$B$17,IF(AND(#REF!="Padrão",$H$4=#REF!),BDI!#REF!,IF(AND(#REF!="Diferenciado",$H$4=#REF!),BDI!$E$17,IF(AND(#REF!="Diferenciado",$H$4=#REF!),BDI!#REF!,IF(#REF!="ZERO",0))))),"")</f>
        <v>#REF!</v>
      </c>
      <c r="H1278" s="138" t="e">
        <f t="shared" ca="1" si="61"/>
        <v>#REF!</v>
      </c>
      <c r="I1278" s="136" t="e">
        <f t="shared" ca="1" si="62"/>
        <v>#REF!</v>
      </c>
    </row>
    <row r="1279" spans="1:9" hidden="1" x14ac:dyDescent="0.25">
      <c r="A1279" s="114" t="s">
        <v>3522</v>
      </c>
      <c r="B1279" s="115" t="s">
        <v>3575</v>
      </c>
      <c r="C1279" s="116" t="s">
        <v>93</v>
      </c>
      <c r="D1279" s="116">
        <v>0</v>
      </c>
      <c r="E1279" s="135" t="s">
        <v>558</v>
      </c>
      <c r="F1279" s="136" t="str">
        <f t="shared" si="60"/>
        <v/>
      </c>
      <c r="G1279" s="137" t="e">
        <f>IF(A1279&lt;&gt;"",IF(AND(#REF!="Padrão",$H$4=#REF!),BDI!$B$17,IF(AND(#REF!="Padrão",$H$4=#REF!),BDI!#REF!,IF(AND(#REF!="Diferenciado",$H$4=#REF!),BDI!$E$17,IF(AND(#REF!="Diferenciado",$H$4=#REF!),BDI!#REF!,IF(#REF!="ZERO",0))))),"")</f>
        <v>#REF!</v>
      </c>
      <c r="H1279" s="138" t="str">
        <f t="shared" si="61"/>
        <v/>
      </c>
      <c r="I1279" s="136" t="str">
        <f t="shared" si="62"/>
        <v/>
      </c>
    </row>
    <row r="1280" spans="1:9" hidden="1" x14ac:dyDescent="0.25">
      <c r="A1280" s="114" t="s">
        <v>3523</v>
      </c>
      <c r="B1280" s="115" t="s">
        <v>3576</v>
      </c>
      <c r="C1280" s="116" t="s">
        <v>93</v>
      </c>
      <c r="D1280" s="116">
        <v>0</v>
      </c>
      <c r="E1280" s="135" t="s">
        <v>558</v>
      </c>
      <c r="F1280" s="136" t="str">
        <f t="shared" si="60"/>
        <v/>
      </c>
      <c r="G1280" s="137" t="e">
        <f>IF(A1280&lt;&gt;"",IF(AND(#REF!="Padrão",$H$4=#REF!),BDI!$B$17,IF(AND(#REF!="Padrão",$H$4=#REF!),BDI!#REF!,IF(AND(#REF!="Diferenciado",$H$4=#REF!),BDI!$E$17,IF(AND(#REF!="Diferenciado",$H$4=#REF!),BDI!#REF!,IF(#REF!="ZERO",0))))),"")</f>
        <v>#REF!</v>
      </c>
      <c r="H1280" s="138" t="str">
        <f t="shared" si="61"/>
        <v/>
      </c>
      <c r="I1280" s="136" t="str">
        <f t="shared" si="62"/>
        <v/>
      </c>
    </row>
    <row r="1281" spans="1:9" hidden="1" x14ac:dyDescent="0.25">
      <c r="A1281" s="114" t="s">
        <v>3524</v>
      </c>
      <c r="B1281" s="115" t="s">
        <v>3577</v>
      </c>
      <c r="C1281" s="116" t="s">
        <v>93</v>
      </c>
      <c r="D1281" s="116">
        <v>0</v>
      </c>
      <c r="E1281" s="135" t="s">
        <v>558</v>
      </c>
      <c r="F1281" s="136" t="str">
        <f t="shared" si="60"/>
        <v/>
      </c>
      <c r="G1281" s="137" t="e">
        <f>IF(A1281&lt;&gt;"",IF(AND(#REF!="Padrão",$H$4=#REF!),BDI!$B$17,IF(AND(#REF!="Padrão",$H$4=#REF!),BDI!#REF!,IF(AND(#REF!="Diferenciado",$H$4=#REF!),BDI!$E$17,IF(AND(#REF!="Diferenciado",$H$4=#REF!),BDI!#REF!,IF(#REF!="ZERO",0))))),"")</f>
        <v>#REF!</v>
      </c>
      <c r="H1281" s="138" t="str">
        <f t="shared" si="61"/>
        <v/>
      </c>
      <c r="I1281" s="136" t="str">
        <f t="shared" si="62"/>
        <v/>
      </c>
    </row>
    <row r="1282" spans="1:9" hidden="1" x14ac:dyDescent="0.25">
      <c r="A1282" s="114" t="s">
        <v>3525</v>
      </c>
      <c r="B1282" s="115" t="s">
        <v>3578</v>
      </c>
      <c r="C1282" s="116" t="s">
        <v>93</v>
      </c>
      <c r="D1282" s="116">
        <v>0</v>
      </c>
      <c r="E1282" s="135" t="s">
        <v>558</v>
      </c>
      <c r="F1282" s="136" t="str">
        <f t="shared" si="60"/>
        <v/>
      </c>
      <c r="G1282" s="137" t="e">
        <f>IF(A1282&lt;&gt;"",IF(AND(#REF!="Padrão",$H$4=#REF!),BDI!$B$17,IF(AND(#REF!="Padrão",$H$4=#REF!),BDI!#REF!,IF(AND(#REF!="Diferenciado",$H$4=#REF!),BDI!$E$17,IF(AND(#REF!="Diferenciado",$H$4=#REF!),BDI!#REF!,IF(#REF!="ZERO",0))))),"")</f>
        <v>#REF!</v>
      </c>
      <c r="H1282" s="138" t="str">
        <f t="shared" si="61"/>
        <v/>
      </c>
      <c r="I1282" s="136" t="str">
        <f t="shared" si="62"/>
        <v/>
      </c>
    </row>
    <row r="1283" spans="1:9" hidden="1" x14ac:dyDescent="0.25">
      <c r="A1283" s="114" t="s">
        <v>3526</v>
      </c>
      <c r="B1283" s="115" t="s">
        <v>3579</v>
      </c>
      <c r="C1283" s="116" t="s">
        <v>93</v>
      </c>
      <c r="D1283" s="116">
        <v>0</v>
      </c>
      <c r="E1283" s="135">
        <f ca="1">OFFSET(INDEX(Composições!A:J,MATCH(Orçamentária!A1283,Composições!A:A,0),8),2,0)</f>
        <v>9.9559999999999995</v>
      </c>
      <c r="F1283" s="136">
        <f t="shared" ca="1" si="60"/>
        <v>0</v>
      </c>
      <c r="G1283" s="137" t="e">
        <f>IF(A1283&lt;&gt;"",IF(AND(#REF!="Padrão",$H$4=#REF!),BDI!$B$17,IF(AND(#REF!="Padrão",$H$4=#REF!),BDI!#REF!,IF(AND(#REF!="Diferenciado",$H$4=#REF!),BDI!$E$17,IF(AND(#REF!="Diferenciado",$H$4=#REF!),BDI!#REF!,IF(#REF!="ZERO",0))))),"")</f>
        <v>#REF!</v>
      </c>
      <c r="H1283" s="138" t="e">
        <f t="shared" ca="1" si="61"/>
        <v>#REF!</v>
      </c>
      <c r="I1283" s="136" t="e">
        <f t="shared" ca="1" si="62"/>
        <v>#REF!</v>
      </c>
    </row>
    <row r="1284" spans="1:9" hidden="1" x14ac:dyDescent="0.25">
      <c r="A1284" s="114" t="s">
        <v>3527</v>
      </c>
      <c r="B1284" s="115" t="s">
        <v>3580</v>
      </c>
      <c r="C1284" s="116" t="s">
        <v>93</v>
      </c>
      <c r="D1284" s="116">
        <v>0</v>
      </c>
      <c r="E1284" s="135">
        <f ca="1">OFFSET(INDEX(Composições!A:J,MATCH(Orçamentária!A1284,Composições!A:A,0),8),2,0)</f>
        <v>24.699202</v>
      </c>
      <c r="F1284" s="136">
        <f t="shared" ca="1" si="60"/>
        <v>0</v>
      </c>
      <c r="G1284" s="137" t="e">
        <f>IF(A1284&lt;&gt;"",IF(AND(#REF!="Padrão",$H$4=#REF!),BDI!$B$17,IF(AND(#REF!="Padrão",$H$4=#REF!),BDI!#REF!,IF(AND(#REF!="Diferenciado",$H$4=#REF!),BDI!$E$17,IF(AND(#REF!="Diferenciado",$H$4=#REF!),BDI!#REF!,IF(#REF!="ZERO",0))))),"")</f>
        <v>#REF!</v>
      </c>
      <c r="H1284" s="138" t="e">
        <f t="shared" ca="1" si="61"/>
        <v>#REF!</v>
      </c>
      <c r="I1284" s="136" t="e">
        <f t="shared" ca="1" si="62"/>
        <v>#REF!</v>
      </c>
    </row>
    <row r="1285" spans="1:9" hidden="1" x14ac:dyDescent="0.25">
      <c r="A1285" s="114" t="s">
        <v>3528</v>
      </c>
      <c r="B1285" s="115" t="s">
        <v>3581</v>
      </c>
      <c r="C1285" s="116" t="s">
        <v>93</v>
      </c>
      <c r="D1285" s="116">
        <v>0</v>
      </c>
      <c r="E1285" s="135">
        <f ca="1">OFFSET(INDEX(Composições!A:J,MATCH(Orçamentária!A1285,Composições!A:A,0),8),2,0)</f>
        <v>33.946140999999997</v>
      </c>
      <c r="F1285" s="136">
        <f t="shared" ca="1" si="60"/>
        <v>0</v>
      </c>
      <c r="G1285" s="137" t="e">
        <f>IF(A1285&lt;&gt;"",IF(AND(#REF!="Padrão",$H$4=#REF!),BDI!$B$17,IF(AND(#REF!="Padrão",$H$4=#REF!),BDI!#REF!,IF(AND(#REF!="Diferenciado",$H$4=#REF!),BDI!$E$17,IF(AND(#REF!="Diferenciado",$H$4=#REF!),BDI!#REF!,IF(#REF!="ZERO",0))))),"")</f>
        <v>#REF!</v>
      </c>
      <c r="H1285" s="138" t="e">
        <f t="shared" ca="1" si="61"/>
        <v>#REF!</v>
      </c>
      <c r="I1285" s="136" t="e">
        <f t="shared" ca="1" si="62"/>
        <v>#REF!</v>
      </c>
    </row>
    <row r="1286" spans="1:9" hidden="1" x14ac:dyDescent="0.25">
      <c r="A1286" s="114" t="s">
        <v>3529</v>
      </c>
      <c r="B1286" s="115" t="s">
        <v>3582</v>
      </c>
      <c r="C1286" s="116" t="s">
        <v>20</v>
      </c>
      <c r="D1286" s="116">
        <v>0</v>
      </c>
      <c r="E1286" s="135">
        <f ca="1">OFFSET(INDEX(Composições!A:J,MATCH(Orçamentária!A1286,Composições!A:A,0),8),2,0)</f>
        <v>49.768170599999991</v>
      </c>
      <c r="F1286" s="136">
        <f t="shared" ca="1" si="60"/>
        <v>0</v>
      </c>
      <c r="G1286" s="137" t="e">
        <f>IF(A1286&lt;&gt;"",IF(AND(#REF!="Padrão",$H$4=#REF!),BDI!$B$17,IF(AND(#REF!="Padrão",$H$4=#REF!),BDI!#REF!,IF(AND(#REF!="Diferenciado",$H$4=#REF!),BDI!$E$17,IF(AND(#REF!="Diferenciado",$H$4=#REF!),BDI!#REF!,IF(#REF!="ZERO",0))))),"")</f>
        <v>#REF!</v>
      </c>
      <c r="H1286" s="138" t="e">
        <f t="shared" ca="1" si="61"/>
        <v>#REF!</v>
      </c>
      <c r="I1286" s="136" t="e">
        <f t="shared" ca="1" si="62"/>
        <v>#REF!</v>
      </c>
    </row>
    <row r="1287" spans="1:9" hidden="1" x14ac:dyDescent="0.25">
      <c r="A1287" s="114" t="s">
        <v>3530</v>
      </c>
      <c r="B1287" s="115" t="s">
        <v>3583</v>
      </c>
      <c r="C1287" s="116" t="s">
        <v>20</v>
      </c>
      <c r="D1287" s="116">
        <v>0</v>
      </c>
      <c r="E1287" s="135">
        <f ca="1">OFFSET(INDEX(Composições!A:J,MATCH(Orçamentária!A1287,Composições!A:A,0),8),2,0)</f>
        <v>19.8994657</v>
      </c>
      <c r="F1287" s="136">
        <f t="shared" ca="1" si="60"/>
        <v>0</v>
      </c>
      <c r="G1287" s="137" t="e">
        <f>IF(A1287&lt;&gt;"",IF(AND(#REF!="Padrão",$H$4=#REF!),BDI!$B$17,IF(AND(#REF!="Padrão",$H$4=#REF!),BDI!#REF!,IF(AND(#REF!="Diferenciado",$H$4=#REF!),BDI!$E$17,IF(AND(#REF!="Diferenciado",$H$4=#REF!),BDI!#REF!,IF(#REF!="ZERO",0))))),"")</f>
        <v>#REF!</v>
      </c>
      <c r="H1287" s="138" t="e">
        <f t="shared" ca="1" si="61"/>
        <v>#REF!</v>
      </c>
      <c r="I1287" s="136" t="e">
        <f t="shared" ca="1" si="62"/>
        <v>#REF!</v>
      </c>
    </row>
    <row r="1288" spans="1:9" hidden="1" x14ac:dyDescent="0.25">
      <c r="A1288" s="114" t="s">
        <v>3531</v>
      </c>
      <c r="B1288" s="115" t="s">
        <v>3584</v>
      </c>
      <c r="C1288" s="116" t="s">
        <v>20</v>
      </c>
      <c r="D1288" s="116">
        <v>0</v>
      </c>
      <c r="E1288" s="135">
        <f ca="1">OFFSET(INDEX(Composições!A:J,MATCH(Orçamentária!A1288,Composições!A:A,0),8),2,0)</f>
        <v>12.361242300000001</v>
      </c>
      <c r="F1288" s="136">
        <f t="shared" ca="1" si="60"/>
        <v>0</v>
      </c>
      <c r="G1288" s="137" t="e">
        <f>IF(A1288&lt;&gt;"",IF(AND(#REF!="Padrão",$H$4=#REF!),BDI!$B$17,IF(AND(#REF!="Padrão",$H$4=#REF!),BDI!#REF!,IF(AND(#REF!="Diferenciado",$H$4=#REF!),BDI!$E$17,IF(AND(#REF!="Diferenciado",$H$4=#REF!),BDI!#REF!,IF(#REF!="ZERO",0))))),"")</f>
        <v>#REF!</v>
      </c>
      <c r="H1288" s="138" t="e">
        <f t="shared" ca="1" si="61"/>
        <v>#REF!</v>
      </c>
      <c r="I1288" s="136" t="e">
        <f t="shared" ca="1" si="62"/>
        <v>#REF!</v>
      </c>
    </row>
    <row r="1289" spans="1:9" hidden="1" x14ac:dyDescent="0.25">
      <c r="A1289" s="114" t="s">
        <v>3532</v>
      </c>
      <c r="B1289" s="115" t="s">
        <v>3585</v>
      </c>
      <c r="C1289" s="116" t="s">
        <v>20</v>
      </c>
      <c r="D1289" s="116">
        <v>0</v>
      </c>
      <c r="E1289" s="135">
        <f ca="1">OFFSET(INDEX(Composições!A:J,MATCH(Orçamentária!A1289,Composições!A:A,0),8),2,0)</f>
        <v>240.04523999999998</v>
      </c>
      <c r="F1289" s="136">
        <f t="shared" ca="1" si="60"/>
        <v>0</v>
      </c>
      <c r="G1289" s="137" t="e">
        <f>IF(A1289&lt;&gt;"",IF(AND(#REF!="Padrão",$H$4=#REF!),BDI!$B$17,IF(AND(#REF!="Padrão",$H$4=#REF!),BDI!#REF!,IF(AND(#REF!="Diferenciado",$H$4=#REF!),BDI!$E$17,IF(AND(#REF!="Diferenciado",$H$4=#REF!),BDI!#REF!,IF(#REF!="ZERO",0))))),"")</f>
        <v>#REF!</v>
      </c>
      <c r="H1289" s="138" t="e">
        <f t="shared" ca="1" si="61"/>
        <v>#REF!</v>
      </c>
      <c r="I1289" s="136" t="e">
        <f t="shared" ca="1" si="62"/>
        <v>#REF!</v>
      </c>
    </row>
    <row r="1290" spans="1:9" hidden="1" x14ac:dyDescent="0.25">
      <c r="A1290" s="114" t="s">
        <v>3533</v>
      </c>
      <c r="B1290" s="115" t="s">
        <v>3586</v>
      </c>
      <c r="C1290" s="116" t="s">
        <v>20</v>
      </c>
      <c r="D1290" s="116">
        <v>0</v>
      </c>
      <c r="E1290" s="135">
        <f ca="1">OFFSET(INDEX(Composições!A:J,MATCH(Orçamentária!A1290,Composições!A:A,0),8),2,0)</f>
        <v>17.394552249999997</v>
      </c>
      <c r="F1290" s="136">
        <f t="shared" ca="1" si="60"/>
        <v>0</v>
      </c>
      <c r="G1290" s="137" t="e">
        <f>IF(A1290&lt;&gt;"",IF(AND(#REF!="Padrão",$H$4=#REF!),BDI!$B$17,IF(AND(#REF!="Padrão",$H$4=#REF!),BDI!#REF!,IF(AND(#REF!="Diferenciado",$H$4=#REF!),BDI!$E$17,IF(AND(#REF!="Diferenciado",$H$4=#REF!),BDI!#REF!,IF(#REF!="ZERO",0))))),"")</f>
        <v>#REF!</v>
      </c>
      <c r="H1290" s="138" t="e">
        <f t="shared" ca="1" si="61"/>
        <v>#REF!</v>
      </c>
      <c r="I1290" s="136" t="e">
        <f t="shared" ca="1" si="62"/>
        <v>#REF!</v>
      </c>
    </row>
    <row r="1291" spans="1:9" hidden="1" x14ac:dyDescent="0.25">
      <c r="A1291" s="114" t="s">
        <v>3534</v>
      </c>
      <c r="B1291" s="115" t="s">
        <v>3587</v>
      </c>
      <c r="C1291" s="116" t="s">
        <v>20</v>
      </c>
      <c r="D1291" s="116">
        <v>0</v>
      </c>
      <c r="E1291" s="135">
        <f ca="1">OFFSET(INDEX(Composições!A:J,MATCH(Orçamentária!A1291,Composições!A:A,0),8),2,0)</f>
        <v>8.698388099999999</v>
      </c>
      <c r="F1291" s="136">
        <f t="shared" ca="1" si="60"/>
        <v>0</v>
      </c>
      <c r="G1291" s="137" t="e">
        <f>IF(A1291&lt;&gt;"",IF(AND(#REF!="Padrão",$H$4=#REF!),BDI!$B$17,IF(AND(#REF!="Padrão",$H$4=#REF!),BDI!#REF!,IF(AND(#REF!="Diferenciado",$H$4=#REF!),BDI!$E$17,IF(AND(#REF!="Diferenciado",$H$4=#REF!),BDI!#REF!,IF(#REF!="ZERO",0))))),"")</f>
        <v>#REF!</v>
      </c>
      <c r="H1291" s="138" t="e">
        <f t="shared" ca="1" si="61"/>
        <v>#REF!</v>
      </c>
      <c r="I1291" s="136" t="e">
        <f t="shared" ca="1" si="62"/>
        <v>#REF!</v>
      </c>
    </row>
    <row r="1292" spans="1:9" hidden="1" x14ac:dyDescent="0.25">
      <c r="A1292" s="114" t="s">
        <v>3535</v>
      </c>
      <c r="B1292" s="115" t="s">
        <v>3588</v>
      </c>
      <c r="C1292" s="116" t="s">
        <v>20</v>
      </c>
      <c r="D1292" s="116">
        <v>0</v>
      </c>
      <c r="E1292" s="135">
        <f ca="1">OFFSET(INDEX(Composições!A:J,MATCH(Orçamentária!A1292,Composições!A:A,0),8),2,0)</f>
        <v>14.284997999999998</v>
      </c>
      <c r="F1292" s="136">
        <f t="shared" ref="F1292:F1296" ca="1" si="63">IF(ISNUMBER(E1292),D1292*E1292,"")</f>
        <v>0</v>
      </c>
      <c r="G1292" s="137" t="e">
        <f>IF(A1292&lt;&gt;"",IF(AND(#REF!="Padrão",$H$4=#REF!),BDI!$B$17,IF(AND(#REF!="Padrão",$H$4=#REF!),BDI!#REF!,IF(AND(#REF!="Diferenciado",$H$4=#REF!),BDI!$E$17,IF(AND(#REF!="Diferenciado",$H$4=#REF!),BDI!#REF!,IF(#REF!="ZERO",0))))),"")</f>
        <v>#REF!</v>
      </c>
      <c r="H1292" s="138" t="e">
        <f t="shared" ref="H1292:H1296" ca="1" si="64">IF(ISNUMBER(E1292),ROUND(E1292*(1+G1292),2),"")</f>
        <v>#REF!</v>
      </c>
      <c r="I1292" s="136" t="e">
        <f t="shared" ref="I1292:I1296" ca="1" si="65">IF(ISNUMBER(E1292),ROUND(H1292*D1292,2),"")</f>
        <v>#REF!</v>
      </c>
    </row>
    <row r="1293" spans="1:9" hidden="1" x14ac:dyDescent="0.25">
      <c r="A1293" s="114" t="s">
        <v>3536</v>
      </c>
      <c r="B1293" s="115" t="s">
        <v>3589</v>
      </c>
      <c r="C1293" s="116" t="s">
        <v>20</v>
      </c>
      <c r="D1293" s="116">
        <v>0</v>
      </c>
      <c r="E1293" s="135">
        <f ca="1">OFFSET(INDEX(Composições!A:J,MATCH(Orçamentária!A1293,Composições!A:A,0),8),2,0)</f>
        <v>14.002049999999999</v>
      </c>
      <c r="F1293" s="136">
        <f t="shared" ca="1" si="63"/>
        <v>0</v>
      </c>
      <c r="G1293" s="137" t="e">
        <f>IF(A1293&lt;&gt;"",IF(AND(#REF!="Padrão",$H$4=#REF!),BDI!$B$17,IF(AND(#REF!="Padrão",$H$4=#REF!),BDI!#REF!,IF(AND(#REF!="Diferenciado",$H$4=#REF!),BDI!$E$17,IF(AND(#REF!="Diferenciado",$H$4=#REF!),BDI!#REF!,IF(#REF!="ZERO",0))))),"")</f>
        <v>#REF!</v>
      </c>
      <c r="H1293" s="138" t="e">
        <f t="shared" ca="1" si="64"/>
        <v>#REF!</v>
      </c>
      <c r="I1293" s="136" t="e">
        <f t="shared" ca="1" si="65"/>
        <v>#REF!</v>
      </c>
    </row>
    <row r="1294" spans="1:9" hidden="1" x14ac:dyDescent="0.25">
      <c r="A1294" s="114" t="s">
        <v>3537</v>
      </c>
      <c r="B1294" s="115" t="s">
        <v>3590</v>
      </c>
      <c r="C1294" s="116" t="s">
        <v>20</v>
      </c>
      <c r="D1294" s="116">
        <v>0</v>
      </c>
      <c r="E1294" s="135">
        <f ca="1">OFFSET(INDEX(Composições!A:J,MATCH(Orçamentária!A1294,Composições!A:A,0),8),2,0)</f>
        <v>102.4479449</v>
      </c>
      <c r="F1294" s="136">
        <f t="shared" ca="1" si="63"/>
        <v>0</v>
      </c>
      <c r="G1294" s="137" t="e">
        <f>IF(A1294&lt;&gt;"",IF(AND(#REF!="Padrão",$H$4=#REF!),BDI!$B$17,IF(AND(#REF!="Padrão",$H$4=#REF!),BDI!#REF!,IF(AND(#REF!="Diferenciado",$H$4=#REF!),BDI!$E$17,IF(AND(#REF!="Diferenciado",$H$4=#REF!),BDI!#REF!,IF(#REF!="ZERO",0))))),"")</f>
        <v>#REF!</v>
      </c>
      <c r="H1294" s="138" t="e">
        <f t="shared" ca="1" si="64"/>
        <v>#REF!</v>
      </c>
      <c r="I1294" s="136" t="e">
        <f t="shared" ca="1" si="65"/>
        <v>#REF!</v>
      </c>
    </row>
    <row r="1295" spans="1:9" hidden="1" x14ac:dyDescent="0.25">
      <c r="A1295" s="114" t="s">
        <v>3538</v>
      </c>
      <c r="B1295" s="115" t="s">
        <v>3591</v>
      </c>
      <c r="C1295" s="116" t="s">
        <v>20</v>
      </c>
      <c r="D1295" s="116">
        <v>0</v>
      </c>
      <c r="E1295" s="135" t="s">
        <v>558</v>
      </c>
      <c r="F1295" s="136" t="str">
        <f t="shared" si="63"/>
        <v/>
      </c>
      <c r="G1295" s="137" t="e">
        <f>IF(A1295&lt;&gt;"",IF(AND(#REF!="Padrão",$H$4=#REF!),BDI!$B$17,IF(AND(#REF!="Padrão",$H$4=#REF!),BDI!#REF!,IF(AND(#REF!="Diferenciado",$H$4=#REF!),BDI!$E$17,IF(AND(#REF!="Diferenciado",$H$4=#REF!),BDI!#REF!,IF(#REF!="ZERO",0))))),"")</f>
        <v>#REF!</v>
      </c>
      <c r="H1295" s="138" t="str">
        <f t="shared" si="64"/>
        <v/>
      </c>
      <c r="I1295" s="136" t="str">
        <f t="shared" si="65"/>
        <v/>
      </c>
    </row>
    <row r="1296" spans="1:9" hidden="1" x14ac:dyDescent="0.25">
      <c r="A1296" s="114" t="s">
        <v>3539</v>
      </c>
      <c r="B1296" s="115" t="s">
        <v>3781</v>
      </c>
      <c r="C1296" s="116" t="s">
        <v>95</v>
      </c>
      <c r="D1296" s="116">
        <v>0</v>
      </c>
      <c r="E1296" s="135" t="s">
        <v>558</v>
      </c>
      <c r="F1296" s="136" t="str">
        <f t="shared" si="63"/>
        <v/>
      </c>
      <c r="G1296" s="137" t="e">
        <f>IF(A1296&lt;&gt;"",IF(AND(#REF!="Padrão",$H$4=#REF!),BDI!$B$17,IF(AND(#REF!="Padrão",$H$4=#REF!),BDI!#REF!,IF(AND(#REF!="Diferenciado",$H$4=#REF!),BDI!$E$17,IF(AND(#REF!="Diferenciado",$H$4=#REF!),BDI!#REF!,IF(#REF!="ZERO",0))))),"")</f>
        <v>#REF!</v>
      </c>
      <c r="H1296" s="138" t="str">
        <f t="shared" si="64"/>
        <v/>
      </c>
      <c r="I1296" s="136" t="str">
        <f t="shared" si="65"/>
        <v/>
      </c>
    </row>
    <row r="1297" spans="1:9" hidden="1" x14ac:dyDescent="0.25">
      <c r="A1297" s="114" t="s">
        <v>3595</v>
      </c>
      <c r="B1297" s="115" t="s">
        <v>3592</v>
      </c>
      <c r="C1297" s="116" t="s">
        <v>20</v>
      </c>
      <c r="D1297" s="116">
        <v>0</v>
      </c>
      <c r="E1297" s="135" t="s">
        <v>558</v>
      </c>
      <c r="F1297" s="136" t="str">
        <f t="shared" ref="F1297:F1299" si="66">IF(ISNUMBER(E1297),D1297*E1297,"")</f>
        <v/>
      </c>
      <c r="G1297" s="137" t="e">
        <f>IF(A1297&lt;&gt;"",IF(AND(#REF!="Padrão",$H$4=#REF!),BDI!$B$17,IF(AND(#REF!="Padrão",$H$4=#REF!),BDI!#REF!,IF(AND(#REF!="Diferenciado",$H$4=#REF!),BDI!$E$17,IF(AND(#REF!="Diferenciado",$H$4=#REF!),BDI!#REF!,IF(#REF!="ZERO",0))))),"")</f>
        <v>#REF!</v>
      </c>
      <c r="H1297" s="138" t="str">
        <f t="shared" ref="H1297:H1299" si="67">IF(ISNUMBER(E1297),ROUND(E1297*(1+G1297),2),"")</f>
        <v/>
      </c>
      <c r="I1297" s="136" t="str">
        <f t="shared" ref="I1297:I1299" si="68">IF(ISNUMBER(E1297),ROUND(H1297*D1297,2),"")</f>
        <v/>
      </c>
    </row>
    <row r="1298" spans="1:9" hidden="1" x14ac:dyDescent="0.25">
      <c r="A1298" s="114" t="s">
        <v>3596</v>
      </c>
      <c r="B1298" s="115" t="s">
        <v>3593</v>
      </c>
      <c r="C1298" s="116" t="s">
        <v>20</v>
      </c>
      <c r="D1298" s="116">
        <v>0</v>
      </c>
      <c r="E1298" s="135" t="s">
        <v>558</v>
      </c>
      <c r="F1298" s="136" t="str">
        <f t="shared" si="66"/>
        <v/>
      </c>
      <c r="G1298" s="137" t="e">
        <f>IF(A1298&lt;&gt;"",IF(AND(#REF!="Padrão",$H$4=#REF!),BDI!$B$17,IF(AND(#REF!="Padrão",$H$4=#REF!),BDI!#REF!,IF(AND(#REF!="Diferenciado",$H$4=#REF!),BDI!$E$17,IF(AND(#REF!="Diferenciado",$H$4=#REF!),BDI!#REF!,IF(#REF!="ZERO",0))))),"")</f>
        <v>#REF!</v>
      </c>
      <c r="H1298" s="138" t="str">
        <f t="shared" si="67"/>
        <v/>
      </c>
      <c r="I1298" s="136" t="str">
        <f t="shared" si="68"/>
        <v/>
      </c>
    </row>
    <row r="1299" spans="1:9" hidden="1" x14ac:dyDescent="0.25">
      <c r="A1299" s="114" t="s">
        <v>3597</v>
      </c>
      <c r="B1299" s="115" t="s">
        <v>3594</v>
      </c>
      <c r="C1299" s="116" t="s">
        <v>20</v>
      </c>
      <c r="D1299" s="116">
        <v>0</v>
      </c>
      <c r="E1299" s="135" t="s">
        <v>558</v>
      </c>
      <c r="F1299" s="136" t="str">
        <f t="shared" si="66"/>
        <v/>
      </c>
      <c r="G1299" s="137" t="e">
        <f>IF(A1299&lt;&gt;"",IF(AND(#REF!="Padrão",$H$4=#REF!),BDI!$B$17,IF(AND(#REF!="Padrão",$H$4=#REF!),BDI!#REF!,IF(AND(#REF!="Diferenciado",$H$4=#REF!),BDI!$E$17,IF(AND(#REF!="Diferenciado",$H$4=#REF!),BDI!#REF!,IF(#REF!="ZERO",0))))),"")</f>
        <v>#REF!</v>
      </c>
      <c r="H1299" s="138" t="str">
        <f t="shared" si="67"/>
        <v/>
      </c>
      <c r="I1299" s="136" t="str">
        <f t="shared" si="68"/>
        <v/>
      </c>
    </row>
    <row r="1300" spans="1:9" hidden="1" x14ac:dyDescent="0.25">
      <c r="A1300" s="114" t="s">
        <v>3670</v>
      </c>
      <c r="B1300" s="115" t="s">
        <v>3671</v>
      </c>
      <c r="C1300" s="116" t="s">
        <v>95</v>
      </c>
      <c r="D1300" s="116">
        <v>0</v>
      </c>
      <c r="E1300" s="135">
        <f ca="1">OFFSET(INDEX(Composições!A:J,MATCH(Orçamentária!A1300,Composições!A:A,0),8),2,0)</f>
        <v>190.37402879761905</v>
      </c>
      <c r="F1300" s="136">
        <f t="shared" ref="F1300:F1343" ca="1" si="69">IF(ISNUMBER(E1300),D1300*E1300,"")</f>
        <v>0</v>
      </c>
      <c r="G1300" s="137" t="e">
        <f>IF(A1300&lt;&gt;"",IF(AND(#REF!="Padrão",$H$4=#REF!),BDI!$B$17,IF(AND(#REF!="Padrão",$H$4=#REF!),BDI!#REF!,IF(AND(#REF!="Diferenciado",$H$4=#REF!),BDI!$E$17,IF(AND(#REF!="Diferenciado",$H$4=#REF!),BDI!#REF!,IF(#REF!="ZERO",0))))),"")</f>
        <v>#REF!</v>
      </c>
      <c r="H1300" s="138" t="e">
        <f t="shared" ref="H1300:H1343" ca="1" si="70">IF(ISNUMBER(E1300),ROUND(E1300*(1+G1300),2),"")</f>
        <v>#REF!</v>
      </c>
      <c r="I1300" s="136" t="e">
        <f t="shared" ref="I1300:I1343" ca="1" si="71">IF(ISNUMBER(E1300),ROUND(H1300*D1300,2),"")</f>
        <v>#REF!</v>
      </c>
    </row>
    <row r="1301" spans="1:9" hidden="1" x14ac:dyDescent="0.25">
      <c r="A1301" s="114" t="s">
        <v>3672</v>
      </c>
      <c r="B1301" s="115" t="s">
        <v>3673</v>
      </c>
      <c r="C1301" s="116" t="s">
        <v>95</v>
      </c>
      <c r="D1301" s="116">
        <v>0</v>
      </c>
      <c r="E1301" s="135">
        <f ca="1">OFFSET(INDEX(Composições!A:J,MATCH(Orçamentária!A1301,Composições!A:A,0),8),2,0)</f>
        <v>203.78058459761903</v>
      </c>
      <c r="F1301" s="136">
        <f t="shared" ca="1" si="69"/>
        <v>0</v>
      </c>
      <c r="G1301" s="137" t="e">
        <f>IF(A1301&lt;&gt;"",IF(AND(#REF!="Padrão",$H$4=#REF!),BDI!$B$17,IF(AND(#REF!="Padrão",$H$4=#REF!),BDI!#REF!,IF(AND(#REF!="Diferenciado",$H$4=#REF!),BDI!$E$17,IF(AND(#REF!="Diferenciado",$H$4=#REF!),BDI!#REF!,IF(#REF!="ZERO",0))))),"")</f>
        <v>#REF!</v>
      </c>
      <c r="H1301" s="138" t="e">
        <f t="shared" ca="1" si="70"/>
        <v>#REF!</v>
      </c>
      <c r="I1301" s="136" t="e">
        <f t="shared" ca="1" si="71"/>
        <v>#REF!</v>
      </c>
    </row>
    <row r="1302" spans="1:9" ht="25.5" hidden="1" x14ac:dyDescent="0.25">
      <c r="A1302" s="114" t="s">
        <v>3674</v>
      </c>
      <c r="B1302" s="115" t="s">
        <v>3675</v>
      </c>
      <c r="C1302" s="116" t="s">
        <v>20</v>
      </c>
      <c r="D1302" s="116">
        <v>0</v>
      </c>
      <c r="E1302" s="135" t="s">
        <v>558</v>
      </c>
      <c r="F1302" s="136" t="str">
        <f t="shared" si="69"/>
        <v/>
      </c>
      <c r="G1302" s="137" t="e">
        <f>IF(A1302&lt;&gt;"",IF(AND(#REF!="Padrão",$H$4=#REF!),BDI!$B$17,IF(AND(#REF!="Padrão",$H$4=#REF!),BDI!#REF!,IF(AND(#REF!="Diferenciado",$H$4=#REF!),BDI!$E$17,IF(AND(#REF!="Diferenciado",$H$4=#REF!),BDI!#REF!,IF(#REF!="ZERO",0))))),"")</f>
        <v>#REF!</v>
      </c>
      <c r="H1302" s="138" t="str">
        <f t="shared" si="70"/>
        <v/>
      </c>
      <c r="I1302" s="136" t="str">
        <f t="shared" si="71"/>
        <v/>
      </c>
    </row>
    <row r="1303" spans="1:9" ht="25.5" hidden="1" x14ac:dyDescent="0.25">
      <c r="A1303" s="114" t="s">
        <v>3676</v>
      </c>
      <c r="B1303" s="115" t="s">
        <v>3677</v>
      </c>
      <c r="C1303" s="116" t="s">
        <v>20</v>
      </c>
      <c r="D1303" s="116">
        <v>0</v>
      </c>
      <c r="E1303" s="135" t="s">
        <v>558</v>
      </c>
      <c r="F1303" s="136" t="str">
        <f t="shared" si="69"/>
        <v/>
      </c>
      <c r="G1303" s="137" t="e">
        <f>IF(A1303&lt;&gt;"",IF(AND(#REF!="Padrão",$H$4=#REF!),BDI!$B$17,IF(AND(#REF!="Padrão",$H$4=#REF!),BDI!#REF!,IF(AND(#REF!="Diferenciado",$H$4=#REF!),BDI!$E$17,IF(AND(#REF!="Diferenciado",$H$4=#REF!),BDI!#REF!,IF(#REF!="ZERO",0))))),"")</f>
        <v>#REF!</v>
      </c>
      <c r="H1303" s="138" t="str">
        <f t="shared" si="70"/>
        <v/>
      </c>
      <c r="I1303" s="136" t="str">
        <f t="shared" si="71"/>
        <v/>
      </c>
    </row>
    <row r="1304" spans="1:9" ht="25.5" hidden="1" x14ac:dyDescent="0.25">
      <c r="A1304" s="114" t="s">
        <v>3678</v>
      </c>
      <c r="B1304" s="115" t="s">
        <v>3679</v>
      </c>
      <c r="C1304" s="116" t="s">
        <v>20</v>
      </c>
      <c r="D1304" s="116">
        <v>0</v>
      </c>
      <c r="E1304" s="135" t="s">
        <v>558</v>
      </c>
      <c r="F1304" s="136" t="str">
        <f t="shared" si="69"/>
        <v/>
      </c>
      <c r="G1304" s="137" t="e">
        <f>IF(A1304&lt;&gt;"",IF(AND(#REF!="Padrão",$H$4=#REF!),BDI!$B$17,IF(AND(#REF!="Padrão",$H$4=#REF!),BDI!#REF!,IF(AND(#REF!="Diferenciado",$H$4=#REF!),BDI!$E$17,IF(AND(#REF!="Diferenciado",$H$4=#REF!),BDI!#REF!,IF(#REF!="ZERO",0))))),"")</f>
        <v>#REF!</v>
      </c>
      <c r="H1304" s="138" t="str">
        <f t="shared" si="70"/>
        <v/>
      </c>
      <c r="I1304" s="136" t="str">
        <f t="shared" si="71"/>
        <v/>
      </c>
    </row>
    <row r="1305" spans="1:9" ht="25.5" hidden="1" x14ac:dyDescent="0.25">
      <c r="A1305" s="114" t="s">
        <v>3680</v>
      </c>
      <c r="B1305" s="115" t="s">
        <v>3681</v>
      </c>
      <c r="C1305" s="116" t="s">
        <v>20</v>
      </c>
      <c r="D1305" s="116">
        <v>0</v>
      </c>
      <c r="E1305" s="135" t="s">
        <v>558</v>
      </c>
      <c r="F1305" s="136" t="str">
        <f t="shared" si="69"/>
        <v/>
      </c>
      <c r="G1305" s="137" t="e">
        <f>IF(A1305&lt;&gt;"",IF(AND(#REF!="Padrão",$H$4=#REF!),BDI!$B$17,IF(AND(#REF!="Padrão",$H$4=#REF!),BDI!#REF!,IF(AND(#REF!="Diferenciado",$H$4=#REF!),BDI!$E$17,IF(AND(#REF!="Diferenciado",$H$4=#REF!),BDI!#REF!,IF(#REF!="ZERO",0))))),"")</f>
        <v>#REF!</v>
      </c>
      <c r="H1305" s="138" t="str">
        <f t="shared" si="70"/>
        <v/>
      </c>
      <c r="I1305" s="136" t="str">
        <f t="shared" si="71"/>
        <v/>
      </c>
    </row>
    <row r="1306" spans="1:9" ht="38.25" hidden="1" x14ac:dyDescent="0.25">
      <c r="A1306" s="114" t="s">
        <v>3682</v>
      </c>
      <c r="B1306" s="115" t="s">
        <v>3683</v>
      </c>
      <c r="C1306" s="116" t="s">
        <v>20</v>
      </c>
      <c r="D1306" s="116">
        <v>0</v>
      </c>
      <c r="E1306" s="135" t="s">
        <v>558</v>
      </c>
      <c r="F1306" s="136" t="str">
        <f t="shared" si="69"/>
        <v/>
      </c>
      <c r="G1306" s="137" t="e">
        <f>IF(A1306&lt;&gt;"",IF(AND(#REF!="Padrão",$H$4=#REF!),BDI!$B$17,IF(AND(#REF!="Padrão",$H$4=#REF!),BDI!#REF!,IF(AND(#REF!="Diferenciado",$H$4=#REF!),BDI!$E$17,IF(AND(#REF!="Diferenciado",$H$4=#REF!),BDI!#REF!,IF(#REF!="ZERO",0))))),"")</f>
        <v>#REF!</v>
      </c>
      <c r="H1306" s="138" t="str">
        <f t="shared" si="70"/>
        <v/>
      </c>
      <c r="I1306" s="136" t="str">
        <f t="shared" si="71"/>
        <v/>
      </c>
    </row>
    <row r="1307" spans="1:9" ht="25.5" hidden="1" x14ac:dyDescent="0.25">
      <c r="A1307" s="114" t="s">
        <v>3684</v>
      </c>
      <c r="B1307" s="115" t="s">
        <v>3685</v>
      </c>
      <c r="C1307" s="116" t="s">
        <v>20</v>
      </c>
      <c r="D1307" s="116">
        <v>0</v>
      </c>
      <c r="E1307" s="135" t="s">
        <v>558</v>
      </c>
      <c r="F1307" s="136" t="str">
        <f t="shared" si="69"/>
        <v/>
      </c>
      <c r="G1307" s="137" t="e">
        <f>IF(A1307&lt;&gt;"",IF(AND(#REF!="Padrão",$H$4=#REF!),BDI!$B$17,IF(AND(#REF!="Padrão",$H$4=#REF!),BDI!#REF!,IF(AND(#REF!="Diferenciado",$H$4=#REF!),BDI!$E$17,IF(AND(#REF!="Diferenciado",$H$4=#REF!),BDI!#REF!,IF(#REF!="ZERO",0))))),"")</f>
        <v>#REF!</v>
      </c>
      <c r="H1307" s="138" t="str">
        <f t="shared" si="70"/>
        <v/>
      </c>
      <c r="I1307" s="136" t="str">
        <f t="shared" si="71"/>
        <v/>
      </c>
    </row>
    <row r="1308" spans="1:9" ht="25.5" hidden="1" x14ac:dyDescent="0.25">
      <c r="A1308" s="114" t="s">
        <v>3686</v>
      </c>
      <c r="B1308" s="115" t="s">
        <v>3687</v>
      </c>
      <c r="C1308" s="116" t="s">
        <v>20</v>
      </c>
      <c r="D1308" s="116">
        <v>0</v>
      </c>
      <c r="E1308" s="135" t="s">
        <v>558</v>
      </c>
      <c r="F1308" s="136" t="str">
        <f t="shared" si="69"/>
        <v/>
      </c>
      <c r="G1308" s="137" t="e">
        <f>IF(A1308&lt;&gt;"",IF(AND(#REF!="Padrão",$H$4=#REF!),BDI!$B$17,IF(AND(#REF!="Padrão",$H$4=#REF!),BDI!#REF!,IF(AND(#REF!="Diferenciado",$H$4=#REF!),BDI!$E$17,IF(AND(#REF!="Diferenciado",$H$4=#REF!),BDI!#REF!,IF(#REF!="ZERO",0))))),"")</f>
        <v>#REF!</v>
      </c>
      <c r="H1308" s="138" t="str">
        <f t="shared" si="70"/>
        <v/>
      </c>
      <c r="I1308" s="136" t="str">
        <f t="shared" si="71"/>
        <v/>
      </c>
    </row>
    <row r="1309" spans="1:9" ht="38.25" hidden="1" x14ac:dyDescent="0.25">
      <c r="A1309" s="114" t="s">
        <v>3688</v>
      </c>
      <c r="B1309" s="115" t="s">
        <v>3689</v>
      </c>
      <c r="C1309" s="116" t="s">
        <v>20</v>
      </c>
      <c r="D1309" s="116">
        <v>0</v>
      </c>
      <c r="E1309" s="135" t="s">
        <v>558</v>
      </c>
      <c r="F1309" s="136" t="str">
        <f t="shared" si="69"/>
        <v/>
      </c>
      <c r="G1309" s="137" t="e">
        <f>IF(A1309&lt;&gt;"",IF(AND(#REF!="Padrão",$H$4=#REF!),BDI!$B$17,IF(AND(#REF!="Padrão",$H$4=#REF!),BDI!#REF!,IF(AND(#REF!="Diferenciado",$H$4=#REF!),BDI!$E$17,IF(AND(#REF!="Diferenciado",$H$4=#REF!),BDI!#REF!,IF(#REF!="ZERO",0))))),"")</f>
        <v>#REF!</v>
      </c>
      <c r="H1309" s="138" t="str">
        <f t="shared" si="70"/>
        <v/>
      </c>
      <c r="I1309" s="136" t="str">
        <f t="shared" si="71"/>
        <v/>
      </c>
    </row>
    <row r="1310" spans="1:9" ht="38.25" hidden="1" x14ac:dyDescent="0.25">
      <c r="A1310" s="114" t="s">
        <v>3690</v>
      </c>
      <c r="B1310" s="115" t="s">
        <v>3691</v>
      </c>
      <c r="C1310" s="116" t="s">
        <v>20</v>
      </c>
      <c r="D1310" s="116">
        <v>0</v>
      </c>
      <c r="E1310" s="135" t="s">
        <v>558</v>
      </c>
      <c r="F1310" s="136" t="str">
        <f t="shared" si="69"/>
        <v/>
      </c>
      <c r="G1310" s="137" t="e">
        <f>IF(A1310&lt;&gt;"",IF(AND(#REF!="Padrão",$H$4=#REF!),BDI!$B$17,IF(AND(#REF!="Padrão",$H$4=#REF!),BDI!#REF!,IF(AND(#REF!="Diferenciado",$H$4=#REF!),BDI!$E$17,IF(AND(#REF!="Diferenciado",$H$4=#REF!),BDI!#REF!,IF(#REF!="ZERO",0))))),"")</f>
        <v>#REF!</v>
      </c>
      <c r="H1310" s="138" t="str">
        <f t="shared" si="70"/>
        <v/>
      </c>
      <c r="I1310" s="136" t="str">
        <f t="shared" si="71"/>
        <v/>
      </c>
    </row>
    <row r="1311" spans="1:9" ht="25.5" hidden="1" x14ac:dyDescent="0.25">
      <c r="A1311" s="114" t="s">
        <v>3692</v>
      </c>
      <c r="B1311" s="115" t="s">
        <v>3693</v>
      </c>
      <c r="C1311" s="116" t="s">
        <v>20</v>
      </c>
      <c r="D1311" s="116">
        <v>0</v>
      </c>
      <c r="E1311" s="135" t="s">
        <v>558</v>
      </c>
      <c r="F1311" s="136" t="str">
        <f t="shared" si="69"/>
        <v/>
      </c>
      <c r="G1311" s="137" t="e">
        <f>IF(A1311&lt;&gt;"",IF(AND(#REF!="Padrão",$H$4=#REF!),BDI!$B$17,IF(AND(#REF!="Padrão",$H$4=#REF!),BDI!#REF!,IF(AND(#REF!="Diferenciado",$H$4=#REF!),BDI!$E$17,IF(AND(#REF!="Diferenciado",$H$4=#REF!),BDI!#REF!,IF(#REF!="ZERO",0))))),"")</f>
        <v>#REF!</v>
      </c>
      <c r="H1311" s="138" t="str">
        <f t="shared" si="70"/>
        <v/>
      </c>
      <c r="I1311" s="136" t="str">
        <f t="shared" si="71"/>
        <v/>
      </c>
    </row>
    <row r="1312" spans="1:9" ht="38.25" hidden="1" x14ac:dyDescent="0.25">
      <c r="A1312" s="114" t="s">
        <v>3694</v>
      </c>
      <c r="B1312" s="115" t="s">
        <v>3695</v>
      </c>
      <c r="C1312" s="116" t="s">
        <v>20</v>
      </c>
      <c r="D1312" s="116">
        <v>0</v>
      </c>
      <c r="E1312" s="135" t="s">
        <v>558</v>
      </c>
      <c r="F1312" s="136" t="str">
        <f t="shared" si="69"/>
        <v/>
      </c>
      <c r="G1312" s="137" t="e">
        <f>IF(A1312&lt;&gt;"",IF(AND(#REF!="Padrão",$H$4=#REF!),BDI!$B$17,IF(AND(#REF!="Padrão",$H$4=#REF!),BDI!#REF!,IF(AND(#REF!="Diferenciado",$H$4=#REF!),BDI!$E$17,IF(AND(#REF!="Diferenciado",$H$4=#REF!),BDI!#REF!,IF(#REF!="ZERO",0))))),"")</f>
        <v>#REF!</v>
      </c>
      <c r="H1312" s="138" t="str">
        <f t="shared" si="70"/>
        <v/>
      </c>
      <c r="I1312" s="136" t="str">
        <f t="shared" si="71"/>
        <v/>
      </c>
    </row>
    <row r="1313" spans="1:9" ht="25.5" hidden="1" x14ac:dyDescent="0.25">
      <c r="A1313" s="114" t="s">
        <v>3696</v>
      </c>
      <c r="B1313" s="115" t="s">
        <v>3697</v>
      </c>
      <c r="C1313" s="116" t="s">
        <v>20</v>
      </c>
      <c r="D1313" s="116">
        <v>0</v>
      </c>
      <c r="E1313" s="135" t="s">
        <v>558</v>
      </c>
      <c r="F1313" s="136" t="str">
        <f t="shared" si="69"/>
        <v/>
      </c>
      <c r="G1313" s="137" t="e">
        <f>IF(A1313&lt;&gt;"",IF(AND(#REF!="Padrão",$H$4=#REF!),BDI!$B$17,IF(AND(#REF!="Padrão",$H$4=#REF!),BDI!#REF!,IF(AND(#REF!="Diferenciado",$H$4=#REF!),BDI!$E$17,IF(AND(#REF!="Diferenciado",$H$4=#REF!),BDI!#REF!,IF(#REF!="ZERO",0))))),"")</f>
        <v>#REF!</v>
      </c>
      <c r="H1313" s="138" t="str">
        <f t="shared" si="70"/>
        <v/>
      </c>
      <c r="I1313" s="136" t="str">
        <f t="shared" si="71"/>
        <v/>
      </c>
    </row>
    <row r="1314" spans="1:9" ht="38.25" hidden="1" x14ac:dyDescent="0.25">
      <c r="A1314" s="114" t="s">
        <v>3698</v>
      </c>
      <c r="B1314" s="115" t="s">
        <v>3699</v>
      </c>
      <c r="C1314" s="116" t="s">
        <v>20</v>
      </c>
      <c r="D1314" s="116">
        <v>0</v>
      </c>
      <c r="E1314" s="135" t="s">
        <v>558</v>
      </c>
      <c r="F1314" s="136" t="str">
        <f t="shared" si="69"/>
        <v/>
      </c>
      <c r="G1314" s="137" t="e">
        <f>IF(A1314&lt;&gt;"",IF(AND(#REF!="Padrão",$H$4=#REF!),BDI!$B$17,IF(AND(#REF!="Padrão",$H$4=#REF!),BDI!#REF!,IF(AND(#REF!="Diferenciado",$H$4=#REF!),BDI!$E$17,IF(AND(#REF!="Diferenciado",$H$4=#REF!),BDI!#REF!,IF(#REF!="ZERO",0))))),"")</f>
        <v>#REF!</v>
      </c>
      <c r="H1314" s="138" t="str">
        <f t="shared" si="70"/>
        <v/>
      </c>
      <c r="I1314" s="136" t="str">
        <f t="shared" si="71"/>
        <v/>
      </c>
    </row>
    <row r="1315" spans="1:9" hidden="1" x14ac:dyDescent="0.25">
      <c r="A1315" s="114" t="s">
        <v>3700</v>
      </c>
      <c r="B1315" s="115" t="s">
        <v>3701</v>
      </c>
      <c r="C1315" s="116" t="s">
        <v>20</v>
      </c>
      <c r="D1315" s="116">
        <v>0</v>
      </c>
      <c r="E1315" s="135">
        <f ca="1">OFFSET(INDEX(Composições!A:J,MATCH(Orçamentária!A1315,Composições!A:A,0),8),2,0)</f>
        <v>36.788940000000004</v>
      </c>
      <c r="F1315" s="136">
        <f t="shared" ca="1" si="69"/>
        <v>0</v>
      </c>
      <c r="G1315" s="137" t="e">
        <f>IF(A1315&lt;&gt;"",IF(AND(#REF!="Padrão",$H$4=#REF!),BDI!$B$17,IF(AND(#REF!="Padrão",$H$4=#REF!),BDI!#REF!,IF(AND(#REF!="Diferenciado",$H$4=#REF!),BDI!$E$17,IF(AND(#REF!="Diferenciado",$H$4=#REF!),BDI!#REF!,IF(#REF!="ZERO",0))))),"")</f>
        <v>#REF!</v>
      </c>
      <c r="H1315" s="138" t="e">
        <f t="shared" ca="1" si="70"/>
        <v>#REF!</v>
      </c>
      <c r="I1315" s="136" t="e">
        <f t="shared" ca="1" si="71"/>
        <v>#REF!</v>
      </c>
    </row>
    <row r="1316" spans="1:9" hidden="1" x14ac:dyDescent="0.25">
      <c r="A1316" s="114" t="s">
        <v>3702</v>
      </c>
      <c r="B1316" s="115" t="s">
        <v>3703</v>
      </c>
      <c r="C1316" s="116" t="s">
        <v>20</v>
      </c>
      <c r="D1316" s="116">
        <v>0</v>
      </c>
      <c r="E1316" s="135">
        <f ca="1">OFFSET(INDEX(Composições!A:J,MATCH(Orçamentária!A1316,Composições!A:A,0),8),2,0)</f>
        <v>77.994461349999995</v>
      </c>
      <c r="F1316" s="136">
        <f t="shared" ca="1" si="69"/>
        <v>0</v>
      </c>
      <c r="G1316" s="137" t="e">
        <f>IF(A1316&lt;&gt;"",IF(AND(#REF!="Padrão",$H$4=#REF!),BDI!$B$17,IF(AND(#REF!="Padrão",$H$4=#REF!),BDI!#REF!,IF(AND(#REF!="Diferenciado",$H$4=#REF!),BDI!$E$17,IF(AND(#REF!="Diferenciado",$H$4=#REF!),BDI!#REF!,IF(#REF!="ZERO",0))))),"")</f>
        <v>#REF!</v>
      </c>
      <c r="H1316" s="138" t="e">
        <f t="shared" ca="1" si="70"/>
        <v>#REF!</v>
      </c>
      <c r="I1316" s="136" t="e">
        <f t="shared" ca="1" si="71"/>
        <v>#REF!</v>
      </c>
    </row>
    <row r="1317" spans="1:9" hidden="1" x14ac:dyDescent="0.25">
      <c r="A1317" s="114" t="s">
        <v>3704</v>
      </c>
      <c r="B1317" s="115" t="s">
        <v>3705</v>
      </c>
      <c r="C1317" s="116" t="s">
        <v>20</v>
      </c>
      <c r="D1317" s="116">
        <v>0</v>
      </c>
      <c r="E1317" s="135">
        <f ca="1">OFFSET(INDEX(Composições!A:J,MATCH(Orçamentária!A1317,Composições!A:A,0),8),2,0)</f>
        <v>77.994461349999995</v>
      </c>
      <c r="F1317" s="136">
        <f t="shared" ca="1" si="69"/>
        <v>0</v>
      </c>
      <c r="G1317" s="137" t="e">
        <f>IF(A1317&lt;&gt;"",IF(AND(#REF!="Padrão",$H$4=#REF!),BDI!$B$17,IF(AND(#REF!="Padrão",$H$4=#REF!),BDI!#REF!,IF(AND(#REF!="Diferenciado",$H$4=#REF!),BDI!$E$17,IF(AND(#REF!="Diferenciado",$H$4=#REF!),BDI!#REF!,IF(#REF!="ZERO",0))))),"")</f>
        <v>#REF!</v>
      </c>
      <c r="H1317" s="138" t="e">
        <f t="shared" ca="1" si="70"/>
        <v>#REF!</v>
      </c>
      <c r="I1317" s="136" t="e">
        <f t="shared" ca="1" si="71"/>
        <v>#REF!</v>
      </c>
    </row>
    <row r="1318" spans="1:9" hidden="1" x14ac:dyDescent="0.25">
      <c r="A1318" s="114" t="s">
        <v>3706</v>
      </c>
      <c r="B1318" s="115" t="s">
        <v>3707</v>
      </c>
      <c r="C1318" s="116" t="s">
        <v>20</v>
      </c>
      <c r="D1318" s="116">
        <v>0</v>
      </c>
      <c r="E1318" s="135">
        <f ca="1">OFFSET(INDEX(Composições!A:J,MATCH(Orçamentária!A1318,Composições!A:A,0),8),2,0)</f>
        <v>77.994461349999995</v>
      </c>
      <c r="F1318" s="136">
        <f t="shared" ca="1" si="69"/>
        <v>0</v>
      </c>
      <c r="G1318" s="137" t="e">
        <f>IF(A1318&lt;&gt;"",IF(AND(#REF!="Padrão",$H$4=#REF!),BDI!$B$17,IF(AND(#REF!="Padrão",$H$4=#REF!),BDI!#REF!,IF(AND(#REF!="Diferenciado",$H$4=#REF!),BDI!$E$17,IF(AND(#REF!="Diferenciado",$H$4=#REF!),BDI!#REF!,IF(#REF!="ZERO",0))))),"")</f>
        <v>#REF!</v>
      </c>
      <c r="H1318" s="138" t="e">
        <f t="shared" ca="1" si="70"/>
        <v>#REF!</v>
      </c>
      <c r="I1318" s="136" t="e">
        <f t="shared" ca="1" si="71"/>
        <v>#REF!</v>
      </c>
    </row>
    <row r="1319" spans="1:9" hidden="1" x14ac:dyDescent="0.25">
      <c r="A1319" s="114" t="s">
        <v>3708</v>
      </c>
      <c r="B1319" s="115" t="s">
        <v>3709</v>
      </c>
      <c r="C1319" s="116" t="s">
        <v>20</v>
      </c>
      <c r="D1319" s="116">
        <v>0</v>
      </c>
      <c r="E1319" s="135">
        <f ca="1">OFFSET(INDEX(Composições!A:J,MATCH(Orçamentária!A1319,Composições!A:A,0),8),2,0)</f>
        <v>89.993609250000006</v>
      </c>
      <c r="F1319" s="136">
        <f t="shared" ca="1" si="69"/>
        <v>0</v>
      </c>
      <c r="G1319" s="137" t="e">
        <f>IF(A1319&lt;&gt;"",IF(AND(#REF!="Padrão",$H$4=#REF!),BDI!$B$17,IF(AND(#REF!="Padrão",$H$4=#REF!),BDI!#REF!,IF(AND(#REF!="Diferenciado",$H$4=#REF!),BDI!$E$17,IF(AND(#REF!="Diferenciado",$H$4=#REF!),BDI!#REF!,IF(#REF!="ZERO",0))))),"")</f>
        <v>#REF!</v>
      </c>
      <c r="H1319" s="138" t="e">
        <f t="shared" ca="1" si="70"/>
        <v>#REF!</v>
      </c>
      <c r="I1319" s="136" t="e">
        <f t="shared" ca="1" si="71"/>
        <v>#REF!</v>
      </c>
    </row>
    <row r="1320" spans="1:9" hidden="1" x14ac:dyDescent="0.25">
      <c r="A1320" s="114" t="s">
        <v>3710</v>
      </c>
      <c r="B1320" s="115" t="s">
        <v>3711</v>
      </c>
      <c r="C1320" s="116" t="s">
        <v>20</v>
      </c>
      <c r="D1320" s="116">
        <v>0</v>
      </c>
      <c r="E1320" s="135">
        <f ca="1">OFFSET(INDEX(Composições!A:J,MATCH(Orçamentária!A1320,Composições!A:A,0),8),2,0)</f>
        <v>15.506736</v>
      </c>
      <c r="F1320" s="136">
        <f t="shared" ca="1" si="69"/>
        <v>0</v>
      </c>
      <c r="G1320" s="137" t="e">
        <f>IF(A1320&lt;&gt;"",IF(AND(#REF!="Padrão",$H$4=#REF!),BDI!$B$17,IF(AND(#REF!="Padrão",$H$4=#REF!),BDI!#REF!,IF(AND(#REF!="Diferenciado",$H$4=#REF!),BDI!$E$17,IF(AND(#REF!="Diferenciado",$H$4=#REF!),BDI!#REF!,IF(#REF!="ZERO",0))))),"")</f>
        <v>#REF!</v>
      </c>
      <c r="H1320" s="138" t="e">
        <f t="shared" ca="1" si="70"/>
        <v>#REF!</v>
      </c>
      <c r="I1320" s="136" t="e">
        <f t="shared" ca="1" si="71"/>
        <v>#REF!</v>
      </c>
    </row>
    <row r="1321" spans="1:9" hidden="1" x14ac:dyDescent="0.25">
      <c r="A1321" s="114" t="s">
        <v>3712</v>
      </c>
      <c r="B1321" s="115" t="s">
        <v>3713</v>
      </c>
      <c r="C1321" s="116" t="s">
        <v>20</v>
      </c>
      <c r="D1321" s="116">
        <v>0</v>
      </c>
      <c r="E1321" s="135">
        <f ca="1">OFFSET(INDEX(Composições!A:J,MATCH(Orçamentária!A1321,Composições!A:A,0),8),2,0)</f>
        <v>77.994461349999995</v>
      </c>
      <c r="F1321" s="136">
        <f t="shared" ca="1" si="69"/>
        <v>0</v>
      </c>
      <c r="G1321" s="137" t="e">
        <f>IF(A1321&lt;&gt;"",IF(AND(#REF!="Padrão",$H$4=#REF!),BDI!$B$17,IF(AND(#REF!="Padrão",$H$4=#REF!),BDI!#REF!,IF(AND(#REF!="Diferenciado",$H$4=#REF!),BDI!$E$17,IF(AND(#REF!="Diferenciado",$H$4=#REF!),BDI!#REF!,IF(#REF!="ZERO",0))))),"")</f>
        <v>#REF!</v>
      </c>
      <c r="H1321" s="138" t="e">
        <f t="shared" ca="1" si="70"/>
        <v>#REF!</v>
      </c>
      <c r="I1321" s="136" t="e">
        <f t="shared" ca="1" si="71"/>
        <v>#REF!</v>
      </c>
    </row>
    <row r="1322" spans="1:9" hidden="1" x14ac:dyDescent="0.25">
      <c r="A1322" s="114" t="s">
        <v>3714</v>
      </c>
      <c r="B1322" s="115" t="s">
        <v>3715</v>
      </c>
      <c r="C1322" s="116" t="s">
        <v>93</v>
      </c>
      <c r="D1322" s="116">
        <v>0</v>
      </c>
      <c r="E1322" s="135">
        <f ca="1">OFFSET(INDEX(Composições!A:J,MATCH(Orçamentária!A1322,Composições!A:A,0),8),2,0)</f>
        <v>3.7975680000000001</v>
      </c>
      <c r="F1322" s="136">
        <f t="shared" ca="1" si="69"/>
        <v>0</v>
      </c>
      <c r="G1322" s="137" t="e">
        <f>IF(A1322&lt;&gt;"",IF(AND(#REF!="Padrão",$H$4=#REF!),BDI!$B$17,IF(AND(#REF!="Padrão",$H$4=#REF!),BDI!#REF!,IF(AND(#REF!="Diferenciado",$H$4=#REF!),BDI!$E$17,IF(AND(#REF!="Diferenciado",$H$4=#REF!),BDI!#REF!,IF(#REF!="ZERO",0))))),"")</f>
        <v>#REF!</v>
      </c>
      <c r="H1322" s="138" t="e">
        <f t="shared" ca="1" si="70"/>
        <v>#REF!</v>
      </c>
      <c r="I1322" s="136" t="e">
        <f t="shared" ca="1" si="71"/>
        <v>#REF!</v>
      </c>
    </row>
    <row r="1323" spans="1:9" hidden="1" x14ac:dyDescent="0.25">
      <c r="A1323" s="114" t="s">
        <v>3716</v>
      </c>
      <c r="B1323" s="115" t="s">
        <v>3717</v>
      </c>
      <c r="C1323" s="116" t="s">
        <v>20</v>
      </c>
      <c r="D1323" s="116">
        <v>0</v>
      </c>
      <c r="E1323" s="135">
        <f ca="1">OFFSET(INDEX(Composições!A:J,MATCH(Orçamentária!A1323,Composições!A:A,0),8),2,0)</f>
        <v>7.3196835</v>
      </c>
      <c r="F1323" s="136">
        <f t="shared" ca="1" si="69"/>
        <v>0</v>
      </c>
      <c r="G1323" s="137" t="e">
        <f>IF(A1323&lt;&gt;"",IF(AND(#REF!="Padrão",$H$4=#REF!),BDI!$B$17,IF(AND(#REF!="Padrão",$H$4=#REF!),BDI!#REF!,IF(AND(#REF!="Diferenciado",$H$4=#REF!),BDI!$E$17,IF(AND(#REF!="Diferenciado",$H$4=#REF!),BDI!#REF!,IF(#REF!="ZERO",0))))),"")</f>
        <v>#REF!</v>
      </c>
      <c r="H1323" s="138" t="e">
        <f t="shared" ca="1" si="70"/>
        <v>#REF!</v>
      </c>
      <c r="I1323" s="136" t="e">
        <f t="shared" ca="1" si="71"/>
        <v>#REF!</v>
      </c>
    </row>
    <row r="1324" spans="1:9" ht="25.5" hidden="1" x14ac:dyDescent="0.25">
      <c r="A1324" s="114" t="s">
        <v>3718</v>
      </c>
      <c r="B1324" s="115" t="s">
        <v>3719</v>
      </c>
      <c r="C1324" s="116" t="s">
        <v>20</v>
      </c>
      <c r="D1324" s="116">
        <v>0</v>
      </c>
      <c r="E1324" s="135">
        <f ca="1">OFFSET(INDEX(Composições!A:J,MATCH(Orçamentária!A1324,Composições!A:A,0),8),2,0)</f>
        <v>52.695733349999998</v>
      </c>
      <c r="F1324" s="136">
        <f t="shared" ca="1" si="69"/>
        <v>0</v>
      </c>
      <c r="G1324" s="137" t="e">
        <f>IF(A1324&lt;&gt;"",IF(AND(#REF!="Padrão",$H$4=#REF!),BDI!$B$17,IF(AND(#REF!="Padrão",$H$4=#REF!),BDI!#REF!,IF(AND(#REF!="Diferenciado",$H$4=#REF!),BDI!$E$17,IF(AND(#REF!="Diferenciado",$H$4=#REF!),BDI!#REF!,IF(#REF!="ZERO",0))))),"")</f>
        <v>#REF!</v>
      </c>
      <c r="H1324" s="138" t="e">
        <f t="shared" ca="1" si="70"/>
        <v>#REF!</v>
      </c>
      <c r="I1324" s="136" t="e">
        <f t="shared" ca="1" si="71"/>
        <v>#REF!</v>
      </c>
    </row>
    <row r="1325" spans="1:9" hidden="1" x14ac:dyDescent="0.25">
      <c r="A1325" s="114" t="s">
        <v>3720</v>
      </c>
      <c r="B1325" s="115" t="s">
        <v>3721</v>
      </c>
      <c r="C1325" s="116" t="s">
        <v>20</v>
      </c>
      <c r="D1325" s="116">
        <v>0</v>
      </c>
      <c r="E1325" s="135" t="s">
        <v>558</v>
      </c>
      <c r="F1325" s="136" t="str">
        <f t="shared" si="69"/>
        <v/>
      </c>
      <c r="G1325" s="137" t="e">
        <f>IF(A1325&lt;&gt;"",IF(AND(#REF!="Padrão",$H$4=#REF!),BDI!$B$17,IF(AND(#REF!="Padrão",$H$4=#REF!),BDI!#REF!,IF(AND(#REF!="Diferenciado",$H$4=#REF!),BDI!$E$17,IF(AND(#REF!="Diferenciado",$H$4=#REF!),BDI!#REF!,IF(#REF!="ZERO",0))))),"")</f>
        <v>#REF!</v>
      </c>
      <c r="H1325" s="138" t="str">
        <f t="shared" si="70"/>
        <v/>
      </c>
      <c r="I1325" s="136" t="str">
        <f t="shared" si="71"/>
        <v/>
      </c>
    </row>
    <row r="1326" spans="1:9" hidden="1" x14ac:dyDescent="0.25">
      <c r="A1326" s="114" t="s">
        <v>3722</v>
      </c>
      <c r="B1326" s="115" t="s">
        <v>3723</v>
      </c>
      <c r="C1326" s="116" t="s">
        <v>20</v>
      </c>
      <c r="D1326" s="116">
        <v>0</v>
      </c>
      <c r="E1326" s="135" t="s">
        <v>558</v>
      </c>
      <c r="F1326" s="136" t="str">
        <f t="shared" si="69"/>
        <v/>
      </c>
      <c r="G1326" s="137" t="e">
        <f>IF(A1326&lt;&gt;"",IF(AND(#REF!="Padrão",$H$4=#REF!),BDI!$B$17,IF(AND(#REF!="Padrão",$H$4=#REF!),BDI!#REF!,IF(AND(#REF!="Diferenciado",$H$4=#REF!),BDI!$E$17,IF(AND(#REF!="Diferenciado",$H$4=#REF!),BDI!#REF!,IF(#REF!="ZERO",0))))),"")</f>
        <v>#REF!</v>
      </c>
      <c r="H1326" s="138" t="str">
        <f t="shared" si="70"/>
        <v/>
      </c>
      <c r="I1326" s="136" t="str">
        <f t="shared" si="71"/>
        <v/>
      </c>
    </row>
    <row r="1327" spans="1:9" hidden="1" x14ac:dyDescent="0.25">
      <c r="A1327" s="114" t="s">
        <v>3724</v>
      </c>
      <c r="B1327" s="115" t="s">
        <v>3725</v>
      </c>
      <c r="C1327" s="116" t="s">
        <v>20</v>
      </c>
      <c r="D1327" s="116">
        <v>0</v>
      </c>
      <c r="E1327" s="135" t="s">
        <v>558</v>
      </c>
      <c r="F1327" s="136" t="str">
        <f t="shared" si="69"/>
        <v/>
      </c>
      <c r="G1327" s="137" t="e">
        <f>IF(A1327&lt;&gt;"",IF(AND(#REF!="Padrão",$H$4=#REF!),BDI!$B$17,IF(AND(#REF!="Padrão",$H$4=#REF!),BDI!#REF!,IF(AND(#REF!="Diferenciado",$H$4=#REF!),BDI!$E$17,IF(AND(#REF!="Diferenciado",$H$4=#REF!),BDI!#REF!,IF(#REF!="ZERO",0))))),"")</f>
        <v>#REF!</v>
      </c>
      <c r="H1327" s="138" t="str">
        <f t="shared" si="70"/>
        <v/>
      </c>
      <c r="I1327" s="136" t="str">
        <f t="shared" si="71"/>
        <v/>
      </c>
    </row>
    <row r="1328" spans="1:9" hidden="1" x14ac:dyDescent="0.25">
      <c r="A1328" s="114" t="s">
        <v>3726</v>
      </c>
      <c r="B1328" s="115" t="s">
        <v>3727</v>
      </c>
      <c r="C1328" s="116" t="s">
        <v>20</v>
      </c>
      <c r="D1328" s="116">
        <v>0</v>
      </c>
      <c r="E1328" s="135" t="s">
        <v>558</v>
      </c>
      <c r="F1328" s="136" t="str">
        <f t="shared" si="69"/>
        <v/>
      </c>
      <c r="G1328" s="137" t="e">
        <f>IF(A1328&lt;&gt;"",IF(AND(#REF!="Padrão",$H$4=#REF!),BDI!$B$17,IF(AND(#REF!="Padrão",$H$4=#REF!),BDI!#REF!,IF(AND(#REF!="Diferenciado",$H$4=#REF!),BDI!$E$17,IF(AND(#REF!="Diferenciado",$H$4=#REF!),BDI!#REF!,IF(#REF!="ZERO",0))))),"")</f>
        <v>#REF!</v>
      </c>
      <c r="H1328" s="138" t="str">
        <f t="shared" si="70"/>
        <v/>
      </c>
      <c r="I1328" s="136" t="str">
        <f t="shared" si="71"/>
        <v/>
      </c>
    </row>
    <row r="1329" spans="1:9" hidden="1" x14ac:dyDescent="0.25">
      <c r="A1329" s="114" t="s">
        <v>3728</v>
      </c>
      <c r="B1329" s="115" t="s">
        <v>3729</v>
      </c>
      <c r="C1329" s="116" t="s">
        <v>20</v>
      </c>
      <c r="D1329" s="116">
        <v>0</v>
      </c>
      <c r="E1329" s="135" t="s">
        <v>558</v>
      </c>
      <c r="F1329" s="136" t="str">
        <f t="shared" si="69"/>
        <v/>
      </c>
      <c r="G1329" s="137" t="e">
        <f>IF(A1329&lt;&gt;"",IF(AND(#REF!="Padrão",$H$4=#REF!),BDI!$B$17,IF(AND(#REF!="Padrão",$H$4=#REF!),BDI!#REF!,IF(AND(#REF!="Diferenciado",$H$4=#REF!),BDI!$E$17,IF(AND(#REF!="Diferenciado",$H$4=#REF!),BDI!#REF!,IF(#REF!="ZERO",0))))),"")</f>
        <v>#REF!</v>
      </c>
      <c r="H1329" s="138" t="str">
        <f t="shared" si="70"/>
        <v/>
      </c>
      <c r="I1329" s="136" t="str">
        <f t="shared" si="71"/>
        <v/>
      </c>
    </row>
    <row r="1330" spans="1:9" hidden="1" x14ac:dyDescent="0.25">
      <c r="A1330" s="114" t="s">
        <v>3730</v>
      </c>
      <c r="B1330" s="115" t="s">
        <v>3731</v>
      </c>
      <c r="C1330" s="116" t="s">
        <v>20</v>
      </c>
      <c r="D1330" s="116">
        <v>0</v>
      </c>
      <c r="E1330" s="135">
        <f ca="1">OFFSET(INDEX(Composições!A:J,MATCH(Orçamentária!A1330,Composições!A:A,0),8),2,0)</f>
        <v>81.643293549999996</v>
      </c>
      <c r="F1330" s="136">
        <f t="shared" ca="1" si="69"/>
        <v>0</v>
      </c>
      <c r="G1330" s="137" t="e">
        <f>IF(A1330&lt;&gt;"",IF(AND(#REF!="Padrão",$H$4=#REF!),BDI!$B$17,IF(AND(#REF!="Padrão",$H$4=#REF!),BDI!#REF!,IF(AND(#REF!="Diferenciado",$H$4=#REF!),BDI!$E$17,IF(AND(#REF!="Diferenciado",$H$4=#REF!),BDI!#REF!,IF(#REF!="ZERO",0))))),"")</f>
        <v>#REF!</v>
      </c>
      <c r="H1330" s="138" t="e">
        <f t="shared" ca="1" si="70"/>
        <v>#REF!</v>
      </c>
      <c r="I1330" s="136" t="e">
        <f t="shared" ca="1" si="71"/>
        <v>#REF!</v>
      </c>
    </row>
    <row r="1331" spans="1:9" hidden="1" x14ac:dyDescent="0.25">
      <c r="A1331" s="114" t="s">
        <v>3732</v>
      </c>
      <c r="B1331" s="115" t="s">
        <v>3733</v>
      </c>
      <c r="C1331" s="116" t="s">
        <v>93</v>
      </c>
      <c r="D1331" s="116">
        <v>0</v>
      </c>
      <c r="E1331" s="135">
        <f ca="1">OFFSET(INDEX(Composições!A:J,MATCH(Orçamentária!A1331,Composições!A:A,0),8),2,0)</f>
        <v>474.12277855000002</v>
      </c>
      <c r="F1331" s="136">
        <f t="shared" ca="1" si="69"/>
        <v>0</v>
      </c>
      <c r="G1331" s="137" t="e">
        <f>IF(A1331&lt;&gt;"",IF(AND(#REF!="Padrão",$H$4=#REF!),BDI!$B$17,IF(AND(#REF!="Padrão",$H$4=#REF!),BDI!#REF!,IF(AND(#REF!="Diferenciado",$H$4=#REF!),BDI!$E$17,IF(AND(#REF!="Diferenciado",$H$4=#REF!),BDI!#REF!,IF(#REF!="ZERO",0))))),"")</f>
        <v>#REF!</v>
      </c>
      <c r="H1331" s="138" t="e">
        <f t="shared" ca="1" si="70"/>
        <v>#REF!</v>
      </c>
      <c r="I1331" s="136" t="e">
        <f t="shared" ca="1" si="71"/>
        <v>#REF!</v>
      </c>
    </row>
    <row r="1332" spans="1:9" hidden="1" x14ac:dyDescent="0.25">
      <c r="A1332" s="114" t="s">
        <v>3734</v>
      </c>
      <c r="B1332" s="115" t="s">
        <v>3735</v>
      </c>
      <c r="C1332" s="116" t="s">
        <v>93</v>
      </c>
      <c r="D1332" s="116">
        <v>0</v>
      </c>
      <c r="E1332" s="135">
        <f ca="1">OFFSET(INDEX(Composições!A:J,MATCH(Orçamentária!A1332,Composições!A:A,0),8),2,0)</f>
        <v>795.16510975000006</v>
      </c>
      <c r="F1332" s="136">
        <f t="shared" ca="1" si="69"/>
        <v>0</v>
      </c>
      <c r="G1332" s="137" t="e">
        <f>IF(A1332&lt;&gt;"",IF(AND(#REF!="Padrão",$H$4=#REF!),BDI!$B$17,IF(AND(#REF!="Padrão",$H$4=#REF!),BDI!#REF!,IF(AND(#REF!="Diferenciado",$H$4=#REF!),BDI!$E$17,IF(AND(#REF!="Diferenciado",$H$4=#REF!),BDI!#REF!,IF(#REF!="ZERO",0))))),"")</f>
        <v>#REF!</v>
      </c>
      <c r="H1332" s="138" t="e">
        <f t="shared" ca="1" si="70"/>
        <v>#REF!</v>
      </c>
      <c r="I1332" s="136" t="e">
        <f t="shared" ca="1" si="71"/>
        <v>#REF!</v>
      </c>
    </row>
    <row r="1333" spans="1:9" hidden="1" x14ac:dyDescent="0.25">
      <c r="A1333" s="114" t="s">
        <v>3736</v>
      </c>
      <c r="B1333" s="115" t="s">
        <v>3737</v>
      </c>
      <c r="C1333" s="116" t="s">
        <v>20</v>
      </c>
      <c r="D1333" s="116">
        <v>0</v>
      </c>
      <c r="E1333" s="135">
        <f ca="1">OFFSET(INDEX(Composições!A:J,MATCH(Orçamentária!A1333,Composições!A:A,0),8),2,0)</f>
        <v>74.97241824999999</v>
      </c>
      <c r="F1333" s="136">
        <f t="shared" ca="1" si="69"/>
        <v>0</v>
      </c>
      <c r="G1333" s="137" t="e">
        <f>IF(A1333&lt;&gt;"",IF(AND(#REF!="Padrão",$H$4=#REF!),BDI!$B$17,IF(AND(#REF!="Padrão",$H$4=#REF!),BDI!#REF!,IF(AND(#REF!="Diferenciado",$H$4=#REF!),BDI!$E$17,IF(AND(#REF!="Diferenciado",$H$4=#REF!),BDI!#REF!,IF(#REF!="ZERO",0))))),"")</f>
        <v>#REF!</v>
      </c>
      <c r="H1333" s="138" t="e">
        <f t="shared" ca="1" si="70"/>
        <v>#REF!</v>
      </c>
      <c r="I1333" s="136" t="e">
        <f t="shared" ca="1" si="71"/>
        <v>#REF!</v>
      </c>
    </row>
    <row r="1334" spans="1:9" hidden="1" x14ac:dyDescent="0.25">
      <c r="A1334" s="114" t="s">
        <v>3738</v>
      </c>
      <c r="B1334" s="115" t="s">
        <v>3739</v>
      </c>
      <c r="C1334" s="116" t="s">
        <v>20</v>
      </c>
      <c r="D1334" s="116">
        <v>0</v>
      </c>
      <c r="E1334" s="135">
        <f ca="1">OFFSET(INDEX(Composições!A:J,MATCH(Orçamentária!A1334,Composições!A:A,0),8),2,0)</f>
        <v>34.236109499999998</v>
      </c>
      <c r="F1334" s="136">
        <f t="shared" ca="1" si="69"/>
        <v>0</v>
      </c>
      <c r="G1334" s="137" t="e">
        <f>IF(A1334&lt;&gt;"",IF(AND(#REF!="Padrão",$H$4=#REF!),BDI!$B$17,IF(AND(#REF!="Padrão",$H$4=#REF!),BDI!#REF!,IF(AND(#REF!="Diferenciado",$H$4=#REF!),BDI!$E$17,IF(AND(#REF!="Diferenciado",$H$4=#REF!),BDI!#REF!,IF(#REF!="ZERO",0))))),"")</f>
        <v>#REF!</v>
      </c>
      <c r="H1334" s="138" t="e">
        <f t="shared" ca="1" si="70"/>
        <v>#REF!</v>
      </c>
      <c r="I1334" s="136" t="e">
        <f t="shared" ca="1" si="71"/>
        <v>#REF!</v>
      </c>
    </row>
    <row r="1335" spans="1:9" hidden="1" x14ac:dyDescent="0.25">
      <c r="A1335" s="114" t="s">
        <v>3740</v>
      </c>
      <c r="B1335" s="115" t="s">
        <v>3741</v>
      </c>
      <c r="C1335" s="116" t="s">
        <v>20</v>
      </c>
      <c r="D1335" s="116">
        <v>0</v>
      </c>
      <c r="E1335" s="135" t="s">
        <v>558</v>
      </c>
      <c r="F1335" s="136" t="str">
        <f t="shared" si="69"/>
        <v/>
      </c>
      <c r="G1335" s="137" t="e">
        <f>IF(A1335&lt;&gt;"",IF(AND(#REF!="Padrão",$H$4=#REF!),BDI!$B$17,IF(AND(#REF!="Padrão",$H$4=#REF!),BDI!#REF!,IF(AND(#REF!="Diferenciado",$H$4=#REF!),BDI!$E$17,IF(AND(#REF!="Diferenciado",$H$4=#REF!),BDI!#REF!,IF(#REF!="ZERO",0))))),"")</f>
        <v>#REF!</v>
      </c>
      <c r="H1335" s="138" t="str">
        <f t="shared" si="70"/>
        <v/>
      </c>
      <c r="I1335" s="136" t="str">
        <f t="shared" si="71"/>
        <v/>
      </c>
    </row>
    <row r="1336" spans="1:9" hidden="1" x14ac:dyDescent="0.25">
      <c r="A1336" s="114" t="s">
        <v>3742</v>
      </c>
      <c r="B1336" s="115" t="s">
        <v>3743</v>
      </c>
      <c r="C1336" s="116" t="s">
        <v>93</v>
      </c>
      <c r="D1336" s="116">
        <v>0</v>
      </c>
      <c r="E1336" s="135">
        <f ca="1">OFFSET(INDEX(Composições!A:J,MATCH(Orçamentária!A1336,Composições!A:A,0),8),2,0)</f>
        <v>2.8936277999999995</v>
      </c>
      <c r="F1336" s="136">
        <f t="shared" ca="1" si="69"/>
        <v>0</v>
      </c>
      <c r="G1336" s="137" t="e">
        <f>IF(A1336&lt;&gt;"",IF(AND(#REF!="Padrão",$H$4=#REF!),BDI!$B$17,IF(AND(#REF!="Padrão",$H$4=#REF!),BDI!#REF!,IF(AND(#REF!="Diferenciado",$H$4=#REF!),BDI!$E$17,IF(AND(#REF!="Diferenciado",$H$4=#REF!),BDI!#REF!,IF(#REF!="ZERO",0))))),"")</f>
        <v>#REF!</v>
      </c>
      <c r="H1336" s="138" t="e">
        <f t="shared" ca="1" si="70"/>
        <v>#REF!</v>
      </c>
      <c r="I1336" s="136" t="e">
        <f t="shared" ca="1" si="71"/>
        <v>#REF!</v>
      </c>
    </row>
    <row r="1337" spans="1:9" hidden="1" x14ac:dyDescent="0.25">
      <c r="A1337" s="114" t="s">
        <v>3744</v>
      </c>
      <c r="B1337" s="115" t="s">
        <v>3745</v>
      </c>
      <c r="C1337" s="116" t="s">
        <v>93</v>
      </c>
      <c r="D1337" s="116">
        <v>0</v>
      </c>
      <c r="E1337" s="135">
        <f ca="1">OFFSET(INDEX(Composições!A:J,MATCH(Orçamentária!A1337,Composições!A:A,0),8),2,0)</f>
        <v>5.6488823999999997</v>
      </c>
      <c r="F1337" s="136">
        <f t="shared" ca="1" si="69"/>
        <v>0</v>
      </c>
      <c r="G1337" s="137" t="e">
        <f>IF(A1337&lt;&gt;"",IF(AND(#REF!="Padrão",$H$4=#REF!),BDI!$B$17,IF(AND(#REF!="Padrão",$H$4=#REF!),BDI!#REF!,IF(AND(#REF!="Diferenciado",$H$4=#REF!),BDI!$E$17,IF(AND(#REF!="Diferenciado",$H$4=#REF!),BDI!#REF!,IF(#REF!="ZERO",0))))),"")</f>
        <v>#REF!</v>
      </c>
      <c r="H1337" s="138" t="e">
        <f t="shared" ca="1" si="70"/>
        <v>#REF!</v>
      </c>
      <c r="I1337" s="136" t="e">
        <f t="shared" ca="1" si="71"/>
        <v>#REF!</v>
      </c>
    </row>
    <row r="1338" spans="1:9" hidden="1" x14ac:dyDescent="0.25">
      <c r="A1338" s="114" t="s">
        <v>3746</v>
      </c>
      <c r="B1338" s="115" t="s">
        <v>6529</v>
      </c>
      <c r="C1338" s="116" t="s">
        <v>93</v>
      </c>
      <c r="D1338" s="116">
        <v>0</v>
      </c>
      <c r="E1338" s="135">
        <f ca="1">OFFSET(INDEX(Composições!A:J,MATCH(Orçamentária!A1338,Composições!A:A,0),8),2,0)</f>
        <v>11.4536845</v>
      </c>
      <c r="F1338" s="136">
        <f t="shared" ca="1" si="69"/>
        <v>0</v>
      </c>
      <c r="G1338" s="137" t="e">
        <f>IF(A1338&lt;&gt;"",IF(AND(#REF!="Padrão",$H$4=#REF!),BDI!$B$17,IF(AND(#REF!="Padrão",$H$4=#REF!),BDI!#REF!,IF(AND(#REF!="Diferenciado",$H$4=#REF!),BDI!$E$17,IF(AND(#REF!="Diferenciado",$H$4=#REF!),BDI!#REF!,IF(#REF!="ZERO",0))))),"")</f>
        <v>#REF!</v>
      </c>
      <c r="H1338" s="138" t="e">
        <f t="shared" ca="1" si="70"/>
        <v>#REF!</v>
      </c>
      <c r="I1338" s="136" t="e">
        <f t="shared" ca="1" si="71"/>
        <v>#REF!</v>
      </c>
    </row>
    <row r="1339" spans="1:9" hidden="1" x14ac:dyDescent="0.25">
      <c r="A1339" s="114" t="s">
        <v>3748</v>
      </c>
      <c r="B1339" s="115" t="s">
        <v>3749</v>
      </c>
      <c r="C1339" s="116" t="s">
        <v>20</v>
      </c>
      <c r="D1339" s="116">
        <v>0</v>
      </c>
      <c r="E1339" s="135">
        <f ca="1">OFFSET(INDEX(Composições!A:J,MATCH(Orçamentária!A1339,Composições!A:A,0),8),2,0)</f>
        <v>1663.9838983179959</v>
      </c>
      <c r="F1339" s="136">
        <f t="shared" ca="1" si="69"/>
        <v>0</v>
      </c>
      <c r="G1339" s="137" t="e">
        <f>IF(A1339&lt;&gt;"",IF(AND(#REF!="Padrão",$H$4=#REF!),BDI!$B$17,IF(AND(#REF!="Padrão",$H$4=#REF!),BDI!#REF!,IF(AND(#REF!="Diferenciado",$H$4=#REF!),BDI!$E$17,IF(AND(#REF!="Diferenciado",$H$4=#REF!),BDI!#REF!,IF(#REF!="ZERO",0))))),"")</f>
        <v>#REF!</v>
      </c>
      <c r="H1339" s="138" t="e">
        <f t="shared" ca="1" si="70"/>
        <v>#REF!</v>
      </c>
      <c r="I1339" s="136" t="e">
        <f t="shared" ca="1" si="71"/>
        <v>#REF!</v>
      </c>
    </row>
    <row r="1340" spans="1:9" hidden="1" x14ac:dyDescent="0.25">
      <c r="A1340" s="114" t="s">
        <v>3750</v>
      </c>
      <c r="B1340" s="115" t="s">
        <v>3751</v>
      </c>
      <c r="C1340" s="116" t="s">
        <v>20</v>
      </c>
      <c r="D1340" s="116">
        <v>0</v>
      </c>
      <c r="E1340" s="135">
        <f ca="1">OFFSET(INDEX(Composições!A:J,MATCH(Orçamentária!A1340,Composições!A:A,0),8),2,0)</f>
        <v>5273.6900000000005</v>
      </c>
      <c r="F1340" s="136">
        <f t="shared" ca="1" si="69"/>
        <v>0</v>
      </c>
      <c r="G1340" s="137" t="e">
        <f>IF(A1340&lt;&gt;"",IF(AND(#REF!="Padrão",$H$4=#REF!),BDI!$B$17,IF(AND(#REF!="Padrão",$H$4=#REF!),BDI!#REF!,IF(AND(#REF!="Diferenciado",$H$4=#REF!),BDI!$E$17,IF(AND(#REF!="Diferenciado",$H$4=#REF!),BDI!#REF!,IF(#REF!="ZERO",0))))),"")</f>
        <v>#REF!</v>
      </c>
      <c r="H1340" s="138" t="e">
        <f t="shared" ca="1" si="70"/>
        <v>#REF!</v>
      </c>
      <c r="I1340" s="136" t="e">
        <f t="shared" ca="1" si="71"/>
        <v>#REF!</v>
      </c>
    </row>
    <row r="1341" spans="1:9" hidden="1" x14ac:dyDescent="0.25">
      <c r="A1341" s="114" t="s">
        <v>3752</v>
      </c>
      <c r="B1341" s="115" t="s">
        <v>3753</v>
      </c>
      <c r="C1341" s="116" t="s">
        <v>93</v>
      </c>
      <c r="D1341" s="116">
        <v>0</v>
      </c>
      <c r="E1341" s="135">
        <f ca="1">OFFSET(INDEX(Composições!A:J,MATCH(Orçamentária!A1341,Composições!A:A,0),8),2,0)</f>
        <v>11.35839</v>
      </c>
      <c r="F1341" s="136">
        <f t="shared" ca="1" si="69"/>
        <v>0</v>
      </c>
      <c r="G1341" s="137" t="e">
        <f>IF(A1341&lt;&gt;"",IF(AND(#REF!="Padrão",$H$4=#REF!),BDI!$B$17,IF(AND(#REF!="Padrão",$H$4=#REF!),BDI!#REF!,IF(AND(#REF!="Diferenciado",$H$4=#REF!),BDI!$E$17,IF(AND(#REF!="Diferenciado",$H$4=#REF!),BDI!#REF!,IF(#REF!="ZERO",0))))),"")</f>
        <v>#REF!</v>
      </c>
      <c r="H1341" s="138" t="e">
        <f t="shared" ca="1" si="70"/>
        <v>#REF!</v>
      </c>
      <c r="I1341" s="136" t="e">
        <f t="shared" ca="1" si="71"/>
        <v>#REF!</v>
      </c>
    </row>
    <row r="1342" spans="1:9" hidden="1" x14ac:dyDescent="0.25">
      <c r="A1342" s="114" t="s">
        <v>3754</v>
      </c>
      <c r="B1342" s="115" t="s">
        <v>3755</v>
      </c>
      <c r="C1342" s="116" t="s">
        <v>93</v>
      </c>
      <c r="D1342" s="116">
        <v>0</v>
      </c>
      <c r="E1342" s="135" t="s">
        <v>558</v>
      </c>
      <c r="F1342" s="136" t="str">
        <f t="shared" si="69"/>
        <v/>
      </c>
      <c r="G1342" s="137" t="e">
        <f>IF(A1342&lt;&gt;"",IF(AND(#REF!="Padrão",$H$4=#REF!),BDI!$B$17,IF(AND(#REF!="Padrão",$H$4=#REF!),BDI!#REF!,IF(AND(#REF!="Diferenciado",$H$4=#REF!),BDI!$E$17,IF(AND(#REF!="Diferenciado",$H$4=#REF!),BDI!#REF!,IF(#REF!="ZERO",0))))),"")</f>
        <v>#REF!</v>
      </c>
      <c r="H1342" s="138" t="str">
        <f t="shared" si="70"/>
        <v/>
      </c>
      <c r="I1342" s="136" t="str">
        <f t="shared" si="71"/>
        <v/>
      </c>
    </row>
    <row r="1343" spans="1:9" hidden="1" x14ac:dyDescent="0.25">
      <c r="A1343" s="114" t="s">
        <v>3756</v>
      </c>
      <c r="B1343" s="115" t="s">
        <v>3757</v>
      </c>
      <c r="C1343" s="116" t="s">
        <v>93</v>
      </c>
      <c r="D1343" s="116">
        <v>0</v>
      </c>
      <c r="E1343" s="135" t="s">
        <v>558</v>
      </c>
      <c r="F1343" s="136" t="str">
        <f t="shared" si="69"/>
        <v/>
      </c>
      <c r="G1343" s="137" t="e">
        <f>IF(A1343&lt;&gt;"",IF(AND(#REF!="Padrão",$H$4=#REF!),BDI!$B$17,IF(AND(#REF!="Padrão",$H$4=#REF!),BDI!#REF!,IF(AND(#REF!="Diferenciado",$H$4=#REF!),BDI!$E$17,IF(AND(#REF!="Diferenciado",$H$4=#REF!),BDI!#REF!,IF(#REF!="ZERO",0))))),"")</f>
        <v>#REF!</v>
      </c>
      <c r="H1343" s="138" t="str">
        <f t="shared" si="70"/>
        <v/>
      </c>
      <c r="I1343" s="136" t="str">
        <f t="shared" si="71"/>
        <v/>
      </c>
    </row>
    <row r="1344" spans="1:9" hidden="1" x14ac:dyDescent="0.25">
      <c r="A1344" s="114" t="s">
        <v>3758</v>
      </c>
      <c r="B1344" s="115" t="s">
        <v>3759</v>
      </c>
      <c r="C1344" s="116" t="s">
        <v>20</v>
      </c>
      <c r="D1344" s="116">
        <v>0</v>
      </c>
      <c r="E1344" s="135">
        <f ca="1">OFFSET(INDEX(Composições!A:J,MATCH(Orçamentária!A1344,Composições!A:A,0),8),2,0)</f>
        <v>806.99819988030731</v>
      </c>
      <c r="F1344" s="136">
        <f t="shared" ref="F1344" ca="1" si="72">IF(ISNUMBER(E1344),D1344*E1344,"")</f>
        <v>0</v>
      </c>
      <c r="G1344" s="137" t="e">
        <f>IF(A1344&lt;&gt;"",IF(AND(#REF!="Padrão",$H$4=#REF!),BDI!$B$17,IF(AND(#REF!="Padrão",$H$4=#REF!),BDI!#REF!,IF(AND(#REF!="Diferenciado",$H$4=#REF!),BDI!$E$17,IF(AND(#REF!="Diferenciado",$H$4=#REF!),BDI!#REF!,IF(#REF!="ZERO",0))))),"")</f>
        <v>#REF!</v>
      </c>
      <c r="H1344" s="138" t="e">
        <f t="shared" ref="H1344" ca="1" si="73">IF(ISNUMBER(E1344),ROUND(E1344*(1+G1344),2),"")</f>
        <v>#REF!</v>
      </c>
      <c r="I1344" s="136" t="e">
        <f t="shared" ref="I1344" ca="1" si="74">IF(ISNUMBER(E1344),ROUND(H1344*D1344,2),"")</f>
        <v>#REF!</v>
      </c>
    </row>
    <row r="1345" spans="1:9" hidden="1" x14ac:dyDescent="0.25">
      <c r="A1345" s="114" t="s">
        <v>3797</v>
      </c>
      <c r="B1345" s="115" t="s">
        <v>3798</v>
      </c>
      <c r="C1345" s="116" t="s">
        <v>20</v>
      </c>
      <c r="D1345" s="116">
        <v>0</v>
      </c>
      <c r="E1345" s="135" t="s">
        <v>558</v>
      </c>
      <c r="F1345" s="136" t="str">
        <f t="shared" ref="F1345:F1349" si="75">IF(ISNUMBER(E1345),D1345*E1345,"")</f>
        <v/>
      </c>
      <c r="G1345" s="137" t="e">
        <f>IF(A1345&lt;&gt;"",IF(AND(#REF!="Padrão",$H$4=#REF!),BDI!$B$17,IF(AND(#REF!="Padrão",$H$4=#REF!),BDI!#REF!,IF(AND(#REF!="Diferenciado",$H$4=#REF!),BDI!$E$17,IF(AND(#REF!="Diferenciado",$H$4=#REF!),BDI!#REF!,IF(#REF!="ZERO",0))))),"")</f>
        <v>#REF!</v>
      </c>
      <c r="H1345" s="138" t="str">
        <f t="shared" ref="H1345:H1349" si="76">IF(ISNUMBER(E1345),ROUND(E1345*(1+G1345),2),"")</f>
        <v/>
      </c>
      <c r="I1345" s="136" t="str">
        <f t="shared" ref="I1345:I1349" si="77">IF(ISNUMBER(E1345),ROUND(H1345*D1345,2),"")</f>
        <v/>
      </c>
    </row>
    <row r="1346" spans="1:9" hidden="1" x14ac:dyDescent="0.25">
      <c r="A1346" s="114" t="s">
        <v>3799</v>
      </c>
      <c r="B1346" s="115" t="s">
        <v>3800</v>
      </c>
      <c r="C1346" s="116" t="s">
        <v>20</v>
      </c>
      <c r="D1346" s="116">
        <v>0</v>
      </c>
      <c r="E1346" s="135" t="s">
        <v>558</v>
      </c>
      <c r="F1346" s="136" t="str">
        <f t="shared" si="75"/>
        <v/>
      </c>
      <c r="G1346" s="137" t="e">
        <f>IF(A1346&lt;&gt;"",IF(AND(#REF!="Padrão",$H$4=#REF!),BDI!$B$17,IF(AND(#REF!="Padrão",$H$4=#REF!),BDI!#REF!,IF(AND(#REF!="Diferenciado",$H$4=#REF!),BDI!$E$17,IF(AND(#REF!="Diferenciado",$H$4=#REF!),BDI!#REF!,IF(#REF!="ZERO",0))))),"")</f>
        <v>#REF!</v>
      </c>
      <c r="H1346" s="138" t="str">
        <f t="shared" si="76"/>
        <v/>
      </c>
      <c r="I1346" s="136" t="str">
        <f t="shared" si="77"/>
        <v/>
      </c>
    </row>
    <row r="1347" spans="1:9" hidden="1" x14ac:dyDescent="0.25">
      <c r="A1347" s="114" t="s">
        <v>3801</v>
      </c>
      <c r="B1347" s="115" t="s">
        <v>6430</v>
      </c>
      <c r="C1347" s="116" t="s">
        <v>93</v>
      </c>
      <c r="D1347" s="116">
        <v>0</v>
      </c>
      <c r="E1347" s="135">
        <f ca="1">OFFSET(INDEX(Composições!A:J,MATCH(Orçamentária!A1347,Composições!A:A,0),8),2,0)</f>
        <v>26.773487100000001</v>
      </c>
      <c r="F1347" s="136">
        <f t="shared" ca="1" si="75"/>
        <v>0</v>
      </c>
      <c r="G1347" s="137" t="e">
        <f>IF(A1347&lt;&gt;"",IF(AND(#REF!="Padrão",$H$4=#REF!),BDI!$B$17,IF(AND(#REF!="Padrão",$H$4=#REF!),BDI!#REF!,IF(AND(#REF!="Diferenciado",$H$4=#REF!),BDI!$E$17,IF(AND(#REF!="Diferenciado",$H$4=#REF!),BDI!#REF!,IF(#REF!="ZERO",0))))),"")</f>
        <v>#REF!</v>
      </c>
      <c r="H1347" s="138" t="e">
        <f t="shared" ca="1" si="76"/>
        <v>#REF!</v>
      </c>
      <c r="I1347" s="136" t="e">
        <f t="shared" ca="1" si="77"/>
        <v>#REF!</v>
      </c>
    </row>
    <row r="1348" spans="1:9" hidden="1" x14ac:dyDescent="0.25">
      <c r="A1348" s="114" t="s">
        <v>3802</v>
      </c>
      <c r="B1348" s="115" t="s">
        <v>6431</v>
      </c>
      <c r="C1348" s="116" t="s">
        <v>93</v>
      </c>
      <c r="D1348" s="116">
        <v>0</v>
      </c>
      <c r="E1348" s="135">
        <f ca="1">OFFSET(INDEX(Composições!A:J,MATCH(Orçamentária!A1348,Composições!A:A,0),8),2,0)</f>
        <v>35.665191649999997</v>
      </c>
      <c r="F1348" s="136">
        <f t="shared" ca="1" si="75"/>
        <v>0</v>
      </c>
      <c r="G1348" s="137" t="e">
        <f>IF(A1348&lt;&gt;"",IF(AND(#REF!="Padrão",$H$4=#REF!),BDI!$B$17,IF(AND(#REF!="Padrão",$H$4=#REF!),BDI!#REF!,IF(AND(#REF!="Diferenciado",$H$4=#REF!),BDI!$E$17,IF(AND(#REF!="Diferenciado",$H$4=#REF!),BDI!#REF!,IF(#REF!="ZERO",0))))),"")</f>
        <v>#REF!</v>
      </c>
      <c r="H1348" s="138" t="e">
        <f t="shared" ca="1" si="76"/>
        <v>#REF!</v>
      </c>
      <c r="I1348" s="136" t="e">
        <f t="shared" ca="1" si="77"/>
        <v>#REF!</v>
      </c>
    </row>
    <row r="1349" spans="1:9" hidden="1" x14ac:dyDescent="0.25">
      <c r="A1349" s="114" t="s">
        <v>3803</v>
      </c>
      <c r="B1349" s="115" t="s">
        <v>6432</v>
      </c>
      <c r="C1349" s="116" t="s">
        <v>20</v>
      </c>
      <c r="D1349" s="116">
        <v>0</v>
      </c>
      <c r="E1349" s="135" t="s">
        <v>558</v>
      </c>
      <c r="F1349" s="136" t="str">
        <f t="shared" si="75"/>
        <v/>
      </c>
      <c r="G1349" s="137" t="e">
        <f>IF(A1349&lt;&gt;"",IF(AND(#REF!="Padrão",$H$4=#REF!),BDI!$B$17,IF(AND(#REF!="Padrão",$H$4=#REF!),BDI!#REF!,IF(AND(#REF!="Diferenciado",$H$4=#REF!),BDI!$E$17,IF(AND(#REF!="Diferenciado",$H$4=#REF!),BDI!#REF!,IF(#REF!="ZERO",0))))),"")</f>
        <v>#REF!</v>
      </c>
      <c r="H1349" s="138" t="str">
        <f t="shared" si="76"/>
        <v/>
      </c>
      <c r="I1349" s="136" t="str">
        <f t="shared" si="77"/>
        <v/>
      </c>
    </row>
    <row r="1350" spans="1:9" hidden="1" x14ac:dyDescent="0.25">
      <c r="A1350" s="114" t="s">
        <v>3804</v>
      </c>
      <c r="B1350" s="115" t="s">
        <v>3806</v>
      </c>
      <c r="C1350" s="116" t="s">
        <v>20</v>
      </c>
      <c r="D1350" s="116">
        <v>0</v>
      </c>
      <c r="E1350" s="135" t="s">
        <v>558</v>
      </c>
      <c r="F1350" s="136" t="str">
        <f t="shared" ref="F1350:F1384" si="78">IF(ISNUMBER(E1350),D1350*E1350,"")</f>
        <v/>
      </c>
      <c r="G1350" s="137" t="e">
        <f>IF(A1350&lt;&gt;"",IF(AND(#REF!="Padrão",$H$4=#REF!),BDI!$B$17,IF(AND(#REF!="Padrão",$H$4=#REF!),BDI!#REF!,IF(AND(#REF!="Diferenciado",$H$4=#REF!),BDI!$E$17,IF(AND(#REF!="Diferenciado",$H$4=#REF!),BDI!#REF!,IF(#REF!="ZERO",0))))),"")</f>
        <v>#REF!</v>
      </c>
      <c r="H1350" s="138" t="str">
        <f t="shared" ref="H1350:H1384" si="79">IF(ISNUMBER(E1350),ROUND(E1350*(1+G1350),2),"")</f>
        <v/>
      </c>
      <c r="I1350" s="136" t="str">
        <f t="shared" ref="I1350:I1384" si="80">IF(ISNUMBER(E1350),ROUND(H1350*D1350,2),"")</f>
        <v/>
      </c>
    </row>
    <row r="1351" spans="1:9" hidden="1" x14ac:dyDescent="0.25">
      <c r="A1351" s="114" t="s">
        <v>3805</v>
      </c>
      <c r="B1351" s="115" t="s">
        <v>6433</v>
      </c>
      <c r="C1351" s="116" t="s">
        <v>20</v>
      </c>
      <c r="D1351" s="116">
        <v>0</v>
      </c>
      <c r="E1351" s="135" t="s">
        <v>558</v>
      </c>
      <c r="F1351" s="136" t="str">
        <f t="shared" si="78"/>
        <v/>
      </c>
      <c r="G1351" s="137" t="e">
        <f>IF(A1351&lt;&gt;"",IF(AND(#REF!="Padrão",$H$4=#REF!),BDI!$B$17,IF(AND(#REF!="Padrão",$H$4=#REF!),BDI!#REF!,IF(AND(#REF!="Diferenciado",$H$4=#REF!),BDI!$E$17,IF(AND(#REF!="Diferenciado",$H$4=#REF!),BDI!#REF!,IF(#REF!="ZERO",0))))),"")</f>
        <v>#REF!</v>
      </c>
      <c r="H1351" s="138" t="str">
        <f t="shared" si="79"/>
        <v/>
      </c>
      <c r="I1351" s="136" t="str">
        <f t="shared" si="80"/>
        <v/>
      </c>
    </row>
    <row r="1352" spans="1:9" hidden="1" x14ac:dyDescent="0.25">
      <c r="A1352" s="114" t="s">
        <v>3851</v>
      </c>
      <c r="B1352" s="115" t="s">
        <v>3883</v>
      </c>
      <c r="C1352" s="116" t="s">
        <v>20</v>
      </c>
      <c r="D1352" s="116">
        <v>0</v>
      </c>
      <c r="E1352" s="135">
        <f ca="1">OFFSET(INDEX(Composições!A:J,MATCH(Orçamentária!A1352,Composições!A:A,0),8),2,0)</f>
        <v>5.4413169000000003</v>
      </c>
      <c r="F1352" s="136">
        <f t="shared" ref="F1352:F1383" ca="1" si="81">IF(ISNUMBER(E1352),D1352*E1352,"")</f>
        <v>0</v>
      </c>
      <c r="G1352" s="137" t="e">
        <f>IF(A1352&lt;&gt;"",IF(AND(#REF!="Padrão",$H$4=#REF!),BDI!$B$17,IF(AND(#REF!="Padrão",$H$4=#REF!),BDI!#REF!,IF(AND(#REF!="Diferenciado",$H$4=#REF!),BDI!$E$17,IF(AND(#REF!="Diferenciado",$H$4=#REF!),BDI!#REF!,IF(#REF!="ZERO",0))))),"")</f>
        <v>#REF!</v>
      </c>
      <c r="H1352" s="138" t="e">
        <f t="shared" ref="H1352:H1383" ca="1" si="82">IF(ISNUMBER(E1352),ROUND(E1352*(1+G1352),2),"")</f>
        <v>#REF!</v>
      </c>
      <c r="I1352" s="136" t="e">
        <f t="shared" ref="I1352:I1383" ca="1" si="83">IF(ISNUMBER(E1352),ROUND(H1352*D1352,2),"")</f>
        <v>#REF!</v>
      </c>
    </row>
    <row r="1353" spans="1:9" hidden="1" x14ac:dyDescent="0.25">
      <c r="A1353" s="114" t="s">
        <v>3852</v>
      </c>
      <c r="B1353" s="115" t="s">
        <v>3884</v>
      </c>
      <c r="C1353" s="116" t="s">
        <v>93</v>
      </c>
      <c r="D1353" s="116">
        <v>0</v>
      </c>
      <c r="E1353" s="135">
        <f ca="1">OFFSET(INDEX(Composições!A:J,MATCH(Orçamentária!A1353,Composições!A:A,0),8),2,0)</f>
        <v>0.11395439999999998</v>
      </c>
      <c r="F1353" s="136">
        <f t="shared" ca="1" si="81"/>
        <v>0</v>
      </c>
      <c r="G1353" s="137" t="e">
        <f>IF(A1353&lt;&gt;"",IF(AND(#REF!="Padrão",$H$4=#REF!),BDI!$B$17,IF(AND(#REF!="Padrão",$H$4=#REF!),BDI!#REF!,IF(AND(#REF!="Diferenciado",$H$4=#REF!),BDI!$E$17,IF(AND(#REF!="Diferenciado",$H$4=#REF!),BDI!#REF!,IF(#REF!="ZERO",0))))),"")</f>
        <v>#REF!</v>
      </c>
      <c r="H1353" s="138" t="e">
        <f t="shared" ca="1" si="82"/>
        <v>#REF!</v>
      </c>
      <c r="I1353" s="136" t="e">
        <f t="shared" ca="1" si="83"/>
        <v>#REF!</v>
      </c>
    </row>
    <row r="1354" spans="1:9" hidden="1" x14ac:dyDescent="0.25">
      <c r="A1354" s="114" t="s">
        <v>3853</v>
      </c>
      <c r="B1354" s="115" t="s">
        <v>3885</v>
      </c>
      <c r="C1354" s="116" t="s">
        <v>93</v>
      </c>
      <c r="D1354" s="116">
        <v>0</v>
      </c>
      <c r="E1354" s="135">
        <f ca="1">OFFSET(INDEX(Composições!A:J,MATCH(Orçamentária!A1354,Composições!A:A,0),8),2,0)</f>
        <v>2.8936277999999995</v>
      </c>
      <c r="F1354" s="136">
        <f t="shared" ca="1" si="81"/>
        <v>0</v>
      </c>
      <c r="G1354" s="137" t="e">
        <f>IF(A1354&lt;&gt;"",IF(AND(#REF!="Padrão",$H$4=#REF!),BDI!$B$17,IF(AND(#REF!="Padrão",$H$4=#REF!),BDI!#REF!,IF(AND(#REF!="Diferenciado",$H$4=#REF!),BDI!$E$17,IF(AND(#REF!="Diferenciado",$H$4=#REF!),BDI!#REF!,IF(#REF!="ZERO",0))))),"")</f>
        <v>#REF!</v>
      </c>
      <c r="H1354" s="138" t="e">
        <f t="shared" ca="1" si="82"/>
        <v>#REF!</v>
      </c>
      <c r="I1354" s="136" t="e">
        <f t="shared" ca="1" si="83"/>
        <v>#REF!</v>
      </c>
    </row>
    <row r="1355" spans="1:9" hidden="1" x14ac:dyDescent="0.25">
      <c r="A1355" s="114" t="s">
        <v>3854</v>
      </c>
      <c r="B1355" s="115" t="s">
        <v>3886</v>
      </c>
      <c r="C1355" s="116" t="s">
        <v>93</v>
      </c>
      <c r="D1355" s="116">
        <v>0</v>
      </c>
      <c r="E1355" s="135">
        <f ca="1">OFFSET(INDEX(Composições!A:J,MATCH(Orçamentária!A1355,Composições!A:A,0),8),2,0)</f>
        <v>0.11395439999999998</v>
      </c>
      <c r="F1355" s="136">
        <f t="shared" ca="1" si="81"/>
        <v>0</v>
      </c>
      <c r="G1355" s="137" t="e">
        <f>IF(A1355&lt;&gt;"",IF(AND(#REF!="Padrão",$H$4=#REF!),BDI!$B$17,IF(AND(#REF!="Padrão",$H$4=#REF!),BDI!#REF!,IF(AND(#REF!="Diferenciado",$H$4=#REF!),BDI!$E$17,IF(AND(#REF!="Diferenciado",$H$4=#REF!),BDI!#REF!,IF(#REF!="ZERO",0))))),"")</f>
        <v>#REF!</v>
      </c>
      <c r="H1355" s="138" t="e">
        <f t="shared" ca="1" si="82"/>
        <v>#REF!</v>
      </c>
      <c r="I1355" s="136" t="e">
        <f t="shared" ca="1" si="83"/>
        <v>#REF!</v>
      </c>
    </row>
    <row r="1356" spans="1:9" hidden="1" x14ac:dyDescent="0.25">
      <c r="A1356" s="114" t="s">
        <v>3855</v>
      </c>
      <c r="B1356" s="115" t="s">
        <v>3887</v>
      </c>
      <c r="C1356" s="116" t="s">
        <v>93</v>
      </c>
      <c r="D1356" s="116">
        <v>0</v>
      </c>
      <c r="E1356" s="135">
        <f ca="1">OFFSET(INDEX(Composições!A:J,MATCH(Orçamentária!A1356,Composições!A:A,0),8),2,0)</f>
        <v>0.11395439999999998</v>
      </c>
      <c r="F1356" s="136">
        <f t="shared" ca="1" si="81"/>
        <v>0</v>
      </c>
      <c r="G1356" s="137" t="e">
        <f>IF(A1356&lt;&gt;"",IF(AND(#REF!="Padrão",$H$4=#REF!),BDI!$B$17,IF(AND(#REF!="Padrão",$H$4=#REF!),BDI!#REF!,IF(AND(#REF!="Diferenciado",$H$4=#REF!),BDI!$E$17,IF(AND(#REF!="Diferenciado",$H$4=#REF!),BDI!#REF!,IF(#REF!="ZERO",0))))),"")</f>
        <v>#REF!</v>
      </c>
      <c r="H1356" s="138" t="e">
        <f t="shared" ca="1" si="82"/>
        <v>#REF!</v>
      </c>
      <c r="I1356" s="136" t="e">
        <f t="shared" ca="1" si="83"/>
        <v>#REF!</v>
      </c>
    </row>
    <row r="1357" spans="1:9" hidden="1" x14ac:dyDescent="0.25">
      <c r="A1357" s="114" t="s">
        <v>3856</v>
      </c>
      <c r="B1357" s="115" t="s">
        <v>3888</v>
      </c>
      <c r="C1357" s="116" t="s">
        <v>20</v>
      </c>
      <c r="D1357" s="116">
        <v>0</v>
      </c>
      <c r="E1357" s="135">
        <f ca="1">OFFSET(INDEX(Composições!A:J,MATCH(Orçamentária!A1357,Composições!A:A,0),8),2,0)</f>
        <v>52.704445799999995</v>
      </c>
      <c r="F1357" s="136">
        <f t="shared" ca="1" si="81"/>
        <v>0</v>
      </c>
      <c r="G1357" s="137" t="e">
        <f>IF(A1357&lt;&gt;"",IF(AND(#REF!="Padrão",$H$4=#REF!),BDI!$B$17,IF(AND(#REF!="Padrão",$H$4=#REF!),BDI!#REF!,IF(AND(#REF!="Diferenciado",$H$4=#REF!),BDI!$E$17,IF(AND(#REF!="Diferenciado",$H$4=#REF!),BDI!#REF!,IF(#REF!="ZERO",0))))),"")</f>
        <v>#REF!</v>
      </c>
      <c r="H1357" s="138" t="e">
        <f t="shared" ca="1" si="82"/>
        <v>#REF!</v>
      </c>
      <c r="I1357" s="136" t="e">
        <f t="shared" ca="1" si="83"/>
        <v>#REF!</v>
      </c>
    </row>
    <row r="1358" spans="1:9" hidden="1" x14ac:dyDescent="0.25">
      <c r="A1358" s="114" t="s">
        <v>3857</v>
      </c>
      <c r="B1358" s="115" t="s">
        <v>3889</v>
      </c>
      <c r="C1358" s="116" t="s">
        <v>93</v>
      </c>
      <c r="D1358" s="116">
        <v>0</v>
      </c>
      <c r="E1358" s="135">
        <f ca="1">OFFSET(INDEX(Composições!A:J,MATCH(Orçamentária!A1358,Composições!A:A,0),8),2,0)</f>
        <v>5.241492</v>
      </c>
      <c r="F1358" s="136">
        <f t="shared" ca="1" si="81"/>
        <v>0</v>
      </c>
      <c r="G1358" s="137" t="e">
        <f>IF(A1358&lt;&gt;"",IF(AND(#REF!="Padrão",$H$4=#REF!),BDI!$B$17,IF(AND(#REF!="Padrão",$H$4=#REF!),BDI!#REF!,IF(AND(#REF!="Diferenciado",$H$4=#REF!),BDI!$E$17,IF(AND(#REF!="Diferenciado",$H$4=#REF!),BDI!#REF!,IF(#REF!="ZERO",0))))),"")</f>
        <v>#REF!</v>
      </c>
      <c r="H1358" s="138" t="e">
        <f t="shared" ca="1" si="82"/>
        <v>#REF!</v>
      </c>
      <c r="I1358" s="136" t="e">
        <f t="shared" ca="1" si="83"/>
        <v>#REF!</v>
      </c>
    </row>
    <row r="1359" spans="1:9" hidden="1" x14ac:dyDescent="0.25">
      <c r="A1359" s="114" t="s">
        <v>3858</v>
      </c>
      <c r="B1359" s="115" t="s">
        <v>3890</v>
      </c>
      <c r="C1359" s="116" t="s">
        <v>93</v>
      </c>
      <c r="D1359" s="116">
        <v>0</v>
      </c>
      <c r="E1359" s="135">
        <f ca="1">OFFSET(INDEX(Composições!A:J,MATCH(Orçamentária!A1359,Composições!A:A,0),8),2,0)</f>
        <v>10.735721999999999</v>
      </c>
      <c r="F1359" s="136">
        <f t="shared" ca="1" si="81"/>
        <v>0</v>
      </c>
      <c r="G1359" s="137" t="e">
        <f>IF(A1359&lt;&gt;"",IF(AND(#REF!="Padrão",$H$4=#REF!),BDI!$B$17,IF(AND(#REF!="Padrão",$H$4=#REF!),BDI!#REF!,IF(AND(#REF!="Diferenciado",$H$4=#REF!),BDI!$E$17,IF(AND(#REF!="Diferenciado",$H$4=#REF!),BDI!#REF!,IF(#REF!="ZERO",0))))),"")</f>
        <v>#REF!</v>
      </c>
      <c r="H1359" s="138" t="e">
        <f t="shared" ca="1" si="82"/>
        <v>#REF!</v>
      </c>
      <c r="I1359" s="136" t="e">
        <f t="shared" ca="1" si="83"/>
        <v>#REF!</v>
      </c>
    </row>
    <row r="1360" spans="1:9" hidden="1" x14ac:dyDescent="0.25">
      <c r="A1360" s="114" t="s">
        <v>3859</v>
      </c>
      <c r="B1360" s="115" t="s">
        <v>3891</v>
      </c>
      <c r="C1360" s="116" t="s">
        <v>20</v>
      </c>
      <c r="D1360" s="116">
        <v>0</v>
      </c>
      <c r="E1360" s="135">
        <f ca="1">OFFSET(INDEX(Composições!A:J,MATCH(Orçamentária!A1360,Composições!A:A,0),8),2,0)</f>
        <v>101.74499999999999</v>
      </c>
      <c r="F1360" s="136">
        <f t="shared" ca="1" si="81"/>
        <v>0</v>
      </c>
      <c r="G1360" s="137" t="e">
        <f>IF(A1360&lt;&gt;"",IF(AND(#REF!="Padrão",$H$4=#REF!),BDI!$B$17,IF(AND(#REF!="Padrão",$H$4=#REF!),BDI!#REF!,IF(AND(#REF!="Diferenciado",$H$4=#REF!),BDI!$E$17,IF(AND(#REF!="Diferenciado",$H$4=#REF!),BDI!#REF!,IF(#REF!="ZERO",0))))),"")</f>
        <v>#REF!</v>
      </c>
      <c r="H1360" s="138" t="e">
        <f t="shared" ca="1" si="82"/>
        <v>#REF!</v>
      </c>
      <c r="I1360" s="136" t="e">
        <f t="shared" ca="1" si="83"/>
        <v>#REF!</v>
      </c>
    </row>
    <row r="1361" spans="1:9" hidden="1" x14ac:dyDescent="0.25">
      <c r="A1361" s="114" t="s">
        <v>3860</v>
      </c>
      <c r="B1361" s="115" t="s">
        <v>3892</v>
      </c>
      <c r="C1361" s="116" t="s">
        <v>93</v>
      </c>
      <c r="D1361" s="116">
        <v>0</v>
      </c>
      <c r="E1361" s="135">
        <f ca="1">OFFSET(INDEX(Composições!A:J,MATCH(Orçamentária!A1361,Composições!A:A,0),8),2,0)</f>
        <v>4.2732899999999994</v>
      </c>
      <c r="F1361" s="136">
        <f t="shared" ca="1" si="81"/>
        <v>0</v>
      </c>
      <c r="G1361" s="137" t="e">
        <f>IF(A1361&lt;&gt;"",IF(AND(#REF!="Padrão",$H$4=#REF!),BDI!$B$17,IF(AND(#REF!="Padrão",$H$4=#REF!),BDI!#REF!,IF(AND(#REF!="Diferenciado",$H$4=#REF!),BDI!$E$17,IF(AND(#REF!="Diferenciado",$H$4=#REF!),BDI!#REF!,IF(#REF!="ZERO",0))))),"")</f>
        <v>#REF!</v>
      </c>
      <c r="H1361" s="138" t="e">
        <f t="shared" ca="1" si="82"/>
        <v>#REF!</v>
      </c>
      <c r="I1361" s="136" t="e">
        <f t="shared" ca="1" si="83"/>
        <v>#REF!</v>
      </c>
    </row>
    <row r="1362" spans="1:9" hidden="1" x14ac:dyDescent="0.25">
      <c r="A1362" s="114" t="s">
        <v>3861</v>
      </c>
      <c r="B1362" s="115" t="s">
        <v>3893</v>
      </c>
      <c r="C1362" s="116" t="s">
        <v>20</v>
      </c>
      <c r="D1362" s="116">
        <v>0</v>
      </c>
      <c r="E1362" s="135" t="s">
        <v>558</v>
      </c>
      <c r="F1362" s="136" t="str">
        <f t="shared" si="81"/>
        <v/>
      </c>
      <c r="G1362" s="137" t="e">
        <f>IF(A1362&lt;&gt;"",IF(AND(#REF!="Padrão",$H$4=#REF!),BDI!$B$17,IF(AND(#REF!="Padrão",$H$4=#REF!),BDI!#REF!,IF(AND(#REF!="Diferenciado",$H$4=#REF!),BDI!$E$17,IF(AND(#REF!="Diferenciado",$H$4=#REF!),BDI!#REF!,IF(#REF!="ZERO",0))))),"")</f>
        <v>#REF!</v>
      </c>
      <c r="H1362" s="138" t="str">
        <f t="shared" si="82"/>
        <v/>
      </c>
      <c r="I1362" s="136" t="str">
        <f t="shared" si="83"/>
        <v/>
      </c>
    </row>
    <row r="1363" spans="1:9" hidden="1" x14ac:dyDescent="0.25">
      <c r="A1363" s="114" t="s">
        <v>3862</v>
      </c>
      <c r="B1363" s="115" t="s">
        <v>3894</v>
      </c>
      <c r="C1363" s="116" t="s">
        <v>20</v>
      </c>
      <c r="D1363" s="116">
        <v>0</v>
      </c>
      <c r="E1363" s="135">
        <f ca="1">OFFSET(INDEX(Composições!A:J,MATCH(Orçamentária!A1363,Composições!A:A,0),8),2,0)</f>
        <v>6.1046999999999993</v>
      </c>
      <c r="F1363" s="136">
        <f t="shared" ca="1" si="81"/>
        <v>0</v>
      </c>
      <c r="G1363" s="137" t="e">
        <f>IF(A1363&lt;&gt;"",IF(AND(#REF!="Padrão",$H$4=#REF!),BDI!$B$17,IF(AND(#REF!="Padrão",$H$4=#REF!),BDI!#REF!,IF(AND(#REF!="Diferenciado",$H$4=#REF!),BDI!$E$17,IF(AND(#REF!="Diferenciado",$H$4=#REF!),BDI!#REF!,IF(#REF!="ZERO",0))))),"")</f>
        <v>#REF!</v>
      </c>
      <c r="H1363" s="138" t="e">
        <f t="shared" ca="1" si="82"/>
        <v>#REF!</v>
      </c>
      <c r="I1363" s="136" t="e">
        <f t="shared" ca="1" si="83"/>
        <v>#REF!</v>
      </c>
    </row>
    <row r="1364" spans="1:9" hidden="1" x14ac:dyDescent="0.25">
      <c r="A1364" s="114" t="s">
        <v>3863</v>
      </c>
      <c r="B1364" s="115" t="s">
        <v>3895</v>
      </c>
      <c r="C1364" s="116" t="s">
        <v>93</v>
      </c>
      <c r="D1364" s="116">
        <v>0</v>
      </c>
      <c r="E1364" s="135">
        <f ca="1">OFFSET(INDEX(Composições!A:J,MATCH(Orçamentária!A1364,Composições!A:A,0),8),2,0)</f>
        <v>24.418799999999997</v>
      </c>
      <c r="F1364" s="136">
        <f t="shared" ca="1" si="81"/>
        <v>0</v>
      </c>
      <c r="G1364" s="137" t="e">
        <f>IF(A1364&lt;&gt;"",IF(AND(#REF!="Padrão",$H$4=#REF!),BDI!$B$17,IF(AND(#REF!="Padrão",$H$4=#REF!),BDI!#REF!,IF(AND(#REF!="Diferenciado",$H$4=#REF!),BDI!$E$17,IF(AND(#REF!="Diferenciado",$H$4=#REF!),BDI!#REF!,IF(#REF!="ZERO",0))))),"")</f>
        <v>#REF!</v>
      </c>
      <c r="H1364" s="138" t="e">
        <f t="shared" ca="1" si="82"/>
        <v>#REF!</v>
      </c>
      <c r="I1364" s="136" t="e">
        <f t="shared" ca="1" si="83"/>
        <v>#REF!</v>
      </c>
    </row>
    <row r="1365" spans="1:9" hidden="1" x14ac:dyDescent="0.25">
      <c r="A1365" s="114" t="s">
        <v>3864</v>
      </c>
      <c r="B1365" s="115" t="s">
        <v>3896</v>
      </c>
      <c r="C1365" s="116" t="s">
        <v>93</v>
      </c>
      <c r="D1365" s="116">
        <v>0</v>
      </c>
      <c r="E1365" s="135">
        <f ca="1">OFFSET(INDEX(Composições!A:J,MATCH(Orçamentária!A1365,Composições!A:A,0),8),2,0)</f>
        <v>28.488599999999998</v>
      </c>
      <c r="F1365" s="136">
        <f t="shared" ca="1" si="81"/>
        <v>0</v>
      </c>
      <c r="G1365" s="137" t="e">
        <f>IF(A1365&lt;&gt;"",IF(AND(#REF!="Padrão",$H$4=#REF!),BDI!$B$17,IF(AND(#REF!="Padrão",$H$4=#REF!),BDI!#REF!,IF(AND(#REF!="Diferenciado",$H$4=#REF!),BDI!$E$17,IF(AND(#REF!="Diferenciado",$H$4=#REF!),BDI!#REF!,IF(#REF!="ZERO",0))))),"")</f>
        <v>#REF!</v>
      </c>
      <c r="H1365" s="138" t="e">
        <f t="shared" ca="1" si="82"/>
        <v>#REF!</v>
      </c>
      <c r="I1365" s="136" t="e">
        <f t="shared" ca="1" si="83"/>
        <v>#REF!</v>
      </c>
    </row>
    <row r="1366" spans="1:9" hidden="1" x14ac:dyDescent="0.25">
      <c r="A1366" s="114" t="s">
        <v>3865</v>
      </c>
      <c r="B1366" s="115" t="s">
        <v>3897</v>
      </c>
      <c r="C1366" s="116" t="s">
        <v>20</v>
      </c>
      <c r="D1366" s="116">
        <v>0</v>
      </c>
      <c r="E1366" s="135">
        <f ca="1">OFFSET(INDEX(Composições!A:J,MATCH(Orçamentária!A1366,Composições!A:A,0),8),2,0)</f>
        <v>12.562266099999999</v>
      </c>
      <c r="F1366" s="136">
        <f t="shared" ca="1" si="81"/>
        <v>0</v>
      </c>
      <c r="G1366" s="137" t="e">
        <f>IF(A1366&lt;&gt;"",IF(AND(#REF!="Padrão",$H$4=#REF!),BDI!$B$17,IF(AND(#REF!="Padrão",$H$4=#REF!),BDI!#REF!,IF(AND(#REF!="Diferenciado",$H$4=#REF!),BDI!$E$17,IF(AND(#REF!="Diferenciado",$H$4=#REF!),BDI!#REF!,IF(#REF!="ZERO",0))))),"")</f>
        <v>#REF!</v>
      </c>
      <c r="H1366" s="138" t="e">
        <f t="shared" ca="1" si="82"/>
        <v>#REF!</v>
      </c>
      <c r="I1366" s="136" t="e">
        <f t="shared" ca="1" si="83"/>
        <v>#REF!</v>
      </c>
    </row>
    <row r="1367" spans="1:9" hidden="1" x14ac:dyDescent="0.25">
      <c r="A1367" s="114" t="s">
        <v>3866</v>
      </c>
      <c r="B1367" s="115" t="s">
        <v>3898</v>
      </c>
      <c r="C1367" s="116" t="s">
        <v>20</v>
      </c>
      <c r="D1367" s="116">
        <v>0</v>
      </c>
      <c r="E1367" s="135">
        <f ca="1">OFFSET(INDEX(Composições!A:J,MATCH(Orçamentária!A1367,Composições!A:A,0),8),2,0)</f>
        <v>458.22861260000002</v>
      </c>
      <c r="F1367" s="136">
        <f t="shared" ca="1" si="81"/>
        <v>0</v>
      </c>
      <c r="G1367" s="137" t="e">
        <f>IF(A1367&lt;&gt;"",IF(AND(#REF!="Padrão",$H$4=#REF!),BDI!$B$17,IF(AND(#REF!="Padrão",$H$4=#REF!),BDI!#REF!,IF(AND(#REF!="Diferenciado",$H$4=#REF!),BDI!$E$17,IF(AND(#REF!="Diferenciado",$H$4=#REF!),BDI!#REF!,IF(#REF!="ZERO",0))))),"")</f>
        <v>#REF!</v>
      </c>
      <c r="H1367" s="138" t="e">
        <f t="shared" ca="1" si="82"/>
        <v>#REF!</v>
      </c>
      <c r="I1367" s="136" t="e">
        <f t="shared" ca="1" si="83"/>
        <v>#REF!</v>
      </c>
    </row>
    <row r="1368" spans="1:9" hidden="1" x14ac:dyDescent="0.25">
      <c r="A1368" s="114" t="s">
        <v>3867</v>
      </c>
      <c r="B1368" s="115" t="s">
        <v>3899</v>
      </c>
      <c r="C1368" s="116" t="s">
        <v>20</v>
      </c>
      <c r="D1368" s="116">
        <v>0</v>
      </c>
      <c r="E1368" s="135">
        <f ca="1">OFFSET(INDEX(Composições!A:J,MATCH(Orçamentária!A1368,Composições!A:A,0),8),2,0)</f>
        <v>594.19261259999996</v>
      </c>
      <c r="F1368" s="136">
        <f t="shared" ca="1" si="81"/>
        <v>0</v>
      </c>
      <c r="G1368" s="137" t="e">
        <f>IF(A1368&lt;&gt;"",IF(AND(#REF!="Padrão",$H$4=#REF!),BDI!$B$17,IF(AND(#REF!="Padrão",$H$4=#REF!),BDI!#REF!,IF(AND(#REF!="Diferenciado",$H$4=#REF!),BDI!$E$17,IF(AND(#REF!="Diferenciado",$H$4=#REF!),BDI!#REF!,IF(#REF!="ZERO",0))))),"")</f>
        <v>#REF!</v>
      </c>
      <c r="H1368" s="138" t="e">
        <f t="shared" ca="1" si="82"/>
        <v>#REF!</v>
      </c>
      <c r="I1368" s="136" t="e">
        <f t="shared" ca="1" si="83"/>
        <v>#REF!</v>
      </c>
    </row>
    <row r="1369" spans="1:9" hidden="1" x14ac:dyDescent="0.25">
      <c r="A1369" s="114" t="s">
        <v>3868</v>
      </c>
      <c r="B1369" s="115" t="s">
        <v>3900</v>
      </c>
      <c r="C1369" s="116" t="s">
        <v>20</v>
      </c>
      <c r="D1369" s="116">
        <v>0</v>
      </c>
      <c r="E1369" s="135" t="s">
        <v>558</v>
      </c>
      <c r="F1369" s="136" t="str">
        <f t="shared" si="81"/>
        <v/>
      </c>
      <c r="G1369" s="137" t="e">
        <f>IF(A1369&lt;&gt;"",IF(AND(#REF!="Padrão",$H$4=#REF!),BDI!$B$17,IF(AND(#REF!="Padrão",$H$4=#REF!),BDI!#REF!,IF(AND(#REF!="Diferenciado",$H$4=#REF!),BDI!$E$17,IF(AND(#REF!="Diferenciado",$H$4=#REF!),BDI!#REF!,IF(#REF!="ZERO",0))))),"")</f>
        <v>#REF!</v>
      </c>
      <c r="H1369" s="138" t="str">
        <f t="shared" si="82"/>
        <v/>
      </c>
      <c r="I1369" s="136" t="str">
        <f t="shared" si="83"/>
        <v/>
      </c>
    </row>
    <row r="1370" spans="1:9" hidden="1" x14ac:dyDescent="0.25">
      <c r="A1370" s="114" t="s">
        <v>3869</v>
      </c>
      <c r="B1370" s="115" t="s">
        <v>3901</v>
      </c>
      <c r="C1370" s="116" t="s">
        <v>20</v>
      </c>
      <c r="D1370" s="116">
        <v>0</v>
      </c>
      <c r="E1370" s="135" t="s">
        <v>558</v>
      </c>
      <c r="F1370" s="136" t="str">
        <f t="shared" si="81"/>
        <v/>
      </c>
      <c r="G1370" s="137" t="e">
        <f>IF(A1370&lt;&gt;"",IF(AND(#REF!="Padrão",$H$4=#REF!),BDI!$B$17,IF(AND(#REF!="Padrão",$H$4=#REF!),BDI!#REF!,IF(AND(#REF!="Diferenciado",$H$4=#REF!),BDI!$E$17,IF(AND(#REF!="Diferenciado",$H$4=#REF!),BDI!#REF!,IF(#REF!="ZERO",0))))),"")</f>
        <v>#REF!</v>
      </c>
      <c r="H1370" s="138" t="str">
        <f t="shared" si="82"/>
        <v/>
      </c>
      <c r="I1370" s="136" t="str">
        <f t="shared" si="83"/>
        <v/>
      </c>
    </row>
    <row r="1371" spans="1:9" hidden="1" x14ac:dyDescent="0.25">
      <c r="A1371" s="114" t="s">
        <v>3870</v>
      </c>
      <c r="B1371" s="115" t="s">
        <v>3902</v>
      </c>
      <c r="C1371" s="116" t="s">
        <v>20</v>
      </c>
      <c r="D1371" s="116">
        <v>0</v>
      </c>
      <c r="E1371" s="135" t="s">
        <v>558</v>
      </c>
      <c r="F1371" s="136" t="str">
        <f t="shared" si="81"/>
        <v/>
      </c>
      <c r="G1371" s="137" t="e">
        <f>IF(A1371&lt;&gt;"",IF(AND(#REF!="Padrão",$H$4=#REF!),BDI!$B$17,IF(AND(#REF!="Padrão",$H$4=#REF!),BDI!#REF!,IF(AND(#REF!="Diferenciado",$H$4=#REF!),BDI!$E$17,IF(AND(#REF!="Diferenciado",$H$4=#REF!),BDI!#REF!,IF(#REF!="ZERO",0))))),"")</f>
        <v>#REF!</v>
      </c>
      <c r="H1371" s="138" t="str">
        <f t="shared" si="82"/>
        <v/>
      </c>
      <c r="I1371" s="136" t="str">
        <f t="shared" si="83"/>
        <v/>
      </c>
    </row>
    <row r="1372" spans="1:9" hidden="1" x14ac:dyDescent="0.25">
      <c r="A1372" s="114" t="s">
        <v>3871</v>
      </c>
      <c r="B1372" s="115" t="s">
        <v>3903</v>
      </c>
      <c r="C1372" s="116" t="s">
        <v>20</v>
      </c>
      <c r="D1372" s="116">
        <v>0</v>
      </c>
      <c r="E1372" s="135" t="s">
        <v>558</v>
      </c>
      <c r="F1372" s="136" t="str">
        <f t="shared" si="81"/>
        <v/>
      </c>
      <c r="G1372" s="137" t="e">
        <f>IF(A1372&lt;&gt;"",IF(AND(#REF!="Padrão",$H$4=#REF!),BDI!$B$17,IF(AND(#REF!="Padrão",$H$4=#REF!),BDI!#REF!,IF(AND(#REF!="Diferenciado",$H$4=#REF!),BDI!$E$17,IF(AND(#REF!="Diferenciado",$H$4=#REF!),BDI!#REF!,IF(#REF!="ZERO",0))))),"")</f>
        <v>#REF!</v>
      </c>
      <c r="H1372" s="138" t="str">
        <f t="shared" si="82"/>
        <v/>
      </c>
      <c r="I1372" s="136" t="str">
        <f t="shared" si="83"/>
        <v/>
      </c>
    </row>
    <row r="1373" spans="1:9" hidden="1" x14ac:dyDescent="0.25">
      <c r="A1373" s="114" t="s">
        <v>3872</v>
      </c>
      <c r="B1373" s="115" t="s">
        <v>3904</v>
      </c>
      <c r="C1373" s="116" t="s">
        <v>20</v>
      </c>
      <c r="D1373" s="116">
        <v>0</v>
      </c>
      <c r="E1373" s="135" t="s">
        <v>558</v>
      </c>
      <c r="F1373" s="136" t="str">
        <f t="shared" si="81"/>
        <v/>
      </c>
      <c r="G1373" s="137" t="e">
        <f>IF(A1373&lt;&gt;"",IF(AND(#REF!="Padrão",$H$4=#REF!),BDI!$B$17,IF(AND(#REF!="Padrão",$H$4=#REF!),BDI!#REF!,IF(AND(#REF!="Diferenciado",$H$4=#REF!),BDI!$E$17,IF(AND(#REF!="Diferenciado",$H$4=#REF!),BDI!#REF!,IF(#REF!="ZERO",0))))),"")</f>
        <v>#REF!</v>
      </c>
      <c r="H1373" s="138" t="str">
        <f t="shared" si="82"/>
        <v/>
      </c>
      <c r="I1373" s="136" t="str">
        <f t="shared" si="83"/>
        <v/>
      </c>
    </row>
    <row r="1374" spans="1:9" hidden="1" x14ac:dyDescent="0.25">
      <c r="A1374" s="114" t="s">
        <v>3873</v>
      </c>
      <c r="B1374" s="115" t="s">
        <v>3905</v>
      </c>
      <c r="C1374" s="116" t="s">
        <v>20</v>
      </c>
      <c r="D1374" s="116">
        <v>0</v>
      </c>
      <c r="E1374" s="135">
        <f ca="1">OFFSET(INDEX(Composições!A:J,MATCH(Orçamentária!A1374,Composições!A:A,0),8),2,0)</f>
        <v>2151.5439545000004</v>
      </c>
      <c r="F1374" s="136">
        <f t="shared" ca="1" si="81"/>
        <v>0</v>
      </c>
      <c r="G1374" s="137" t="e">
        <f>IF(A1374&lt;&gt;"",IF(AND(#REF!="Padrão",$H$4=#REF!),BDI!$B$17,IF(AND(#REF!="Padrão",$H$4=#REF!),BDI!#REF!,IF(AND(#REF!="Diferenciado",$H$4=#REF!),BDI!$E$17,IF(AND(#REF!="Diferenciado",$H$4=#REF!),BDI!#REF!,IF(#REF!="ZERO",0))))),"")</f>
        <v>#REF!</v>
      </c>
      <c r="H1374" s="138" t="e">
        <f t="shared" ca="1" si="82"/>
        <v>#REF!</v>
      </c>
      <c r="I1374" s="136" t="e">
        <f t="shared" ca="1" si="83"/>
        <v>#REF!</v>
      </c>
    </row>
    <row r="1375" spans="1:9" hidden="1" x14ac:dyDescent="0.25">
      <c r="A1375" s="114" t="s">
        <v>3874</v>
      </c>
      <c r="B1375" s="115" t="s">
        <v>3906</v>
      </c>
      <c r="C1375" s="116" t="s">
        <v>20</v>
      </c>
      <c r="D1375" s="116">
        <v>0</v>
      </c>
      <c r="E1375" s="135">
        <f ca="1">OFFSET(INDEX(Composições!A:J,MATCH(Orçamentária!A1375,Composições!A:A,0),8),2,0)</f>
        <v>234.50868508769031</v>
      </c>
      <c r="F1375" s="136">
        <f t="shared" ca="1" si="81"/>
        <v>0</v>
      </c>
      <c r="G1375" s="137" t="e">
        <f>IF(A1375&lt;&gt;"",IF(AND(#REF!="Padrão",$H$4=#REF!),BDI!$B$17,IF(AND(#REF!="Padrão",$H$4=#REF!),BDI!#REF!,IF(AND(#REF!="Diferenciado",$H$4=#REF!),BDI!$E$17,IF(AND(#REF!="Diferenciado",$H$4=#REF!),BDI!#REF!,IF(#REF!="ZERO",0))))),"")</f>
        <v>#REF!</v>
      </c>
      <c r="H1375" s="138" t="e">
        <f t="shared" ca="1" si="82"/>
        <v>#REF!</v>
      </c>
      <c r="I1375" s="136" t="e">
        <f t="shared" ca="1" si="83"/>
        <v>#REF!</v>
      </c>
    </row>
    <row r="1376" spans="1:9" hidden="1" x14ac:dyDescent="0.25">
      <c r="A1376" s="114" t="s">
        <v>3875</v>
      </c>
      <c r="B1376" s="115" t="s">
        <v>3907</v>
      </c>
      <c r="C1376" s="116" t="s">
        <v>20</v>
      </c>
      <c r="D1376" s="116">
        <v>0</v>
      </c>
      <c r="E1376" s="135" t="s">
        <v>558</v>
      </c>
      <c r="F1376" s="136" t="str">
        <f t="shared" si="81"/>
        <v/>
      </c>
      <c r="G1376" s="137" t="e">
        <f>IF(A1376&lt;&gt;"",IF(AND(#REF!="Padrão",$H$4=#REF!),BDI!$B$17,IF(AND(#REF!="Padrão",$H$4=#REF!),BDI!#REF!,IF(AND(#REF!="Diferenciado",$H$4=#REF!),BDI!$E$17,IF(AND(#REF!="Diferenciado",$H$4=#REF!),BDI!#REF!,IF(#REF!="ZERO",0))))),"")</f>
        <v>#REF!</v>
      </c>
      <c r="H1376" s="138" t="str">
        <f t="shared" si="82"/>
        <v/>
      </c>
      <c r="I1376" s="136" t="str">
        <f t="shared" si="83"/>
        <v/>
      </c>
    </row>
    <row r="1377" spans="1:9" hidden="1" x14ac:dyDescent="0.25">
      <c r="A1377" s="114" t="s">
        <v>3876</v>
      </c>
      <c r="B1377" s="115" t="s">
        <v>3908</v>
      </c>
      <c r="C1377" s="116" t="s">
        <v>20</v>
      </c>
      <c r="D1377" s="116">
        <v>0</v>
      </c>
      <c r="E1377" s="135" t="s">
        <v>558</v>
      </c>
      <c r="F1377" s="136" t="str">
        <f t="shared" si="81"/>
        <v/>
      </c>
      <c r="G1377" s="137" t="e">
        <f>IF(A1377&lt;&gt;"",IF(AND(#REF!="Padrão",$H$4=#REF!),BDI!$B$17,IF(AND(#REF!="Padrão",$H$4=#REF!),BDI!#REF!,IF(AND(#REF!="Diferenciado",$H$4=#REF!),BDI!$E$17,IF(AND(#REF!="Diferenciado",$H$4=#REF!),BDI!#REF!,IF(#REF!="ZERO",0))))),"")</f>
        <v>#REF!</v>
      </c>
      <c r="H1377" s="138" t="str">
        <f t="shared" si="82"/>
        <v/>
      </c>
      <c r="I1377" s="136" t="str">
        <f t="shared" si="83"/>
        <v/>
      </c>
    </row>
    <row r="1378" spans="1:9" hidden="1" x14ac:dyDescent="0.25">
      <c r="A1378" s="114" t="s">
        <v>3877</v>
      </c>
      <c r="B1378" s="115" t="s">
        <v>3909</v>
      </c>
      <c r="C1378" s="116" t="s">
        <v>20</v>
      </c>
      <c r="D1378" s="116">
        <v>0</v>
      </c>
      <c r="E1378" s="135">
        <f ca="1">OFFSET(INDEX(Composições!A:J,MATCH(Orçamentária!A1378,Composições!A:A,0),8),2,0)</f>
        <v>625.00721693139337</v>
      </c>
      <c r="F1378" s="136">
        <f t="shared" ca="1" si="81"/>
        <v>0</v>
      </c>
      <c r="G1378" s="137" t="e">
        <f>IF(A1378&lt;&gt;"",IF(AND(#REF!="Padrão",$H$4=#REF!),BDI!$B$17,IF(AND(#REF!="Padrão",$H$4=#REF!),BDI!#REF!,IF(AND(#REF!="Diferenciado",$H$4=#REF!),BDI!$E$17,IF(AND(#REF!="Diferenciado",$H$4=#REF!),BDI!#REF!,IF(#REF!="ZERO",0))))),"")</f>
        <v>#REF!</v>
      </c>
      <c r="H1378" s="138" t="e">
        <f t="shared" ca="1" si="82"/>
        <v>#REF!</v>
      </c>
      <c r="I1378" s="136" t="e">
        <f t="shared" ca="1" si="83"/>
        <v>#REF!</v>
      </c>
    </row>
    <row r="1379" spans="1:9" hidden="1" x14ac:dyDescent="0.25">
      <c r="A1379" s="114" t="s">
        <v>3878</v>
      </c>
      <c r="B1379" s="115" t="s">
        <v>3910</v>
      </c>
      <c r="C1379" s="116" t="s">
        <v>20</v>
      </c>
      <c r="D1379" s="116">
        <v>0</v>
      </c>
      <c r="E1379" s="135" t="s">
        <v>558</v>
      </c>
      <c r="F1379" s="136" t="str">
        <f t="shared" si="81"/>
        <v/>
      </c>
      <c r="G1379" s="137" t="e">
        <f>IF(A1379&lt;&gt;"",IF(AND(#REF!="Padrão",$H$4=#REF!),BDI!$B$17,IF(AND(#REF!="Padrão",$H$4=#REF!),BDI!#REF!,IF(AND(#REF!="Diferenciado",$H$4=#REF!),BDI!$E$17,IF(AND(#REF!="Diferenciado",$H$4=#REF!),BDI!#REF!,IF(#REF!="ZERO",0))))),"")</f>
        <v>#REF!</v>
      </c>
      <c r="H1379" s="138" t="str">
        <f t="shared" si="82"/>
        <v/>
      </c>
      <c r="I1379" s="136" t="str">
        <f t="shared" si="83"/>
        <v/>
      </c>
    </row>
    <row r="1380" spans="1:9" hidden="1" x14ac:dyDescent="0.25">
      <c r="A1380" s="114" t="s">
        <v>3879</v>
      </c>
      <c r="B1380" s="115" t="s">
        <v>3911</v>
      </c>
      <c r="C1380" s="116" t="s">
        <v>20</v>
      </c>
      <c r="D1380" s="116">
        <v>0</v>
      </c>
      <c r="E1380" s="135">
        <f ca="1">OFFSET(INDEX(Composições!A:J,MATCH(Orçamentária!A1380,Composições!A:A,0),8),2,0)</f>
        <v>20.348999999999997</v>
      </c>
      <c r="F1380" s="136">
        <f t="shared" ca="1" si="81"/>
        <v>0</v>
      </c>
      <c r="G1380" s="137" t="e">
        <f>IF(A1380&lt;&gt;"",IF(AND(#REF!="Padrão",$H$4=#REF!),BDI!$B$17,IF(AND(#REF!="Padrão",$H$4=#REF!),BDI!#REF!,IF(AND(#REF!="Diferenciado",$H$4=#REF!),BDI!$E$17,IF(AND(#REF!="Diferenciado",$H$4=#REF!),BDI!#REF!,IF(#REF!="ZERO",0))))),"")</f>
        <v>#REF!</v>
      </c>
      <c r="H1380" s="138" t="e">
        <f t="shared" ca="1" si="82"/>
        <v>#REF!</v>
      </c>
      <c r="I1380" s="136" t="e">
        <f t="shared" ca="1" si="83"/>
        <v>#REF!</v>
      </c>
    </row>
    <row r="1381" spans="1:9" hidden="1" x14ac:dyDescent="0.25">
      <c r="A1381" s="114" t="s">
        <v>3880</v>
      </c>
      <c r="B1381" s="115" t="s">
        <v>3912</v>
      </c>
      <c r="C1381" s="116" t="s">
        <v>20</v>
      </c>
      <c r="D1381" s="116">
        <v>0</v>
      </c>
      <c r="E1381" s="135">
        <f ca="1">OFFSET(INDEX(Composições!A:J,MATCH(Orçamentária!A1381,Composições!A:A,0),8),2,0)</f>
        <v>20.348999999999997</v>
      </c>
      <c r="F1381" s="136">
        <f t="shared" ca="1" si="81"/>
        <v>0</v>
      </c>
      <c r="G1381" s="137" t="e">
        <f>IF(A1381&lt;&gt;"",IF(AND(#REF!="Padrão",$H$4=#REF!),BDI!$B$17,IF(AND(#REF!="Padrão",$H$4=#REF!),BDI!#REF!,IF(AND(#REF!="Diferenciado",$H$4=#REF!),BDI!$E$17,IF(AND(#REF!="Diferenciado",$H$4=#REF!),BDI!#REF!,IF(#REF!="ZERO",0))))),"")</f>
        <v>#REF!</v>
      </c>
      <c r="H1381" s="138" t="e">
        <f t="shared" ca="1" si="82"/>
        <v>#REF!</v>
      </c>
      <c r="I1381" s="136" t="e">
        <f t="shared" ca="1" si="83"/>
        <v>#REF!</v>
      </c>
    </row>
    <row r="1382" spans="1:9" hidden="1" x14ac:dyDescent="0.25">
      <c r="A1382" s="114" t="s">
        <v>3881</v>
      </c>
      <c r="B1382" s="115" t="s">
        <v>3913</v>
      </c>
      <c r="C1382" s="116" t="s">
        <v>20</v>
      </c>
      <c r="D1382" s="116">
        <v>0</v>
      </c>
      <c r="E1382" s="135">
        <f ca="1">OFFSET(INDEX(Composições!A:J,MATCH(Orçamentária!A1382,Composições!A:A,0),8),2,0)</f>
        <v>12.534983999999998</v>
      </c>
      <c r="F1382" s="136">
        <f t="shared" ca="1" si="81"/>
        <v>0</v>
      </c>
      <c r="G1382" s="137" t="e">
        <f>IF(A1382&lt;&gt;"",IF(AND(#REF!="Padrão",$H$4=#REF!),BDI!$B$17,IF(AND(#REF!="Padrão",$H$4=#REF!),BDI!#REF!,IF(AND(#REF!="Diferenciado",$H$4=#REF!),BDI!$E$17,IF(AND(#REF!="Diferenciado",$H$4=#REF!),BDI!#REF!,IF(#REF!="ZERO",0))))),"")</f>
        <v>#REF!</v>
      </c>
      <c r="H1382" s="138" t="e">
        <f t="shared" ca="1" si="82"/>
        <v>#REF!</v>
      </c>
      <c r="I1382" s="136" t="e">
        <f t="shared" ca="1" si="83"/>
        <v>#REF!</v>
      </c>
    </row>
    <row r="1383" spans="1:9" hidden="1" x14ac:dyDescent="0.25">
      <c r="A1383" s="114" t="s">
        <v>3882</v>
      </c>
      <c r="B1383" s="115" t="s">
        <v>3914</v>
      </c>
      <c r="C1383" s="116" t="s">
        <v>20</v>
      </c>
      <c r="D1383" s="116">
        <v>0</v>
      </c>
      <c r="E1383" s="135" t="s">
        <v>558</v>
      </c>
      <c r="F1383" s="136" t="str">
        <f t="shared" si="81"/>
        <v/>
      </c>
      <c r="G1383" s="137" t="e">
        <f>IF(A1383&lt;&gt;"",IF(AND(#REF!="Padrão",$H$4=#REF!),BDI!$B$17,IF(AND(#REF!="Padrão",$H$4=#REF!),BDI!#REF!,IF(AND(#REF!="Diferenciado",$H$4=#REF!),BDI!$E$17,IF(AND(#REF!="Diferenciado",$H$4=#REF!),BDI!#REF!,IF(#REF!="ZERO",0))))),"")</f>
        <v>#REF!</v>
      </c>
      <c r="H1383" s="138" t="str">
        <f t="shared" si="82"/>
        <v/>
      </c>
      <c r="I1383" s="136" t="str">
        <f t="shared" si="83"/>
        <v/>
      </c>
    </row>
    <row r="1384" spans="1:9" hidden="1" x14ac:dyDescent="0.25">
      <c r="A1384" s="114" t="s">
        <v>3810</v>
      </c>
      <c r="B1384" s="115" t="s">
        <v>3811</v>
      </c>
      <c r="C1384" s="116" t="s">
        <v>20</v>
      </c>
      <c r="D1384" s="116">
        <v>0</v>
      </c>
      <c r="E1384" s="135" t="s">
        <v>558</v>
      </c>
      <c r="F1384" s="136" t="str">
        <f t="shared" si="78"/>
        <v/>
      </c>
      <c r="G1384" s="137" t="e">
        <f>IF(A1384&lt;&gt;"",IF(AND(#REF!="Padrão",$H$4=#REF!),BDI!$B$17,IF(AND(#REF!="Padrão",$H$4=#REF!),BDI!#REF!,IF(AND(#REF!="Diferenciado",$H$4=#REF!),BDI!$E$17,IF(AND(#REF!="Diferenciado",$H$4=#REF!),BDI!#REF!,IF(#REF!="ZERO",0))))),"")</f>
        <v>#REF!</v>
      </c>
      <c r="H1384" s="138" t="str">
        <f t="shared" si="79"/>
        <v/>
      </c>
      <c r="I1384" s="136" t="str">
        <f t="shared" si="80"/>
        <v/>
      </c>
    </row>
    <row r="1385" spans="1:9" hidden="1" x14ac:dyDescent="0.25">
      <c r="A1385" s="114" t="s">
        <v>3808</v>
      </c>
      <c r="B1385" s="115" t="s">
        <v>3809</v>
      </c>
      <c r="C1385" s="116" t="s">
        <v>5105</v>
      </c>
      <c r="D1385" s="116">
        <v>0</v>
      </c>
      <c r="E1385" s="135" t="s">
        <v>558</v>
      </c>
      <c r="F1385" s="136" t="str">
        <f t="shared" ref="F1385" si="84">IF(ISNUMBER(E1385),D1385*E1385,"")</f>
        <v/>
      </c>
      <c r="G1385" s="137" t="e">
        <f>IF(A1385&lt;&gt;"",IF(AND(#REF!="Padrão",$H$4=#REF!),BDI!$B$17,IF(AND(#REF!="Padrão",$H$4=#REF!),BDI!#REF!,IF(AND(#REF!="Diferenciado",$H$4=#REF!),BDI!$E$17,IF(AND(#REF!="Diferenciado",$H$4=#REF!),BDI!#REF!,IF(#REF!="ZERO",0))))),"")</f>
        <v>#REF!</v>
      </c>
      <c r="H1385" s="138" t="str">
        <f t="shared" ref="H1385" si="85">IF(ISNUMBER(E1385),ROUND(E1385*(1+G1385),2),"")</f>
        <v/>
      </c>
      <c r="I1385" s="136" t="str">
        <f t="shared" ref="I1385" si="86">IF(ISNUMBER(E1385),ROUND(H1385*D1385,2),"")</f>
        <v/>
      </c>
    </row>
    <row r="1386" spans="1:9" hidden="1" x14ac:dyDescent="0.25">
      <c r="A1386" s="114" t="s">
        <v>3830</v>
      </c>
      <c r="B1386" s="115" t="s">
        <v>3833</v>
      </c>
      <c r="C1386" s="116" t="s">
        <v>95</v>
      </c>
      <c r="D1386" s="116">
        <v>0</v>
      </c>
      <c r="E1386" s="135" t="s">
        <v>558</v>
      </c>
      <c r="F1386" s="136" t="str">
        <f t="shared" ref="F1386:F1388" si="87">IF(ISNUMBER(E1386),D1386*E1386,"")</f>
        <v/>
      </c>
      <c r="G1386" s="137" t="e">
        <f>IF(A1386&lt;&gt;"",IF(AND(#REF!="Padrão",$H$4=#REF!),BDI!$B$17,IF(AND(#REF!="Padrão",$H$4=#REF!),BDI!#REF!,IF(AND(#REF!="Diferenciado",$H$4=#REF!),BDI!$E$17,IF(AND(#REF!="Diferenciado",$H$4=#REF!),BDI!#REF!,IF(#REF!="ZERO",0))))),"")</f>
        <v>#REF!</v>
      </c>
      <c r="H1386" s="138" t="str">
        <f t="shared" ref="H1386:H1388" si="88">IF(ISNUMBER(E1386),ROUND(E1386*(1+G1386),2),"")</f>
        <v/>
      </c>
      <c r="I1386" s="136" t="str">
        <f t="shared" ref="I1386:I1388" si="89">IF(ISNUMBER(E1386),ROUND(H1386*D1386,2),"")</f>
        <v/>
      </c>
    </row>
    <row r="1387" spans="1:9" hidden="1" x14ac:dyDescent="0.25">
      <c r="A1387" s="114" t="s">
        <v>3831</v>
      </c>
      <c r="B1387" s="115" t="s">
        <v>3834</v>
      </c>
      <c r="C1387" s="116" t="s">
        <v>95</v>
      </c>
      <c r="D1387" s="116">
        <v>0</v>
      </c>
      <c r="E1387" s="135" t="s">
        <v>558</v>
      </c>
      <c r="F1387" s="136" t="str">
        <f t="shared" si="87"/>
        <v/>
      </c>
      <c r="G1387" s="137" t="e">
        <f>IF(A1387&lt;&gt;"",IF(AND(#REF!="Padrão",$H$4=#REF!),BDI!$B$17,IF(AND(#REF!="Padrão",$H$4=#REF!),BDI!#REF!,IF(AND(#REF!="Diferenciado",$H$4=#REF!),BDI!$E$17,IF(AND(#REF!="Diferenciado",$H$4=#REF!),BDI!#REF!,IF(#REF!="ZERO",0))))),"")</f>
        <v>#REF!</v>
      </c>
      <c r="H1387" s="138" t="str">
        <f t="shared" si="88"/>
        <v/>
      </c>
      <c r="I1387" s="136" t="str">
        <f t="shared" si="89"/>
        <v/>
      </c>
    </row>
    <row r="1388" spans="1:9" hidden="1" x14ac:dyDescent="0.25">
      <c r="A1388" s="114" t="s">
        <v>3832</v>
      </c>
      <c r="B1388" s="115" t="s">
        <v>3835</v>
      </c>
      <c r="C1388" s="116" t="s">
        <v>95</v>
      </c>
      <c r="D1388" s="116">
        <v>0</v>
      </c>
      <c r="E1388" s="135" t="s">
        <v>558</v>
      </c>
      <c r="F1388" s="136" t="str">
        <f t="shared" si="87"/>
        <v/>
      </c>
      <c r="G1388" s="137" t="e">
        <f>IF(A1388&lt;&gt;"",IF(AND(#REF!="Padrão",$H$4=#REF!),BDI!$B$17,IF(AND(#REF!="Padrão",$H$4=#REF!),BDI!#REF!,IF(AND(#REF!="Diferenciado",$H$4=#REF!),BDI!$E$17,IF(AND(#REF!="Diferenciado",$H$4=#REF!),BDI!#REF!,IF(#REF!="ZERO",0))))),"")</f>
        <v>#REF!</v>
      </c>
      <c r="H1388" s="138" t="str">
        <f t="shared" si="88"/>
        <v/>
      </c>
      <c r="I1388" s="136" t="str">
        <f t="shared" si="89"/>
        <v/>
      </c>
    </row>
    <row r="1389" spans="1:9" hidden="1" x14ac:dyDescent="0.25">
      <c r="A1389" s="114" t="s">
        <v>5108</v>
      </c>
      <c r="B1389" s="115" t="s">
        <v>3915</v>
      </c>
      <c r="C1389" s="116" t="s">
        <v>93</v>
      </c>
      <c r="D1389" s="116">
        <v>0</v>
      </c>
      <c r="E1389" s="135">
        <f ca="1">OFFSET(INDEX(Composições!A:J,MATCH(Orçamentária!A1389,Composições!A:A,0),8),2,0)</f>
        <v>40.496322599999999</v>
      </c>
      <c r="F1389" s="136">
        <f t="shared" ref="F1389:F1452" ca="1" si="90">IF(ISNUMBER(E1389),D1389*E1389,"")</f>
        <v>0</v>
      </c>
      <c r="G1389" s="137" t="e">
        <f>IF(A1389&lt;&gt;"",IF(AND(#REF!="Padrão",$H$4=#REF!),BDI!$B$17,IF(AND(#REF!="Padrão",$H$4=#REF!),BDI!#REF!,IF(AND(#REF!="Diferenciado",$H$4=#REF!),BDI!$E$17,IF(AND(#REF!="Diferenciado",$H$4=#REF!),BDI!#REF!,IF(#REF!="ZERO",0))))),"")</f>
        <v>#REF!</v>
      </c>
      <c r="H1389" s="138" t="e">
        <f t="shared" ref="H1389:H1452" ca="1" si="91">IF(ISNUMBER(E1389),ROUND(E1389*(1+G1389),2),"")</f>
        <v>#REF!</v>
      </c>
      <c r="I1389" s="136" t="e">
        <f t="shared" ref="I1389:I1452" ca="1" si="92">IF(ISNUMBER(E1389),ROUND(H1389*D1389,2),"")</f>
        <v>#REF!</v>
      </c>
    </row>
    <row r="1390" spans="1:9" hidden="1" x14ac:dyDescent="0.25">
      <c r="A1390" s="114" t="s">
        <v>5109</v>
      </c>
      <c r="B1390" s="115" t="s">
        <v>3916</v>
      </c>
      <c r="C1390" s="116" t="s">
        <v>20</v>
      </c>
      <c r="D1390" s="116">
        <v>0</v>
      </c>
      <c r="E1390" s="135" t="s">
        <v>558</v>
      </c>
      <c r="F1390" s="136" t="str">
        <f t="shared" si="90"/>
        <v/>
      </c>
      <c r="G1390" s="137" t="e">
        <f>IF(A1390&lt;&gt;"",IF(AND(#REF!="Padrão",$H$4=#REF!),BDI!$B$17,IF(AND(#REF!="Padrão",$H$4=#REF!),BDI!#REF!,IF(AND(#REF!="Diferenciado",$H$4=#REF!),BDI!$E$17,IF(AND(#REF!="Diferenciado",$H$4=#REF!),BDI!#REF!,IF(#REF!="ZERO",0))))),"")</f>
        <v>#REF!</v>
      </c>
      <c r="H1390" s="138" t="str">
        <f t="shared" si="91"/>
        <v/>
      </c>
      <c r="I1390" s="136" t="str">
        <f t="shared" si="92"/>
        <v/>
      </c>
    </row>
    <row r="1391" spans="1:9" hidden="1" x14ac:dyDescent="0.25">
      <c r="A1391" s="114" t="s">
        <v>5110</v>
      </c>
      <c r="B1391" s="115" t="s">
        <v>3917</v>
      </c>
      <c r="C1391" s="116" t="s">
        <v>20</v>
      </c>
      <c r="D1391" s="116">
        <v>0</v>
      </c>
      <c r="E1391" s="135">
        <f ca="1">OFFSET(INDEX(Composições!A:J,MATCH(Orçamentária!A1391,Composições!A:A,0),8),2,0)</f>
        <v>16.096059</v>
      </c>
      <c r="F1391" s="136">
        <f t="shared" ca="1" si="90"/>
        <v>0</v>
      </c>
      <c r="G1391" s="137" t="e">
        <f>IF(A1391&lt;&gt;"",IF(AND(#REF!="Padrão",$H$4=#REF!),BDI!$B$17,IF(AND(#REF!="Padrão",$H$4=#REF!),BDI!#REF!,IF(AND(#REF!="Diferenciado",$H$4=#REF!),BDI!$E$17,IF(AND(#REF!="Diferenciado",$H$4=#REF!),BDI!#REF!,IF(#REF!="ZERO",0))))),"")</f>
        <v>#REF!</v>
      </c>
      <c r="H1391" s="138" t="e">
        <f t="shared" ca="1" si="91"/>
        <v>#REF!</v>
      </c>
      <c r="I1391" s="136" t="e">
        <f t="shared" ca="1" si="92"/>
        <v>#REF!</v>
      </c>
    </row>
    <row r="1392" spans="1:9" hidden="1" x14ac:dyDescent="0.25">
      <c r="A1392" s="114" t="s">
        <v>5111</v>
      </c>
      <c r="B1392" s="115" t="s">
        <v>3918</v>
      </c>
      <c r="C1392" s="116" t="s">
        <v>93</v>
      </c>
      <c r="D1392" s="116">
        <v>0</v>
      </c>
      <c r="E1392" s="135">
        <f ca="1">OFFSET(INDEX(Composições!A:J,MATCH(Orçamentária!A1392,Composições!A:A,0),8),2,0)</f>
        <v>30.523499999999999</v>
      </c>
      <c r="F1392" s="136">
        <f t="shared" ca="1" si="90"/>
        <v>0</v>
      </c>
      <c r="G1392" s="137" t="e">
        <f>IF(A1392&lt;&gt;"",IF(AND(#REF!="Padrão",$H$4=#REF!),BDI!$B$17,IF(AND(#REF!="Padrão",$H$4=#REF!),BDI!#REF!,IF(AND(#REF!="Diferenciado",$H$4=#REF!),BDI!$E$17,IF(AND(#REF!="Diferenciado",$H$4=#REF!),BDI!#REF!,IF(#REF!="ZERO",0))))),"")</f>
        <v>#REF!</v>
      </c>
      <c r="H1392" s="138" t="e">
        <f t="shared" ca="1" si="91"/>
        <v>#REF!</v>
      </c>
      <c r="I1392" s="136" t="e">
        <f t="shared" ca="1" si="92"/>
        <v>#REF!</v>
      </c>
    </row>
    <row r="1393" spans="1:9" hidden="1" x14ac:dyDescent="0.25">
      <c r="A1393" s="114" t="s">
        <v>5112</v>
      </c>
      <c r="B1393" s="115" t="s">
        <v>3919</v>
      </c>
      <c r="C1393" s="116" t="s">
        <v>1532</v>
      </c>
      <c r="D1393" s="116">
        <v>0</v>
      </c>
      <c r="E1393" s="135">
        <f ca="1">OFFSET(INDEX(Composições!A:J,MATCH(Orçamentária!A1393,Composições!A:A,0),8),2,0)</f>
        <v>104.7945</v>
      </c>
      <c r="F1393" s="136">
        <f t="shared" ca="1" si="90"/>
        <v>0</v>
      </c>
      <c r="G1393" s="137" t="e">
        <f>IF(A1393&lt;&gt;"",IF(AND(#REF!="Padrão",$H$4=#REF!),BDI!$B$17,IF(AND(#REF!="Padrão",$H$4=#REF!),BDI!#REF!,IF(AND(#REF!="Diferenciado",$H$4=#REF!),BDI!$E$17,IF(AND(#REF!="Diferenciado",$H$4=#REF!),BDI!#REF!,IF(#REF!="ZERO",0))))),"")</f>
        <v>#REF!</v>
      </c>
      <c r="H1393" s="138" t="e">
        <f t="shared" ca="1" si="91"/>
        <v>#REF!</v>
      </c>
      <c r="I1393" s="136" t="e">
        <f t="shared" ca="1" si="92"/>
        <v>#REF!</v>
      </c>
    </row>
    <row r="1394" spans="1:9" hidden="1" x14ac:dyDescent="0.25">
      <c r="A1394" s="114" t="s">
        <v>5113</v>
      </c>
      <c r="B1394" s="115" t="s">
        <v>3920</v>
      </c>
      <c r="C1394" s="116" t="s">
        <v>20</v>
      </c>
      <c r="D1394" s="116">
        <v>0</v>
      </c>
      <c r="E1394" s="135" t="s">
        <v>558</v>
      </c>
      <c r="F1394" s="136" t="str">
        <f t="shared" si="90"/>
        <v/>
      </c>
      <c r="G1394" s="137" t="e">
        <f>IF(A1394&lt;&gt;"",IF(AND(#REF!="Padrão",$H$4=#REF!),BDI!$B$17,IF(AND(#REF!="Padrão",$H$4=#REF!),BDI!#REF!,IF(AND(#REF!="Diferenciado",$H$4=#REF!),BDI!$E$17,IF(AND(#REF!="Diferenciado",$H$4=#REF!),BDI!#REF!,IF(#REF!="ZERO",0))))),"")</f>
        <v>#REF!</v>
      </c>
      <c r="H1394" s="138" t="str">
        <f t="shared" si="91"/>
        <v/>
      </c>
      <c r="I1394" s="136" t="str">
        <f t="shared" si="92"/>
        <v/>
      </c>
    </row>
    <row r="1395" spans="1:9" hidden="1" x14ac:dyDescent="0.25">
      <c r="A1395" s="114" t="s">
        <v>5114</v>
      </c>
      <c r="B1395" s="115" t="s">
        <v>3921</v>
      </c>
      <c r="C1395" s="116" t="s">
        <v>20</v>
      </c>
      <c r="D1395" s="116">
        <v>0</v>
      </c>
      <c r="E1395" s="135">
        <f ca="1">OFFSET(INDEX(Composições!A:J,MATCH(Orçamentária!A1395,Composições!A:A,0),8),2,0)</f>
        <v>16.311866699999999</v>
      </c>
      <c r="F1395" s="136">
        <f t="shared" ca="1" si="90"/>
        <v>0</v>
      </c>
      <c r="G1395" s="137" t="e">
        <f>IF(A1395&lt;&gt;"",IF(AND(#REF!="Padrão",$H$4=#REF!),BDI!$B$17,IF(AND(#REF!="Padrão",$H$4=#REF!),BDI!#REF!,IF(AND(#REF!="Diferenciado",$H$4=#REF!),BDI!$E$17,IF(AND(#REF!="Diferenciado",$H$4=#REF!),BDI!#REF!,IF(#REF!="ZERO",0))))),"")</f>
        <v>#REF!</v>
      </c>
      <c r="H1395" s="138" t="e">
        <f t="shared" ca="1" si="91"/>
        <v>#REF!</v>
      </c>
      <c r="I1395" s="136" t="e">
        <f t="shared" ca="1" si="92"/>
        <v>#REF!</v>
      </c>
    </row>
    <row r="1396" spans="1:9" hidden="1" x14ac:dyDescent="0.25">
      <c r="A1396" s="114" t="s">
        <v>5115</v>
      </c>
      <c r="B1396" s="115" t="s">
        <v>3922</v>
      </c>
      <c r="C1396" s="116" t="s">
        <v>103</v>
      </c>
      <c r="D1396" s="116">
        <v>0</v>
      </c>
      <c r="E1396" s="135">
        <f ca="1">OFFSET(INDEX(Composições!A:J,MATCH(Orçamentária!A1396,Composições!A:A,0),8),2,0)</f>
        <v>0</v>
      </c>
      <c r="F1396" s="136">
        <f t="shared" ca="1" si="90"/>
        <v>0</v>
      </c>
      <c r="G1396" s="137" t="e">
        <f>IF(A1396&lt;&gt;"",IF(AND(#REF!="Padrão",$H$4=#REF!),BDI!$B$17,IF(AND(#REF!="Padrão",$H$4=#REF!),BDI!#REF!,IF(AND(#REF!="Diferenciado",$H$4=#REF!),BDI!$E$17,IF(AND(#REF!="Diferenciado",$H$4=#REF!),BDI!#REF!,IF(#REF!="ZERO",0))))),"")</f>
        <v>#REF!</v>
      </c>
      <c r="H1396" s="138" t="e">
        <f t="shared" ca="1" si="91"/>
        <v>#REF!</v>
      </c>
      <c r="I1396" s="136" t="e">
        <f t="shared" ca="1" si="92"/>
        <v>#REF!</v>
      </c>
    </row>
    <row r="1397" spans="1:9" hidden="1" x14ac:dyDescent="0.25">
      <c r="A1397" s="114" t="s">
        <v>5116</v>
      </c>
      <c r="B1397" s="115" t="s">
        <v>3923</v>
      </c>
      <c r="C1397" s="116" t="s">
        <v>20</v>
      </c>
      <c r="D1397" s="116">
        <v>0</v>
      </c>
      <c r="E1397" s="135" t="s">
        <v>558</v>
      </c>
      <c r="F1397" s="136" t="str">
        <f t="shared" si="90"/>
        <v/>
      </c>
      <c r="G1397" s="137" t="e">
        <f>IF(A1397&lt;&gt;"",IF(AND(#REF!="Padrão",$H$4=#REF!),BDI!$B$17,IF(AND(#REF!="Padrão",$H$4=#REF!),BDI!#REF!,IF(AND(#REF!="Diferenciado",$H$4=#REF!),BDI!$E$17,IF(AND(#REF!="Diferenciado",$H$4=#REF!),BDI!#REF!,IF(#REF!="ZERO",0))))),"")</f>
        <v>#REF!</v>
      </c>
      <c r="H1397" s="138" t="str">
        <f t="shared" si="91"/>
        <v/>
      </c>
      <c r="I1397" s="136" t="str">
        <f t="shared" si="92"/>
        <v/>
      </c>
    </row>
    <row r="1398" spans="1:9" hidden="1" x14ac:dyDescent="0.25">
      <c r="A1398" s="114" t="s">
        <v>5117</v>
      </c>
      <c r="B1398" s="115" t="s">
        <v>3924</v>
      </c>
      <c r="C1398" s="116" t="s">
        <v>20</v>
      </c>
      <c r="D1398" s="116">
        <v>0</v>
      </c>
      <c r="E1398" s="135" t="s">
        <v>558</v>
      </c>
      <c r="F1398" s="136" t="str">
        <f t="shared" si="90"/>
        <v/>
      </c>
      <c r="G1398" s="137" t="e">
        <f>IF(A1398&lt;&gt;"",IF(AND(#REF!="Padrão",$H$4=#REF!),BDI!$B$17,IF(AND(#REF!="Padrão",$H$4=#REF!),BDI!#REF!,IF(AND(#REF!="Diferenciado",$H$4=#REF!),BDI!$E$17,IF(AND(#REF!="Diferenciado",$H$4=#REF!),BDI!#REF!,IF(#REF!="ZERO",0))))),"")</f>
        <v>#REF!</v>
      </c>
      <c r="H1398" s="138" t="str">
        <f t="shared" si="91"/>
        <v/>
      </c>
      <c r="I1398" s="136" t="str">
        <f t="shared" si="92"/>
        <v/>
      </c>
    </row>
    <row r="1399" spans="1:9" hidden="1" x14ac:dyDescent="0.25">
      <c r="A1399" s="114" t="s">
        <v>5118</v>
      </c>
      <c r="B1399" s="115" t="s">
        <v>3925</v>
      </c>
      <c r="C1399" s="116" t="s">
        <v>20</v>
      </c>
      <c r="D1399" s="116">
        <v>0</v>
      </c>
      <c r="E1399" s="135" t="s">
        <v>558</v>
      </c>
      <c r="F1399" s="136" t="str">
        <f t="shared" si="90"/>
        <v/>
      </c>
      <c r="G1399" s="137" t="e">
        <f>IF(A1399&lt;&gt;"",IF(AND(#REF!="Padrão",$H$4=#REF!),BDI!$B$17,IF(AND(#REF!="Padrão",$H$4=#REF!),BDI!#REF!,IF(AND(#REF!="Diferenciado",$H$4=#REF!),BDI!$E$17,IF(AND(#REF!="Diferenciado",$H$4=#REF!),BDI!#REF!,IF(#REF!="ZERO",0))))),"")</f>
        <v>#REF!</v>
      </c>
      <c r="H1399" s="138" t="str">
        <f t="shared" si="91"/>
        <v/>
      </c>
      <c r="I1399" s="136" t="str">
        <f t="shared" si="92"/>
        <v/>
      </c>
    </row>
    <row r="1400" spans="1:9" hidden="1" x14ac:dyDescent="0.25">
      <c r="A1400" s="114" t="s">
        <v>5119</v>
      </c>
      <c r="B1400" s="115" t="s">
        <v>3926</v>
      </c>
      <c r="C1400" s="116" t="s">
        <v>20</v>
      </c>
      <c r="D1400" s="116">
        <v>0</v>
      </c>
      <c r="E1400" s="135" t="s">
        <v>558</v>
      </c>
      <c r="F1400" s="136" t="str">
        <f t="shared" si="90"/>
        <v/>
      </c>
      <c r="G1400" s="137" t="e">
        <f>IF(A1400&lt;&gt;"",IF(AND(#REF!="Padrão",$H$4=#REF!),BDI!$B$17,IF(AND(#REF!="Padrão",$H$4=#REF!),BDI!#REF!,IF(AND(#REF!="Diferenciado",$H$4=#REF!),BDI!$E$17,IF(AND(#REF!="Diferenciado",$H$4=#REF!),BDI!#REF!,IF(#REF!="ZERO",0))))),"")</f>
        <v>#REF!</v>
      </c>
      <c r="H1400" s="138" t="str">
        <f t="shared" si="91"/>
        <v/>
      </c>
      <c r="I1400" s="136" t="str">
        <f t="shared" si="92"/>
        <v/>
      </c>
    </row>
    <row r="1401" spans="1:9" hidden="1" x14ac:dyDescent="0.25">
      <c r="A1401" s="114" t="s">
        <v>5120</v>
      </c>
      <c r="B1401" s="115" t="s">
        <v>3927</v>
      </c>
      <c r="C1401" s="116" t="s">
        <v>20</v>
      </c>
      <c r="D1401" s="116">
        <v>0</v>
      </c>
      <c r="E1401" s="135" t="s">
        <v>558</v>
      </c>
      <c r="F1401" s="136" t="str">
        <f t="shared" si="90"/>
        <v/>
      </c>
      <c r="G1401" s="137" t="e">
        <f>IF(A1401&lt;&gt;"",IF(AND(#REF!="Padrão",$H$4=#REF!),BDI!$B$17,IF(AND(#REF!="Padrão",$H$4=#REF!),BDI!#REF!,IF(AND(#REF!="Diferenciado",$H$4=#REF!),BDI!$E$17,IF(AND(#REF!="Diferenciado",$H$4=#REF!),BDI!#REF!,IF(#REF!="ZERO",0))))),"")</f>
        <v>#REF!</v>
      </c>
      <c r="H1401" s="138" t="str">
        <f t="shared" si="91"/>
        <v/>
      </c>
      <c r="I1401" s="136" t="str">
        <f t="shared" si="92"/>
        <v/>
      </c>
    </row>
    <row r="1402" spans="1:9" hidden="1" x14ac:dyDescent="0.25">
      <c r="A1402" s="114" t="s">
        <v>5121</v>
      </c>
      <c r="B1402" s="115" t="s">
        <v>3928</v>
      </c>
      <c r="C1402" s="116" t="s">
        <v>20</v>
      </c>
      <c r="D1402" s="116">
        <v>0</v>
      </c>
      <c r="E1402" s="135" t="s">
        <v>558</v>
      </c>
      <c r="F1402" s="136" t="str">
        <f t="shared" si="90"/>
        <v/>
      </c>
      <c r="G1402" s="137" t="e">
        <f>IF(A1402&lt;&gt;"",IF(AND(#REF!="Padrão",$H$4=#REF!),BDI!$B$17,IF(AND(#REF!="Padrão",$H$4=#REF!),BDI!#REF!,IF(AND(#REF!="Diferenciado",$H$4=#REF!),BDI!$E$17,IF(AND(#REF!="Diferenciado",$H$4=#REF!),BDI!#REF!,IF(#REF!="ZERO",0))))),"")</f>
        <v>#REF!</v>
      </c>
      <c r="H1402" s="138" t="str">
        <f t="shared" si="91"/>
        <v/>
      </c>
      <c r="I1402" s="136" t="str">
        <f t="shared" si="92"/>
        <v/>
      </c>
    </row>
    <row r="1403" spans="1:9" hidden="1" x14ac:dyDescent="0.25">
      <c r="A1403" s="114" t="s">
        <v>5122</v>
      </c>
      <c r="B1403" s="115" t="s">
        <v>3929</v>
      </c>
      <c r="C1403" s="116" t="s">
        <v>20</v>
      </c>
      <c r="D1403" s="116">
        <v>0</v>
      </c>
      <c r="E1403" s="135" t="s">
        <v>558</v>
      </c>
      <c r="F1403" s="136" t="str">
        <f t="shared" si="90"/>
        <v/>
      </c>
      <c r="G1403" s="137" t="e">
        <f>IF(A1403&lt;&gt;"",IF(AND(#REF!="Padrão",$H$4=#REF!),BDI!$B$17,IF(AND(#REF!="Padrão",$H$4=#REF!),BDI!#REF!,IF(AND(#REF!="Diferenciado",$H$4=#REF!),BDI!$E$17,IF(AND(#REF!="Diferenciado",$H$4=#REF!),BDI!#REF!,IF(#REF!="ZERO",0))))),"")</f>
        <v>#REF!</v>
      </c>
      <c r="H1403" s="138" t="str">
        <f t="shared" si="91"/>
        <v/>
      </c>
      <c r="I1403" s="136" t="str">
        <f t="shared" si="92"/>
        <v/>
      </c>
    </row>
    <row r="1404" spans="1:9" hidden="1" x14ac:dyDescent="0.25">
      <c r="A1404" s="114" t="s">
        <v>5123</v>
      </c>
      <c r="B1404" s="115" t="s">
        <v>3930</v>
      </c>
      <c r="C1404" s="116" t="s">
        <v>20</v>
      </c>
      <c r="D1404" s="116">
        <v>0</v>
      </c>
      <c r="E1404" s="135" t="s">
        <v>558</v>
      </c>
      <c r="F1404" s="136" t="str">
        <f t="shared" si="90"/>
        <v/>
      </c>
      <c r="G1404" s="137" t="e">
        <f>IF(A1404&lt;&gt;"",IF(AND(#REF!="Padrão",$H$4=#REF!),BDI!$B$17,IF(AND(#REF!="Padrão",$H$4=#REF!),BDI!#REF!,IF(AND(#REF!="Diferenciado",$H$4=#REF!),BDI!$E$17,IF(AND(#REF!="Diferenciado",$H$4=#REF!),BDI!#REF!,IF(#REF!="ZERO",0))))),"")</f>
        <v>#REF!</v>
      </c>
      <c r="H1404" s="138" t="str">
        <f t="shared" si="91"/>
        <v/>
      </c>
      <c r="I1404" s="136" t="str">
        <f t="shared" si="92"/>
        <v/>
      </c>
    </row>
    <row r="1405" spans="1:9" hidden="1" x14ac:dyDescent="0.25">
      <c r="A1405" s="114" t="s">
        <v>5124</v>
      </c>
      <c r="B1405" s="115" t="s">
        <v>3931</v>
      </c>
      <c r="C1405" s="116" t="s">
        <v>20</v>
      </c>
      <c r="D1405" s="116">
        <v>0</v>
      </c>
      <c r="E1405" s="135" t="s">
        <v>558</v>
      </c>
      <c r="F1405" s="136" t="str">
        <f t="shared" si="90"/>
        <v/>
      </c>
      <c r="G1405" s="137" t="e">
        <f>IF(A1405&lt;&gt;"",IF(AND(#REF!="Padrão",$H$4=#REF!),BDI!$B$17,IF(AND(#REF!="Padrão",$H$4=#REF!),BDI!#REF!,IF(AND(#REF!="Diferenciado",$H$4=#REF!),BDI!$E$17,IF(AND(#REF!="Diferenciado",$H$4=#REF!),BDI!#REF!,IF(#REF!="ZERO",0))))),"")</f>
        <v>#REF!</v>
      </c>
      <c r="H1405" s="138" t="str">
        <f t="shared" si="91"/>
        <v/>
      </c>
      <c r="I1405" s="136" t="str">
        <f t="shared" si="92"/>
        <v/>
      </c>
    </row>
    <row r="1406" spans="1:9" hidden="1" x14ac:dyDescent="0.25">
      <c r="A1406" s="114" t="s">
        <v>5125</v>
      </c>
      <c r="B1406" s="115" t="s">
        <v>3932</v>
      </c>
      <c r="C1406" s="116" t="s">
        <v>20</v>
      </c>
      <c r="D1406" s="116">
        <v>0</v>
      </c>
      <c r="E1406" s="135" t="s">
        <v>558</v>
      </c>
      <c r="F1406" s="136" t="str">
        <f t="shared" si="90"/>
        <v/>
      </c>
      <c r="G1406" s="137" t="e">
        <f>IF(A1406&lt;&gt;"",IF(AND(#REF!="Padrão",$H$4=#REF!),BDI!$B$17,IF(AND(#REF!="Padrão",$H$4=#REF!),BDI!#REF!,IF(AND(#REF!="Diferenciado",$H$4=#REF!),BDI!$E$17,IF(AND(#REF!="Diferenciado",$H$4=#REF!),BDI!#REF!,IF(#REF!="ZERO",0))))),"")</f>
        <v>#REF!</v>
      </c>
      <c r="H1406" s="138" t="str">
        <f t="shared" si="91"/>
        <v/>
      </c>
      <c r="I1406" s="136" t="str">
        <f t="shared" si="92"/>
        <v/>
      </c>
    </row>
    <row r="1407" spans="1:9" ht="25.5" hidden="1" x14ac:dyDescent="0.25">
      <c r="A1407" s="114" t="s">
        <v>5126</v>
      </c>
      <c r="B1407" s="115" t="s">
        <v>3933</v>
      </c>
      <c r="C1407" s="116" t="s">
        <v>20</v>
      </c>
      <c r="D1407" s="116">
        <v>0</v>
      </c>
      <c r="E1407" s="135" t="s">
        <v>558</v>
      </c>
      <c r="F1407" s="136" t="str">
        <f t="shared" si="90"/>
        <v/>
      </c>
      <c r="G1407" s="137" t="e">
        <f>IF(A1407&lt;&gt;"",IF(AND(#REF!="Padrão",$H$4=#REF!),BDI!$B$17,IF(AND(#REF!="Padrão",$H$4=#REF!),BDI!#REF!,IF(AND(#REF!="Diferenciado",$H$4=#REF!),BDI!$E$17,IF(AND(#REF!="Diferenciado",$H$4=#REF!),BDI!#REF!,IF(#REF!="ZERO",0))))),"")</f>
        <v>#REF!</v>
      </c>
      <c r="H1407" s="138" t="str">
        <f t="shared" si="91"/>
        <v/>
      </c>
      <c r="I1407" s="136" t="str">
        <f t="shared" si="92"/>
        <v/>
      </c>
    </row>
    <row r="1408" spans="1:9" hidden="1" x14ac:dyDescent="0.25">
      <c r="A1408" s="114" t="s">
        <v>5127</v>
      </c>
      <c r="B1408" s="115" t="s">
        <v>3934</v>
      </c>
      <c r="C1408" s="116" t="s">
        <v>2533</v>
      </c>
      <c r="D1408" s="116">
        <v>0</v>
      </c>
      <c r="E1408" s="135">
        <f ca="1">OFFSET(INDEX(Composições!A:J,MATCH(Orçamentária!A1408,Composições!A:A,0),8),2,0)</f>
        <v>10788.89767905</v>
      </c>
      <c r="F1408" s="136">
        <f t="shared" ca="1" si="90"/>
        <v>0</v>
      </c>
      <c r="G1408" s="137" t="e">
        <f>IF(A1408&lt;&gt;"",IF(AND(#REF!="Padrão",$H$4=#REF!),BDI!$B$17,IF(AND(#REF!="Padrão",$H$4=#REF!),BDI!#REF!,IF(AND(#REF!="Diferenciado",$H$4=#REF!),BDI!$E$17,IF(AND(#REF!="Diferenciado",$H$4=#REF!),BDI!#REF!,IF(#REF!="ZERO",0))))),"")</f>
        <v>#REF!</v>
      </c>
      <c r="H1408" s="138" t="e">
        <f t="shared" ca="1" si="91"/>
        <v>#REF!</v>
      </c>
      <c r="I1408" s="136" t="e">
        <f t="shared" ca="1" si="92"/>
        <v>#REF!</v>
      </c>
    </row>
    <row r="1409" spans="1:9" hidden="1" x14ac:dyDescent="0.25">
      <c r="A1409" s="114" t="s">
        <v>5128</v>
      </c>
      <c r="B1409" s="115" t="s">
        <v>3935</v>
      </c>
      <c r="C1409" s="116" t="s">
        <v>2533</v>
      </c>
      <c r="D1409" s="116">
        <v>0</v>
      </c>
      <c r="E1409" s="135">
        <f ca="1">OFFSET(INDEX(Composições!A:J,MATCH(Orçamentária!A1409,Composições!A:A,0),8),2,0)</f>
        <v>10788.89767905</v>
      </c>
      <c r="F1409" s="136">
        <f t="shared" ca="1" si="90"/>
        <v>0</v>
      </c>
      <c r="G1409" s="137" t="e">
        <f>IF(A1409&lt;&gt;"",IF(AND(#REF!="Padrão",$H$4=#REF!),BDI!$B$17,IF(AND(#REF!="Padrão",$H$4=#REF!),BDI!#REF!,IF(AND(#REF!="Diferenciado",$H$4=#REF!),BDI!$E$17,IF(AND(#REF!="Diferenciado",$H$4=#REF!),BDI!#REF!,IF(#REF!="ZERO",0))))),"")</f>
        <v>#REF!</v>
      </c>
      <c r="H1409" s="138" t="e">
        <f t="shared" ca="1" si="91"/>
        <v>#REF!</v>
      </c>
      <c r="I1409" s="136" t="e">
        <f t="shared" ca="1" si="92"/>
        <v>#REF!</v>
      </c>
    </row>
    <row r="1410" spans="1:9" hidden="1" x14ac:dyDescent="0.25">
      <c r="A1410" s="114" t="s">
        <v>5129</v>
      </c>
      <c r="B1410" s="115" t="s">
        <v>3936</v>
      </c>
      <c r="C1410" s="116" t="s">
        <v>2533</v>
      </c>
      <c r="D1410" s="116">
        <v>0</v>
      </c>
      <c r="E1410" s="135">
        <f ca="1">OFFSET(INDEX(Composições!A:J,MATCH(Orçamentária!A1410,Composições!A:A,0),8),2,0)</f>
        <v>3890.6930438999998</v>
      </c>
      <c r="F1410" s="136">
        <f t="shared" ca="1" si="90"/>
        <v>0</v>
      </c>
      <c r="G1410" s="137" t="e">
        <f>IF(A1410&lt;&gt;"",IF(AND(#REF!="Padrão",$H$4=#REF!),BDI!$B$17,IF(AND(#REF!="Padrão",$H$4=#REF!),BDI!#REF!,IF(AND(#REF!="Diferenciado",$H$4=#REF!),BDI!$E$17,IF(AND(#REF!="Diferenciado",$H$4=#REF!),BDI!#REF!,IF(#REF!="ZERO",0))))),"")</f>
        <v>#REF!</v>
      </c>
      <c r="H1410" s="138" t="e">
        <f t="shared" ca="1" si="91"/>
        <v>#REF!</v>
      </c>
      <c r="I1410" s="136" t="e">
        <f t="shared" ca="1" si="92"/>
        <v>#REF!</v>
      </c>
    </row>
    <row r="1411" spans="1:9" hidden="1" x14ac:dyDescent="0.25">
      <c r="A1411" s="114" t="s">
        <v>5130</v>
      </c>
      <c r="B1411" s="115" t="s">
        <v>3937</v>
      </c>
      <c r="C1411" s="116" t="s">
        <v>2533</v>
      </c>
      <c r="D1411" s="116">
        <v>0</v>
      </c>
      <c r="E1411" s="135">
        <f ca="1">OFFSET(INDEX(Composições!A:J,MATCH(Orçamentária!A1411,Composições!A:A,0),8),2,0)</f>
        <v>2083.2519315</v>
      </c>
      <c r="F1411" s="136">
        <f t="shared" ca="1" si="90"/>
        <v>0</v>
      </c>
      <c r="G1411" s="137" t="e">
        <f>IF(A1411&lt;&gt;"",IF(AND(#REF!="Padrão",$H$4=#REF!),BDI!$B$17,IF(AND(#REF!="Padrão",$H$4=#REF!),BDI!#REF!,IF(AND(#REF!="Diferenciado",$H$4=#REF!),BDI!$E$17,IF(AND(#REF!="Diferenciado",$H$4=#REF!),BDI!#REF!,IF(#REF!="ZERO",0))))),"")</f>
        <v>#REF!</v>
      </c>
      <c r="H1411" s="138" t="e">
        <f t="shared" ca="1" si="91"/>
        <v>#REF!</v>
      </c>
      <c r="I1411" s="136" t="e">
        <f t="shared" ca="1" si="92"/>
        <v>#REF!</v>
      </c>
    </row>
    <row r="1412" spans="1:9" hidden="1" x14ac:dyDescent="0.25">
      <c r="A1412" s="114" t="s">
        <v>5131</v>
      </c>
      <c r="B1412" s="115" t="s">
        <v>3938</v>
      </c>
      <c r="C1412" s="116" t="s">
        <v>2533</v>
      </c>
      <c r="D1412" s="116">
        <v>0</v>
      </c>
      <c r="E1412" s="135">
        <f ca="1">OFFSET(INDEX(Composições!A:J,MATCH(Orçamentária!A1412,Composições!A:A,0),8),2,0)</f>
        <v>2265.1697058</v>
      </c>
      <c r="F1412" s="136">
        <f t="shared" ca="1" si="90"/>
        <v>0</v>
      </c>
      <c r="G1412" s="137" t="e">
        <f>IF(A1412&lt;&gt;"",IF(AND(#REF!="Padrão",$H$4=#REF!),BDI!$B$17,IF(AND(#REF!="Padrão",$H$4=#REF!),BDI!#REF!,IF(AND(#REF!="Diferenciado",$H$4=#REF!),BDI!$E$17,IF(AND(#REF!="Diferenciado",$H$4=#REF!),BDI!#REF!,IF(#REF!="ZERO",0))))),"")</f>
        <v>#REF!</v>
      </c>
      <c r="H1412" s="138" t="e">
        <f t="shared" ca="1" si="91"/>
        <v>#REF!</v>
      </c>
      <c r="I1412" s="136" t="e">
        <f t="shared" ca="1" si="92"/>
        <v>#REF!</v>
      </c>
    </row>
    <row r="1413" spans="1:9" hidden="1" x14ac:dyDescent="0.25">
      <c r="A1413" s="114" t="s">
        <v>5132</v>
      </c>
      <c r="B1413" s="115" t="s">
        <v>3939</v>
      </c>
      <c r="C1413" s="116" t="s">
        <v>2533</v>
      </c>
      <c r="D1413" s="116">
        <v>0</v>
      </c>
      <c r="E1413" s="135">
        <f ca="1">OFFSET(INDEX(Composições!A:J,MATCH(Orçamentária!A1413,Composições!A:A,0),8),2,0)</f>
        <v>2560.5415758999998</v>
      </c>
      <c r="F1413" s="136">
        <f t="shared" ca="1" si="90"/>
        <v>0</v>
      </c>
      <c r="G1413" s="137" t="e">
        <f>IF(A1413&lt;&gt;"",IF(AND(#REF!="Padrão",$H$4=#REF!),BDI!$B$17,IF(AND(#REF!="Padrão",$H$4=#REF!),BDI!#REF!,IF(AND(#REF!="Diferenciado",$H$4=#REF!),BDI!$E$17,IF(AND(#REF!="Diferenciado",$H$4=#REF!),BDI!#REF!,IF(#REF!="ZERO",0))))),"")</f>
        <v>#REF!</v>
      </c>
      <c r="H1413" s="138" t="e">
        <f t="shared" ca="1" si="91"/>
        <v>#REF!</v>
      </c>
      <c r="I1413" s="136" t="e">
        <f t="shared" ca="1" si="92"/>
        <v>#REF!</v>
      </c>
    </row>
    <row r="1414" spans="1:9" hidden="1" x14ac:dyDescent="0.25">
      <c r="A1414" s="114" t="s">
        <v>5133</v>
      </c>
      <c r="B1414" s="115" t="s">
        <v>3940</v>
      </c>
      <c r="C1414" s="116" t="s">
        <v>2533</v>
      </c>
      <c r="D1414" s="116">
        <v>0</v>
      </c>
      <c r="E1414" s="135">
        <f ca="1">OFFSET(INDEX(Composições!A:J,MATCH(Orçamentária!A1414,Composições!A:A,0),8),2,0)</f>
        <v>3179.6488400499998</v>
      </c>
      <c r="F1414" s="136">
        <f t="shared" ca="1" si="90"/>
        <v>0</v>
      </c>
      <c r="G1414" s="137" t="e">
        <f>IF(A1414&lt;&gt;"",IF(AND(#REF!="Padrão",$H$4=#REF!),BDI!$B$17,IF(AND(#REF!="Padrão",$H$4=#REF!),BDI!#REF!,IF(AND(#REF!="Diferenciado",$H$4=#REF!),BDI!$E$17,IF(AND(#REF!="Diferenciado",$H$4=#REF!),BDI!#REF!,IF(#REF!="ZERO",0))))),"")</f>
        <v>#REF!</v>
      </c>
      <c r="H1414" s="138" t="e">
        <f t="shared" ca="1" si="91"/>
        <v>#REF!</v>
      </c>
      <c r="I1414" s="136" t="e">
        <f t="shared" ca="1" si="92"/>
        <v>#REF!</v>
      </c>
    </row>
    <row r="1415" spans="1:9" hidden="1" x14ac:dyDescent="0.25">
      <c r="A1415" s="114" t="s">
        <v>5134</v>
      </c>
      <c r="B1415" s="115" t="s">
        <v>3941</v>
      </c>
      <c r="C1415" s="116" t="s">
        <v>2533</v>
      </c>
      <c r="D1415" s="116">
        <v>0</v>
      </c>
      <c r="E1415" s="135">
        <f ca="1">OFFSET(INDEX(Composições!A:J,MATCH(Orçamentária!A1415,Composições!A:A,0),8),2,0)</f>
        <v>3179.6488400499998</v>
      </c>
      <c r="F1415" s="136">
        <f t="shared" ca="1" si="90"/>
        <v>0</v>
      </c>
      <c r="G1415" s="137" t="e">
        <f>IF(A1415&lt;&gt;"",IF(AND(#REF!="Padrão",$H$4=#REF!),BDI!$B$17,IF(AND(#REF!="Padrão",$H$4=#REF!),BDI!#REF!,IF(AND(#REF!="Diferenciado",$H$4=#REF!),BDI!$E$17,IF(AND(#REF!="Diferenciado",$H$4=#REF!),BDI!#REF!,IF(#REF!="ZERO",0))))),"")</f>
        <v>#REF!</v>
      </c>
      <c r="H1415" s="138" t="e">
        <f t="shared" ca="1" si="91"/>
        <v>#REF!</v>
      </c>
      <c r="I1415" s="136" t="e">
        <f t="shared" ca="1" si="92"/>
        <v>#REF!</v>
      </c>
    </row>
    <row r="1416" spans="1:9" hidden="1" x14ac:dyDescent="0.25">
      <c r="A1416" s="114" t="s">
        <v>5135</v>
      </c>
      <c r="B1416" s="115" t="s">
        <v>3942</v>
      </c>
      <c r="C1416" s="116" t="s">
        <v>2533</v>
      </c>
      <c r="D1416" s="116">
        <v>0</v>
      </c>
      <c r="E1416" s="135">
        <f ca="1">OFFSET(INDEX(Composições!A:J,MATCH(Orçamentária!A1416,Composições!A:A,0),8),2,0)</f>
        <v>3179.6488400499998</v>
      </c>
      <c r="F1416" s="136">
        <f t="shared" ca="1" si="90"/>
        <v>0</v>
      </c>
      <c r="G1416" s="137" t="e">
        <f>IF(A1416&lt;&gt;"",IF(AND(#REF!="Padrão",$H$4=#REF!),BDI!$B$17,IF(AND(#REF!="Padrão",$H$4=#REF!),BDI!#REF!,IF(AND(#REF!="Diferenciado",$H$4=#REF!),BDI!$E$17,IF(AND(#REF!="Diferenciado",$H$4=#REF!),BDI!#REF!,IF(#REF!="ZERO",0))))),"")</f>
        <v>#REF!</v>
      </c>
      <c r="H1416" s="138" t="e">
        <f t="shared" ca="1" si="91"/>
        <v>#REF!</v>
      </c>
      <c r="I1416" s="136" t="e">
        <f t="shared" ca="1" si="92"/>
        <v>#REF!</v>
      </c>
    </row>
    <row r="1417" spans="1:9" hidden="1" x14ac:dyDescent="0.25">
      <c r="A1417" s="114" t="s">
        <v>5136</v>
      </c>
      <c r="B1417" s="115" t="s">
        <v>3943</v>
      </c>
      <c r="C1417" s="116" t="s">
        <v>2533</v>
      </c>
      <c r="D1417" s="116">
        <v>0</v>
      </c>
      <c r="E1417" s="135">
        <f ca="1">OFFSET(INDEX(Composições!A:J,MATCH(Orçamentária!A1417,Composições!A:A,0),8),2,0)</f>
        <v>3179.6488400499998</v>
      </c>
      <c r="F1417" s="136">
        <f t="shared" ca="1" si="90"/>
        <v>0</v>
      </c>
      <c r="G1417" s="137" t="e">
        <f>IF(A1417&lt;&gt;"",IF(AND(#REF!="Padrão",$H$4=#REF!),BDI!$B$17,IF(AND(#REF!="Padrão",$H$4=#REF!),BDI!#REF!,IF(AND(#REF!="Diferenciado",$H$4=#REF!),BDI!$E$17,IF(AND(#REF!="Diferenciado",$H$4=#REF!),BDI!#REF!,IF(#REF!="ZERO",0))))),"")</f>
        <v>#REF!</v>
      </c>
      <c r="H1417" s="138" t="e">
        <f t="shared" ca="1" si="91"/>
        <v>#REF!</v>
      </c>
      <c r="I1417" s="136" t="e">
        <f t="shared" ca="1" si="92"/>
        <v>#REF!</v>
      </c>
    </row>
    <row r="1418" spans="1:9" hidden="1" x14ac:dyDescent="0.25">
      <c r="A1418" s="114" t="s">
        <v>5137</v>
      </c>
      <c r="B1418" s="115" t="s">
        <v>3944</v>
      </c>
      <c r="C1418" s="116" t="s">
        <v>2533</v>
      </c>
      <c r="D1418" s="116">
        <v>0</v>
      </c>
      <c r="E1418" s="135">
        <f ca="1">OFFSET(INDEX(Composições!A:J,MATCH(Orçamentária!A1418,Composições!A:A,0),8),2,0)</f>
        <v>2357.1066455</v>
      </c>
      <c r="F1418" s="136">
        <f t="shared" ca="1" si="90"/>
        <v>0</v>
      </c>
      <c r="G1418" s="137" t="e">
        <f>IF(A1418&lt;&gt;"",IF(AND(#REF!="Padrão",$H$4=#REF!),BDI!$B$17,IF(AND(#REF!="Padrão",$H$4=#REF!),BDI!#REF!,IF(AND(#REF!="Diferenciado",$H$4=#REF!),BDI!$E$17,IF(AND(#REF!="Diferenciado",$H$4=#REF!),BDI!#REF!,IF(#REF!="ZERO",0))))),"")</f>
        <v>#REF!</v>
      </c>
      <c r="H1418" s="138" t="e">
        <f t="shared" ca="1" si="91"/>
        <v>#REF!</v>
      </c>
      <c r="I1418" s="136" t="e">
        <f t="shared" ca="1" si="92"/>
        <v>#REF!</v>
      </c>
    </row>
    <row r="1419" spans="1:9" hidden="1" x14ac:dyDescent="0.25">
      <c r="A1419" s="114" t="s">
        <v>5138</v>
      </c>
      <c r="B1419" s="115" t="s">
        <v>3945</v>
      </c>
      <c r="C1419" s="116" t="s">
        <v>2533</v>
      </c>
      <c r="D1419" s="116">
        <v>0</v>
      </c>
      <c r="E1419" s="135">
        <f ca="1">OFFSET(INDEX(Composições!A:J,MATCH(Orçamentária!A1419,Composições!A:A,0),8),2,0)</f>
        <v>1832.8704786999997</v>
      </c>
      <c r="F1419" s="136">
        <f t="shared" ca="1" si="90"/>
        <v>0</v>
      </c>
      <c r="G1419" s="137" t="e">
        <f>IF(A1419&lt;&gt;"",IF(AND(#REF!="Padrão",$H$4=#REF!),BDI!$B$17,IF(AND(#REF!="Padrão",$H$4=#REF!),BDI!#REF!,IF(AND(#REF!="Diferenciado",$H$4=#REF!),BDI!$E$17,IF(AND(#REF!="Diferenciado",$H$4=#REF!),BDI!#REF!,IF(#REF!="ZERO",0))))),"")</f>
        <v>#REF!</v>
      </c>
      <c r="H1419" s="138" t="e">
        <f t="shared" ca="1" si="91"/>
        <v>#REF!</v>
      </c>
      <c r="I1419" s="136" t="e">
        <f t="shared" ca="1" si="92"/>
        <v>#REF!</v>
      </c>
    </row>
    <row r="1420" spans="1:9" hidden="1" x14ac:dyDescent="0.25">
      <c r="A1420" s="114" t="s">
        <v>5139</v>
      </c>
      <c r="B1420" s="115" t="s">
        <v>3946</v>
      </c>
      <c r="C1420" s="116" t="s">
        <v>2533</v>
      </c>
      <c r="D1420" s="116">
        <v>0</v>
      </c>
      <c r="E1420" s="135">
        <f ca="1">OFFSET(INDEX(Composições!A:J,MATCH(Orçamentária!A1420,Composições!A:A,0),8),2,0)</f>
        <v>3179.6488400499998</v>
      </c>
      <c r="F1420" s="136">
        <f t="shared" ca="1" si="90"/>
        <v>0</v>
      </c>
      <c r="G1420" s="137" t="e">
        <f>IF(A1420&lt;&gt;"",IF(AND(#REF!="Padrão",$H$4=#REF!),BDI!$B$17,IF(AND(#REF!="Padrão",$H$4=#REF!),BDI!#REF!,IF(AND(#REF!="Diferenciado",$H$4=#REF!),BDI!$E$17,IF(AND(#REF!="Diferenciado",$H$4=#REF!),BDI!#REF!,IF(#REF!="ZERO",0))))),"")</f>
        <v>#REF!</v>
      </c>
      <c r="H1420" s="138" t="e">
        <f t="shared" ca="1" si="91"/>
        <v>#REF!</v>
      </c>
      <c r="I1420" s="136" t="e">
        <f t="shared" ca="1" si="92"/>
        <v>#REF!</v>
      </c>
    </row>
    <row r="1421" spans="1:9" hidden="1" x14ac:dyDescent="0.25">
      <c r="A1421" s="114" t="s">
        <v>5140</v>
      </c>
      <c r="B1421" s="115" t="s">
        <v>3947</v>
      </c>
      <c r="C1421" s="116" t="s">
        <v>2533</v>
      </c>
      <c r="D1421" s="116">
        <v>0</v>
      </c>
      <c r="E1421" s="135">
        <f ca="1">OFFSET(INDEX(Composições!A:J,MATCH(Orçamentária!A1421,Composições!A:A,0),8),2,0)</f>
        <v>3179.6488400499998</v>
      </c>
      <c r="F1421" s="136">
        <f t="shared" ca="1" si="90"/>
        <v>0</v>
      </c>
      <c r="G1421" s="137" t="e">
        <f>IF(A1421&lt;&gt;"",IF(AND(#REF!="Padrão",$H$4=#REF!),BDI!$B$17,IF(AND(#REF!="Padrão",$H$4=#REF!),BDI!#REF!,IF(AND(#REF!="Diferenciado",$H$4=#REF!),BDI!$E$17,IF(AND(#REF!="Diferenciado",$H$4=#REF!),BDI!#REF!,IF(#REF!="ZERO",0))))),"")</f>
        <v>#REF!</v>
      </c>
      <c r="H1421" s="138" t="e">
        <f t="shared" ca="1" si="91"/>
        <v>#REF!</v>
      </c>
      <c r="I1421" s="136" t="e">
        <f t="shared" ca="1" si="92"/>
        <v>#REF!</v>
      </c>
    </row>
    <row r="1422" spans="1:9" hidden="1" x14ac:dyDescent="0.25">
      <c r="A1422" s="114" t="s">
        <v>5141</v>
      </c>
      <c r="B1422" s="115" t="s">
        <v>3948</v>
      </c>
      <c r="C1422" s="116" t="s">
        <v>2533</v>
      </c>
      <c r="D1422" s="116">
        <v>0</v>
      </c>
      <c r="E1422" s="135">
        <f ca="1">OFFSET(INDEX(Composições!A:J,MATCH(Orçamentária!A1422,Composições!A:A,0),8),2,0)</f>
        <v>3179.6488400499998</v>
      </c>
      <c r="F1422" s="136">
        <f t="shared" ca="1" si="90"/>
        <v>0</v>
      </c>
      <c r="G1422" s="137" t="e">
        <f>IF(A1422&lt;&gt;"",IF(AND(#REF!="Padrão",$H$4=#REF!),BDI!$B$17,IF(AND(#REF!="Padrão",$H$4=#REF!),BDI!#REF!,IF(AND(#REF!="Diferenciado",$H$4=#REF!),BDI!$E$17,IF(AND(#REF!="Diferenciado",$H$4=#REF!),BDI!#REF!,IF(#REF!="ZERO",0))))),"")</f>
        <v>#REF!</v>
      </c>
      <c r="H1422" s="138" t="e">
        <f t="shared" ca="1" si="91"/>
        <v>#REF!</v>
      </c>
      <c r="I1422" s="136" t="e">
        <f t="shared" ca="1" si="92"/>
        <v>#REF!</v>
      </c>
    </row>
    <row r="1423" spans="1:9" hidden="1" x14ac:dyDescent="0.25">
      <c r="A1423" s="114" t="s">
        <v>5142</v>
      </c>
      <c r="B1423" s="115" t="s">
        <v>3949</v>
      </c>
      <c r="C1423" s="116" t="s">
        <v>2533</v>
      </c>
      <c r="D1423" s="116">
        <v>0</v>
      </c>
      <c r="E1423" s="135">
        <f ca="1">OFFSET(INDEX(Composições!A:J,MATCH(Orçamentária!A1423,Composições!A:A,0),8),2,0)</f>
        <v>3179.6488400499998</v>
      </c>
      <c r="F1423" s="136">
        <f t="shared" ca="1" si="90"/>
        <v>0</v>
      </c>
      <c r="G1423" s="137" t="e">
        <f>IF(A1423&lt;&gt;"",IF(AND(#REF!="Padrão",$H$4=#REF!),BDI!$B$17,IF(AND(#REF!="Padrão",$H$4=#REF!),BDI!#REF!,IF(AND(#REF!="Diferenciado",$H$4=#REF!),BDI!$E$17,IF(AND(#REF!="Diferenciado",$H$4=#REF!),BDI!#REF!,IF(#REF!="ZERO",0))))),"")</f>
        <v>#REF!</v>
      </c>
      <c r="H1423" s="138" t="e">
        <f t="shared" ca="1" si="91"/>
        <v>#REF!</v>
      </c>
      <c r="I1423" s="136" t="e">
        <f t="shared" ca="1" si="92"/>
        <v>#REF!</v>
      </c>
    </row>
    <row r="1424" spans="1:9" hidden="1" x14ac:dyDescent="0.25">
      <c r="A1424" s="114" t="s">
        <v>5143</v>
      </c>
      <c r="B1424" s="115" t="s">
        <v>3950</v>
      </c>
      <c r="C1424" s="116" t="s">
        <v>2533</v>
      </c>
      <c r="D1424" s="116">
        <v>0</v>
      </c>
      <c r="E1424" s="135">
        <f ca="1">OFFSET(INDEX(Composições!A:J,MATCH(Orçamentária!A1424,Composições!A:A,0),8),2,0)</f>
        <v>2357.1066455</v>
      </c>
      <c r="F1424" s="136">
        <f t="shared" ca="1" si="90"/>
        <v>0</v>
      </c>
      <c r="G1424" s="137" t="e">
        <f>IF(A1424&lt;&gt;"",IF(AND(#REF!="Padrão",$H$4=#REF!),BDI!$B$17,IF(AND(#REF!="Padrão",$H$4=#REF!),BDI!#REF!,IF(AND(#REF!="Diferenciado",$H$4=#REF!),BDI!$E$17,IF(AND(#REF!="Diferenciado",$H$4=#REF!),BDI!#REF!,IF(#REF!="ZERO",0))))),"")</f>
        <v>#REF!</v>
      </c>
      <c r="H1424" s="138" t="e">
        <f t="shared" ca="1" si="91"/>
        <v>#REF!</v>
      </c>
      <c r="I1424" s="136" t="e">
        <f t="shared" ca="1" si="92"/>
        <v>#REF!</v>
      </c>
    </row>
    <row r="1425" spans="1:9" hidden="1" x14ac:dyDescent="0.25">
      <c r="A1425" s="114" t="s">
        <v>5144</v>
      </c>
      <c r="B1425" s="115" t="s">
        <v>3951</v>
      </c>
      <c r="C1425" s="116" t="s">
        <v>2533</v>
      </c>
      <c r="D1425" s="116">
        <v>0</v>
      </c>
      <c r="E1425" s="135">
        <f ca="1">OFFSET(INDEX(Composições!A:J,MATCH(Orçamentária!A1425,Composições!A:A,0),8),2,0)</f>
        <v>2357.1066455</v>
      </c>
      <c r="F1425" s="136">
        <f t="shared" ca="1" si="90"/>
        <v>0</v>
      </c>
      <c r="G1425" s="137" t="e">
        <f>IF(A1425&lt;&gt;"",IF(AND(#REF!="Padrão",$H$4=#REF!),BDI!$B$17,IF(AND(#REF!="Padrão",$H$4=#REF!),BDI!#REF!,IF(AND(#REF!="Diferenciado",$H$4=#REF!),BDI!$E$17,IF(AND(#REF!="Diferenciado",$H$4=#REF!),BDI!#REF!,IF(#REF!="ZERO",0))))),"")</f>
        <v>#REF!</v>
      </c>
      <c r="H1425" s="138" t="e">
        <f t="shared" ca="1" si="91"/>
        <v>#REF!</v>
      </c>
      <c r="I1425" s="136" t="e">
        <f t="shared" ca="1" si="92"/>
        <v>#REF!</v>
      </c>
    </row>
    <row r="1426" spans="1:9" hidden="1" x14ac:dyDescent="0.25">
      <c r="A1426" s="114" t="s">
        <v>5145</v>
      </c>
      <c r="B1426" s="115" t="s">
        <v>3952</v>
      </c>
      <c r="C1426" s="116" t="s">
        <v>2533</v>
      </c>
      <c r="D1426" s="116">
        <v>0</v>
      </c>
      <c r="E1426" s="135">
        <f ca="1">OFFSET(INDEX(Composições!A:J,MATCH(Orçamentária!A1426,Composições!A:A,0),8),2,0)</f>
        <v>2357.1066455</v>
      </c>
      <c r="F1426" s="136">
        <f t="shared" ca="1" si="90"/>
        <v>0</v>
      </c>
      <c r="G1426" s="137" t="e">
        <f>IF(A1426&lt;&gt;"",IF(AND(#REF!="Padrão",$H$4=#REF!),BDI!$B$17,IF(AND(#REF!="Padrão",$H$4=#REF!),BDI!#REF!,IF(AND(#REF!="Diferenciado",$H$4=#REF!),BDI!$E$17,IF(AND(#REF!="Diferenciado",$H$4=#REF!),BDI!#REF!,IF(#REF!="ZERO",0))))),"")</f>
        <v>#REF!</v>
      </c>
      <c r="H1426" s="138" t="e">
        <f t="shared" ca="1" si="91"/>
        <v>#REF!</v>
      </c>
      <c r="I1426" s="136" t="e">
        <f t="shared" ca="1" si="92"/>
        <v>#REF!</v>
      </c>
    </row>
    <row r="1427" spans="1:9" hidden="1" x14ac:dyDescent="0.25">
      <c r="A1427" s="114" t="s">
        <v>5146</v>
      </c>
      <c r="B1427" s="115" t="s">
        <v>3953</v>
      </c>
      <c r="C1427" s="116" t="s">
        <v>2533</v>
      </c>
      <c r="D1427" s="116">
        <v>0</v>
      </c>
      <c r="E1427" s="135">
        <f ca="1">OFFSET(INDEX(Composições!A:J,MATCH(Orçamentária!A1427,Composições!A:A,0),8),2,0)</f>
        <v>2357.1066455</v>
      </c>
      <c r="F1427" s="136">
        <f t="shared" ca="1" si="90"/>
        <v>0</v>
      </c>
      <c r="G1427" s="137" t="e">
        <f>IF(A1427&lt;&gt;"",IF(AND(#REF!="Padrão",$H$4=#REF!),BDI!$B$17,IF(AND(#REF!="Padrão",$H$4=#REF!),BDI!#REF!,IF(AND(#REF!="Diferenciado",$H$4=#REF!),BDI!$E$17,IF(AND(#REF!="Diferenciado",$H$4=#REF!),BDI!#REF!,IF(#REF!="ZERO",0))))),"")</f>
        <v>#REF!</v>
      </c>
      <c r="H1427" s="138" t="e">
        <f t="shared" ca="1" si="91"/>
        <v>#REF!</v>
      </c>
      <c r="I1427" s="136" t="e">
        <f t="shared" ca="1" si="92"/>
        <v>#REF!</v>
      </c>
    </row>
    <row r="1428" spans="1:9" hidden="1" x14ac:dyDescent="0.25">
      <c r="A1428" s="114" t="s">
        <v>5147</v>
      </c>
      <c r="B1428" s="115" t="s">
        <v>3954</v>
      </c>
      <c r="C1428" s="116" t="s">
        <v>20</v>
      </c>
      <c r="D1428" s="116">
        <v>0</v>
      </c>
      <c r="E1428" s="135" t="s">
        <v>558</v>
      </c>
      <c r="F1428" s="136" t="str">
        <f t="shared" si="90"/>
        <v/>
      </c>
      <c r="G1428" s="137" t="e">
        <f>IF(A1428&lt;&gt;"",IF(AND(#REF!="Padrão",$H$4=#REF!),BDI!$B$17,IF(AND(#REF!="Padrão",$H$4=#REF!),BDI!#REF!,IF(AND(#REF!="Diferenciado",$H$4=#REF!),BDI!$E$17,IF(AND(#REF!="Diferenciado",$H$4=#REF!),BDI!#REF!,IF(#REF!="ZERO",0))))),"")</f>
        <v>#REF!</v>
      </c>
      <c r="H1428" s="138" t="str">
        <f t="shared" si="91"/>
        <v/>
      </c>
      <c r="I1428" s="136" t="str">
        <f t="shared" si="92"/>
        <v/>
      </c>
    </row>
    <row r="1429" spans="1:9" hidden="1" x14ac:dyDescent="0.25">
      <c r="A1429" s="114" t="s">
        <v>5148</v>
      </c>
      <c r="B1429" s="115" t="s">
        <v>3955</v>
      </c>
      <c r="C1429" s="116" t="s">
        <v>20</v>
      </c>
      <c r="D1429" s="116">
        <v>0</v>
      </c>
      <c r="E1429" s="135" t="s">
        <v>558</v>
      </c>
      <c r="F1429" s="136" t="str">
        <f t="shared" si="90"/>
        <v/>
      </c>
      <c r="G1429" s="137" t="e">
        <f>IF(A1429&lt;&gt;"",IF(AND(#REF!="Padrão",$H$4=#REF!),BDI!$B$17,IF(AND(#REF!="Padrão",$H$4=#REF!),BDI!#REF!,IF(AND(#REF!="Diferenciado",$H$4=#REF!),BDI!$E$17,IF(AND(#REF!="Diferenciado",$H$4=#REF!),BDI!#REF!,IF(#REF!="ZERO",0))))),"")</f>
        <v>#REF!</v>
      </c>
      <c r="H1429" s="138" t="str">
        <f t="shared" si="91"/>
        <v/>
      </c>
      <c r="I1429" s="136" t="str">
        <f t="shared" si="92"/>
        <v/>
      </c>
    </row>
    <row r="1430" spans="1:9" hidden="1" x14ac:dyDescent="0.25">
      <c r="A1430" s="114" t="s">
        <v>5149</v>
      </c>
      <c r="B1430" s="115" t="s">
        <v>3956</v>
      </c>
      <c r="C1430" s="116" t="s">
        <v>20</v>
      </c>
      <c r="D1430" s="116">
        <v>0</v>
      </c>
      <c r="E1430" s="135" t="s">
        <v>558</v>
      </c>
      <c r="F1430" s="136" t="str">
        <f t="shared" si="90"/>
        <v/>
      </c>
      <c r="G1430" s="137" t="e">
        <f>IF(A1430&lt;&gt;"",IF(AND(#REF!="Padrão",$H$4=#REF!),BDI!$B$17,IF(AND(#REF!="Padrão",$H$4=#REF!),BDI!#REF!,IF(AND(#REF!="Diferenciado",$H$4=#REF!),BDI!$E$17,IF(AND(#REF!="Diferenciado",$H$4=#REF!),BDI!#REF!,IF(#REF!="ZERO",0))))),"")</f>
        <v>#REF!</v>
      </c>
      <c r="H1430" s="138" t="str">
        <f t="shared" si="91"/>
        <v/>
      </c>
      <c r="I1430" s="136" t="str">
        <f t="shared" si="92"/>
        <v/>
      </c>
    </row>
    <row r="1431" spans="1:9" hidden="1" x14ac:dyDescent="0.25">
      <c r="A1431" s="114" t="s">
        <v>5150</v>
      </c>
      <c r="B1431" s="115" t="s">
        <v>3957</v>
      </c>
      <c r="C1431" s="116" t="s">
        <v>20</v>
      </c>
      <c r="D1431" s="116">
        <v>0</v>
      </c>
      <c r="E1431" s="135" t="s">
        <v>558</v>
      </c>
      <c r="F1431" s="136" t="str">
        <f t="shared" si="90"/>
        <v/>
      </c>
      <c r="G1431" s="137" t="e">
        <f>IF(A1431&lt;&gt;"",IF(AND(#REF!="Padrão",$H$4=#REF!),BDI!$B$17,IF(AND(#REF!="Padrão",$H$4=#REF!),BDI!#REF!,IF(AND(#REF!="Diferenciado",$H$4=#REF!),BDI!$E$17,IF(AND(#REF!="Diferenciado",$H$4=#REF!),BDI!#REF!,IF(#REF!="ZERO",0))))),"")</f>
        <v>#REF!</v>
      </c>
      <c r="H1431" s="138" t="str">
        <f t="shared" si="91"/>
        <v/>
      </c>
      <c r="I1431" s="136" t="str">
        <f t="shared" si="92"/>
        <v/>
      </c>
    </row>
    <row r="1432" spans="1:9" hidden="1" x14ac:dyDescent="0.25">
      <c r="A1432" s="114" t="s">
        <v>5151</v>
      </c>
      <c r="B1432" s="115" t="s">
        <v>3958</v>
      </c>
      <c r="C1432" s="116" t="s">
        <v>20</v>
      </c>
      <c r="D1432" s="116">
        <v>0</v>
      </c>
      <c r="E1432" s="135" t="s">
        <v>558</v>
      </c>
      <c r="F1432" s="136" t="str">
        <f t="shared" si="90"/>
        <v/>
      </c>
      <c r="G1432" s="137" t="e">
        <f>IF(A1432&lt;&gt;"",IF(AND(#REF!="Padrão",$H$4=#REF!),BDI!$B$17,IF(AND(#REF!="Padrão",$H$4=#REF!),BDI!#REF!,IF(AND(#REF!="Diferenciado",$H$4=#REF!),BDI!$E$17,IF(AND(#REF!="Diferenciado",$H$4=#REF!),BDI!#REF!,IF(#REF!="ZERO",0))))),"")</f>
        <v>#REF!</v>
      </c>
      <c r="H1432" s="138" t="str">
        <f t="shared" si="91"/>
        <v/>
      </c>
      <c r="I1432" s="136" t="str">
        <f t="shared" si="92"/>
        <v/>
      </c>
    </row>
    <row r="1433" spans="1:9" hidden="1" x14ac:dyDescent="0.25">
      <c r="A1433" s="114" t="s">
        <v>5152</v>
      </c>
      <c r="B1433" s="115" t="s">
        <v>3959</v>
      </c>
      <c r="C1433" s="116" t="s">
        <v>20</v>
      </c>
      <c r="D1433" s="116">
        <v>0</v>
      </c>
      <c r="E1433" s="135" t="s">
        <v>558</v>
      </c>
      <c r="F1433" s="136" t="str">
        <f t="shared" si="90"/>
        <v/>
      </c>
      <c r="G1433" s="137" t="e">
        <f>IF(A1433&lt;&gt;"",IF(AND(#REF!="Padrão",$H$4=#REF!),BDI!$B$17,IF(AND(#REF!="Padrão",$H$4=#REF!),BDI!#REF!,IF(AND(#REF!="Diferenciado",$H$4=#REF!),BDI!$E$17,IF(AND(#REF!="Diferenciado",$H$4=#REF!),BDI!#REF!,IF(#REF!="ZERO",0))))),"")</f>
        <v>#REF!</v>
      </c>
      <c r="H1433" s="138" t="str">
        <f t="shared" si="91"/>
        <v/>
      </c>
      <c r="I1433" s="136" t="str">
        <f t="shared" si="92"/>
        <v/>
      </c>
    </row>
    <row r="1434" spans="1:9" hidden="1" x14ac:dyDescent="0.25">
      <c r="A1434" s="114" t="s">
        <v>5153</v>
      </c>
      <c r="B1434" s="115" t="s">
        <v>3960</v>
      </c>
      <c r="C1434" s="116" t="s">
        <v>20</v>
      </c>
      <c r="D1434" s="116">
        <v>0</v>
      </c>
      <c r="E1434" s="135" t="s">
        <v>558</v>
      </c>
      <c r="F1434" s="136" t="str">
        <f t="shared" si="90"/>
        <v/>
      </c>
      <c r="G1434" s="137" t="e">
        <f>IF(A1434&lt;&gt;"",IF(AND(#REF!="Padrão",$H$4=#REF!),BDI!$B$17,IF(AND(#REF!="Padrão",$H$4=#REF!),BDI!#REF!,IF(AND(#REF!="Diferenciado",$H$4=#REF!),BDI!$E$17,IF(AND(#REF!="Diferenciado",$H$4=#REF!),BDI!#REF!,IF(#REF!="ZERO",0))))),"")</f>
        <v>#REF!</v>
      </c>
      <c r="H1434" s="138" t="str">
        <f t="shared" si="91"/>
        <v/>
      </c>
      <c r="I1434" s="136" t="str">
        <f t="shared" si="92"/>
        <v/>
      </c>
    </row>
    <row r="1435" spans="1:9" hidden="1" x14ac:dyDescent="0.25">
      <c r="A1435" s="114" t="s">
        <v>5154</v>
      </c>
      <c r="B1435" s="115" t="s">
        <v>3961</v>
      </c>
      <c r="C1435" s="116" t="s">
        <v>20</v>
      </c>
      <c r="D1435" s="116">
        <v>0</v>
      </c>
      <c r="E1435" s="135" t="s">
        <v>558</v>
      </c>
      <c r="F1435" s="136" t="str">
        <f t="shared" si="90"/>
        <v/>
      </c>
      <c r="G1435" s="137" t="e">
        <f>IF(A1435&lt;&gt;"",IF(AND(#REF!="Padrão",$H$4=#REF!),BDI!$B$17,IF(AND(#REF!="Padrão",$H$4=#REF!),BDI!#REF!,IF(AND(#REF!="Diferenciado",$H$4=#REF!),BDI!$E$17,IF(AND(#REF!="Diferenciado",$H$4=#REF!),BDI!#REF!,IF(#REF!="ZERO",0))))),"")</f>
        <v>#REF!</v>
      </c>
      <c r="H1435" s="138" t="str">
        <f t="shared" si="91"/>
        <v/>
      </c>
      <c r="I1435" s="136" t="str">
        <f t="shared" si="92"/>
        <v/>
      </c>
    </row>
    <row r="1436" spans="1:9" hidden="1" x14ac:dyDescent="0.25">
      <c r="A1436" s="114" t="s">
        <v>5155</v>
      </c>
      <c r="B1436" s="115" t="s">
        <v>3962</v>
      </c>
      <c r="C1436" s="116" t="s">
        <v>20</v>
      </c>
      <c r="D1436" s="116">
        <v>0</v>
      </c>
      <c r="E1436" s="135" t="s">
        <v>558</v>
      </c>
      <c r="F1436" s="136" t="str">
        <f t="shared" si="90"/>
        <v/>
      </c>
      <c r="G1436" s="137" t="e">
        <f>IF(A1436&lt;&gt;"",IF(AND(#REF!="Padrão",$H$4=#REF!),BDI!$B$17,IF(AND(#REF!="Padrão",$H$4=#REF!),BDI!#REF!,IF(AND(#REF!="Diferenciado",$H$4=#REF!),BDI!$E$17,IF(AND(#REF!="Diferenciado",$H$4=#REF!),BDI!#REF!,IF(#REF!="ZERO",0))))),"")</f>
        <v>#REF!</v>
      </c>
      <c r="H1436" s="138" t="str">
        <f t="shared" si="91"/>
        <v/>
      </c>
      <c r="I1436" s="136" t="str">
        <f t="shared" si="92"/>
        <v/>
      </c>
    </row>
    <row r="1437" spans="1:9" hidden="1" x14ac:dyDescent="0.25">
      <c r="A1437" s="114" t="s">
        <v>5156</v>
      </c>
      <c r="B1437" s="115" t="s">
        <v>3963</v>
      </c>
      <c r="C1437" s="116" t="s">
        <v>20</v>
      </c>
      <c r="D1437" s="116">
        <v>0</v>
      </c>
      <c r="E1437" s="135" t="s">
        <v>558</v>
      </c>
      <c r="F1437" s="136" t="str">
        <f t="shared" si="90"/>
        <v/>
      </c>
      <c r="G1437" s="137" t="e">
        <f>IF(A1437&lt;&gt;"",IF(AND(#REF!="Padrão",$H$4=#REF!),BDI!$B$17,IF(AND(#REF!="Padrão",$H$4=#REF!),BDI!#REF!,IF(AND(#REF!="Diferenciado",$H$4=#REF!),BDI!$E$17,IF(AND(#REF!="Diferenciado",$H$4=#REF!),BDI!#REF!,IF(#REF!="ZERO",0))))),"")</f>
        <v>#REF!</v>
      </c>
      <c r="H1437" s="138" t="str">
        <f t="shared" si="91"/>
        <v/>
      </c>
      <c r="I1437" s="136" t="str">
        <f t="shared" si="92"/>
        <v/>
      </c>
    </row>
    <row r="1438" spans="1:9" hidden="1" x14ac:dyDescent="0.25">
      <c r="A1438" s="114" t="s">
        <v>5157</v>
      </c>
      <c r="B1438" s="115" t="s">
        <v>3964</v>
      </c>
      <c r="C1438" s="116" t="s">
        <v>20</v>
      </c>
      <c r="D1438" s="116">
        <v>0</v>
      </c>
      <c r="E1438" s="135" t="s">
        <v>558</v>
      </c>
      <c r="F1438" s="136" t="str">
        <f t="shared" si="90"/>
        <v/>
      </c>
      <c r="G1438" s="137" t="e">
        <f>IF(A1438&lt;&gt;"",IF(AND(#REF!="Padrão",$H$4=#REF!),BDI!$B$17,IF(AND(#REF!="Padrão",$H$4=#REF!),BDI!#REF!,IF(AND(#REF!="Diferenciado",$H$4=#REF!),BDI!$E$17,IF(AND(#REF!="Diferenciado",$H$4=#REF!),BDI!#REF!,IF(#REF!="ZERO",0))))),"")</f>
        <v>#REF!</v>
      </c>
      <c r="H1438" s="138" t="str">
        <f t="shared" si="91"/>
        <v/>
      </c>
      <c r="I1438" s="136" t="str">
        <f t="shared" si="92"/>
        <v/>
      </c>
    </row>
    <row r="1439" spans="1:9" hidden="1" x14ac:dyDescent="0.25">
      <c r="A1439" s="114" t="s">
        <v>5158</v>
      </c>
      <c r="B1439" s="115" t="s">
        <v>3965</v>
      </c>
      <c r="C1439" s="116" t="s">
        <v>20</v>
      </c>
      <c r="D1439" s="116">
        <v>0</v>
      </c>
      <c r="E1439" s="135" t="s">
        <v>558</v>
      </c>
      <c r="F1439" s="136" t="str">
        <f t="shared" si="90"/>
        <v/>
      </c>
      <c r="G1439" s="137" t="e">
        <f>IF(A1439&lt;&gt;"",IF(AND(#REF!="Padrão",$H$4=#REF!),BDI!$B$17,IF(AND(#REF!="Padrão",$H$4=#REF!),BDI!#REF!,IF(AND(#REF!="Diferenciado",$H$4=#REF!),BDI!$E$17,IF(AND(#REF!="Diferenciado",$H$4=#REF!),BDI!#REF!,IF(#REF!="ZERO",0))))),"")</f>
        <v>#REF!</v>
      </c>
      <c r="H1439" s="138" t="str">
        <f t="shared" si="91"/>
        <v/>
      </c>
      <c r="I1439" s="136" t="str">
        <f t="shared" si="92"/>
        <v/>
      </c>
    </row>
    <row r="1440" spans="1:9" hidden="1" x14ac:dyDescent="0.25">
      <c r="A1440" s="114" t="s">
        <v>5159</v>
      </c>
      <c r="B1440" s="115" t="s">
        <v>3966</v>
      </c>
      <c r="C1440" s="116" t="s">
        <v>93</v>
      </c>
      <c r="D1440" s="116">
        <v>0</v>
      </c>
      <c r="E1440" s="135" t="s">
        <v>558</v>
      </c>
      <c r="F1440" s="136" t="str">
        <f t="shared" si="90"/>
        <v/>
      </c>
      <c r="G1440" s="137" t="e">
        <f>IF(A1440&lt;&gt;"",IF(AND(#REF!="Padrão",$H$4=#REF!),BDI!$B$17,IF(AND(#REF!="Padrão",$H$4=#REF!),BDI!#REF!,IF(AND(#REF!="Diferenciado",$H$4=#REF!),BDI!$E$17,IF(AND(#REF!="Diferenciado",$H$4=#REF!),BDI!#REF!,IF(#REF!="ZERO",0))))),"")</f>
        <v>#REF!</v>
      </c>
      <c r="H1440" s="138" t="str">
        <f t="shared" si="91"/>
        <v/>
      </c>
      <c r="I1440" s="136" t="str">
        <f t="shared" si="92"/>
        <v/>
      </c>
    </row>
    <row r="1441" spans="1:9" hidden="1" x14ac:dyDescent="0.25">
      <c r="A1441" s="114" t="s">
        <v>5160</v>
      </c>
      <c r="B1441" s="115" t="s">
        <v>3967</v>
      </c>
      <c r="C1441" s="116" t="s">
        <v>20</v>
      </c>
      <c r="D1441" s="116">
        <v>0</v>
      </c>
      <c r="E1441" s="135" t="s">
        <v>558</v>
      </c>
      <c r="F1441" s="136" t="str">
        <f t="shared" si="90"/>
        <v/>
      </c>
      <c r="G1441" s="137" t="e">
        <f>IF(A1441&lt;&gt;"",IF(AND(#REF!="Padrão",$H$4=#REF!),BDI!$B$17,IF(AND(#REF!="Padrão",$H$4=#REF!),BDI!#REF!,IF(AND(#REF!="Diferenciado",$H$4=#REF!),BDI!$E$17,IF(AND(#REF!="Diferenciado",$H$4=#REF!),BDI!#REF!,IF(#REF!="ZERO",0))))),"")</f>
        <v>#REF!</v>
      </c>
      <c r="H1441" s="138" t="str">
        <f t="shared" si="91"/>
        <v/>
      </c>
      <c r="I1441" s="136" t="str">
        <f t="shared" si="92"/>
        <v/>
      </c>
    </row>
    <row r="1442" spans="1:9" hidden="1" x14ac:dyDescent="0.25">
      <c r="A1442" s="114" t="s">
        <v>5161</v>
      </c>
      <c r="B1442" s="115" t="s">
        <v>3968</v>
      </c>
      <c r="C1442" s="116" t="s">
        <v>6353</v>
      </c>
      <c r="D1442" s="116">
        <v>0</v>
      </c>
      <c r="E1442" s="135" t="s">
        <v>558</v>
      </c>
      <c r="F1442" s="136" t="str">
        <f t="shared" si="90"/>
        <v/>
      </c>
      <c r="G1442" s="137" t="e">
        <f>IF(A1442&lt;&gt;"",IF(AND(#REF!="Padrão",$H$4=#REF!),BDI!$B$17,IF(AND(#REF!="Padrão",$H$4=#REF!),BDI!#REF!,IF(AND(#REF!="Diferenciado",$H$4=#REF!),BDI!$E$17,IF(AND(#REF!="Diferenciado",$H$4=#REF!),BDI!#REF!,IF(#REF!="ZERO",0))))),"")</f>
        <v>#REF!</v>
      </c>
      <c r="H1442" s="138" t="str">
        <f t="shared" si="91"/>
        <v/>
      </c>
      <c r="I1442" s="136" t="str">
        <f t="shared" si="92"/>
        <v/>
      </c>
    </row>
    <row r="1443" spans="1:9" hidden="1" x14ac:dyDescent="0.25">
      <c r="A1443" s="114" t="s">
        <v>5162</v>
      </c>
      <c r="B1443" s="115" t="s">
        <v>3969</v>
      </c>
      <c r="C1443" s="116" t="s">
        <v>20</v>
      </c>
      <c r="D1443" s="116">
        <v>0</v>
      </c>
      <c r="E1443" s="135" t="s">
        <v>558</v>
      </c>
      <c r="F1443" s="136" t="str">
        <f t="shared" si="90"/>
        <v/>
      </c>
      <c r="G1443" s="137" t="e">
        <f>IF(A1443&lt;&gt;"",IF(AND(#REF!="Padrão",$H$4=#REF!),BDI!$B$17,IF(AND(#REF!="Padrão",$H$4=#REF!),BDI!#REF!,IF(AND(#REF!="Diferenciado",$H$4=#REF!),BDI!$E$17,IF(AND(#REF!="Diferenciado",$H$4=#REF!),BDI!#REF!,IF(#REF!="ZERO",0))))),"")</f>
        <v>#REF!</v>
      </c>
      <c r="H1443" s="138" t="str">
        <f t="shared" si="91"/>
        <v/>
      </c>
      <c r="I1443" s="136" t="str">
        <f t="shared" si="92"/>
        <v/>
      </c>
    </row>
    <row r="1444" spans="1:9" hidden="1" x14ac:dyDescent="0.25">
      <c r="A1444" s="114" t="s">
        <v>5163</v>
      </c>
      <c r="B1444" s="115" t="s">
        <v>3970</v>
      </c>
      <c r="C1444" s="116" t="s">
        <v>20</v>
      </c>
      <c r="D1444" s="116">
        <v>0</v>
      </c>
      <c r="E1444" s="135" t="s">
        <v>558</v>
      </c>
      <c r="F1444" s="136" t="str">
        <f t="shared" si="90"/>
        <v/>
      </c>
      <c r="G1444" s="137" t="e">
        <f>IF(A1444&lt;&gt;"",IF(AND(#REF!="Padrão",$H$4=#REF!),BDI!$B$17,IF(AND(#REF!="Padrão",$H$4=#REF!),BDI!#REF!,IF(AND(#REF!="Diferenciado",$H$4=#REF!),BDI!$E$17,IF(AND(#REF!="Diferenciado",$H$4=#REF!),BDI!#REF!,IF(#REF!="ZERO",0))))),"")</f>
        <v>#REF!</v>
      </c>
      <c r="H1444" s="138" t="str">
        <f t="shared" si="91"/>
        <v/>
      </c>
      <c r="I1444" s="136" t="str">
        <f t="shared" si="92"/>
        <v/>
      </c>
    </row>
    <row r="1445" spans="1:9" hidden="1" x14ac:dyDescent="0.25">
      <c r="A1445" s="114" t="s">
        <v>5164</v>
      </c>
      <c r="B1445" s="115" t="s">
        <v>3971</v>
      </c>
      <c r="C1445" s="116" t="s">
        <v>20</v>
      </c>
      <c r="D1445" s="116">
        <v>0</v>
      </c>
      <c r="E1445" s="135" t="s">
        <v>558</v>
      </c>
      <c r="F1445" s="136" t="str">
        <f t="shared" si="90"/>
        <v/>
      </c>
      <c r="G1445" s="137" t="e">
        <f>IF(A1445&lt;&gt;"",IF(AND(#REF!="Padrão",$H$4=#REF!),BDI!$B$17,IF(AND(#REF!="Padrão",$H$4=#REF!),BDI!#REF!,IF(AND(#REF!="Diferenciado",$H$4=#REF!),BDI!$E$17,IF(AND(#REF!="Diferenciado",$H$4=#REF!),BDI!#REF!,IF(#REF!="ZERO",0))))),"")</f>
        <v>#REF!</v>
      </c>
      <c r="H1445" s="138" t="str">
        <f t="shared" si="91"/>
        <v/>
      </c>
      <c r="I1445" s="136" t="str">
        <f t="shared" si="92"/>
        <v/>
      </c>
    </row>
    <row r="1446" spans="1:9" hidden="1" x14ac:dyDescent="0.25">
      <c r="A1446" s="114" t="s">
        <v>5165</v>
      </c>
      <c r="B1446" s="115" t="s">
        <v>3972</v>
      </c>
      <c r="C1446" s="116" t="s">
        <v>20</v>
      </c>
      <c r="D1446" s="116">
        <v>0</v>
      </c>
      <c r="E1446" s="135" t="s">
        <v>558</v>
      </c>
      <c r="F1446" s="136" t="str">
        <f t="shared" si="90"/>
        <v/>
      </c>
      <c r="G1446" s="137" t="e">
        <f>IF(A1446&lt;&gt;"",IF(AND(#REF!="Padrão",$H$4=#REF!),BDI!$B$17,IF(AND(#REF!="Padrão",$H$4=#REF!),BDI!#REF!,IF(AND(#REF!="Diferenciado",$H$4=#REF!),BDI!$E$17,IF(AND(#REF!="Diferenciado",$H$4=#REF!),BDI!#REF!,IF(#REF!="ZERO",0))))),"")</f>
        <v>#REF!</v>
      </c>
      <c r="H1446" s="138" t="str">
        <f t="shared" si="91"/>
        <v/>
      </c>
      <c r="I1446" s="136" t="str">
        <f t="shared" si="92"/>
        <v/>
      </c>
    </row>
    <row r="1447" spans="1:9" hidden="1" x14ac:dyDescent="0.25">
      <c r="A1447" s="114" t="s">
        <v>5166</v>
      </c>
      <c r="B1447" s="115" t="s">
        <v>3973</v>
      </c>
      <c r="C1447" s="116" t="s">
        <v>20</v>
      </c>
      <c r="D1447" s="116">
        <v>0</v>
      </c>
      <c r="E1447" s="135" t="s">
        <v>558</v>
      </c>
      <c r="F1447" s="136" t="str">
        <f t="shared" si="90"/>
        <v/>
      </c>
      <c r="G1447" s="137" t="e">
        <f>IF(A1447&lt;&gt;"",IF(AND(#REF!="Padrão",$H$4=#REF!),BDI!$B$17,IF(AND(#REF!="Padrão",$H$4=#REF!),BDI!#REF!,IF(AND(#REF!="Diferenciado",$H$4=#REF!),BDI!$E$17,IF(AND(#REF!="Diferenciado",$H$4=#REF!),BDI!#REF!,IF(#REF!="ZERO",0))))),"")</f>
        <v>#REF!</v>
      </c>
      <c r="H1447" s="138" t="str">
        <f t="shared" si="91"/>
        <v/>
      </c>
      <c r="I1447" s="136" t="str">
        <f t="shared" si="92"/>
        <v/>
      </c>
    </row>
    <row r="1448" spans="1:9" hidden="1" x14ac:dyDescent="0.25">
      <c r="A1448" s="114" t="s">
        <v>5167</v>
      </c>
      <c r="B1448" s="115" t="s">
        <v>3974</v>
      </c>
      <c r="C1448" s="116" t="s">
        <v>20</v>
      </c>
      <c r="D1448" s="116">
        <v>0</v>
      </c>
      <c r="E1448" s="135" t="s">
        <v>558</v>
      </c>
      <c r="F1448" s="136" t="str">
        <f t="shared" si="90"/>
        <v/>
      </c>
      <c r="G1448" s="137" t="e">
        <f>IF(A1448&lt;&gt;"",IF(AND(#REF!="Padrão",$H$4=#REF!),BDI!$B$17,IF(AND(#REF!="Padrão",$H$4=#REF!),BDI!#REF!,IF(AND(#REF!="Diferenciado",$H$4=#REF!),BDI!$E$17,IF(AND(#REF!="Diferenciado",$H$4=#REF!),BDI!#REF!,IF(#REF!="ZERO",0))))),"")</f>
        <v>#REF!</v>
      </c>
      <c r="H1448" s="138" t="str">
        <f t="shared" si="91"/>
        <v/>
      </c>
      <c r="I1448" s="136" t="str">
        <f t="shared" si="92"/>
        <v/>
      </c>
    </row>
    <row r="1449" spans="1:9" hidden="1" x14ac:dyDescent="0.25">
      <c r="A1449" s="114" t="s">
        <v>5168</v>
      </c>
      <c r="B1449" s="115" t="s">
        <v>3975</v>
      </c>
      <c r="C1449" s="116" t="s">
        <v>20</v>
      </c>
      <c r="D1449" s="116">
        <v>0</v>
      </c>
      <c r="E1449" s="135" t="s">
        <v>558</v>
      </c>
      <c r="F1449" s="136" t="str">
        <f t="shared" si="90"/>
        <v/>
      </c>
      <c r="G1449" s="137" t="e">
        <f>IF(A1449&lt;&gt;"",IF(AND(#REF!="Padrão",$H$4=#REF!),BDI!$B$17,IF(AND(#REF!="Padrão",$H$4=#REF!),BDI!#REF!,IF(AND(#REF!="Diferenciado",$H$4=#REF!),BDI!$E$17,IF(AND(#REF!="Diferenciado",$H$4=#REF!),BDI!#REF!,IF(#REF!="ZERO",0))))),"")</f>
        <v>#REF!</v>
      </c>
      <c r="H1449" s="138" t="str">
        <f t="shared" si="91"/>
        <v/>
      </c>
      <c r="I1449" s="136" t="str">
        <f t="shared" si="92"/>
        <v/>
      </c>
    </row>
    <row r="1450" spans="1:9" hidden="1" x14ac:dyDescent="0.25">
      <c r="A1450" s="114" t="s">
        <v>5169</v>
      </c>
      <c r="B1450" s="115" t="s">
        <v>3976</v>
      </c>
      <c r="C1450" s="116" t="s">
        <v>5106</v>
      </c>
      <c r="D1450" s="116">
        <v>0</v>
      </c>
      <c r="E1450" s="135" t="s">
        <v>558</v>
      </c>
      <c r="F1450" s="136" t="str">
        <f t="shared" si="90"/>
        <v/>
      </c>
      <c r="G1450" s="137" t="e">
        <f>IF(A1450&lt;&gt;"",IF(AND(#REF!="Padrão",$H$4=#REF!),BDI!$B$17,IF(AND(#REF!="Padrão",$H$4=#REF!),BDI!#REF!,IF(AND(#REF!="Diferenciado",$H$4=#REF!),BDI!$E$17,IF(AND(#REF!="Diferenciado",$H$4=#REF!),BDI!#REF!,IF(#REF!="ZERO",0))))),"")</f>
        <v>#REF!</v>
      </c>
      <c r="H1450" s="138" t="str">
        <f t="shared" si="91"/>
        <v/>
      </c>
      <c r="I1450" s="136" t="str">
        <f t="shared" si="92"/>
        <v/>
      </c>
    </row>
    <row r="1451" spans="1:9" hidden="1" x14ac:dyDescent="0.25">
      <c r="A1451" s="114" t="s">
        <v>5170</v>
      </c>
      <c r="B1451" s="115" t="s">
        <v>3977</v>
      </c>
      <c r="C1451" s="116" t="s">
        <v>93</v>
      </c>
      <c r="D1451" s="116">
        <v>0</v>
      </c>
      <c r="E1451" s="135" t="s">
        <v>558</v>
      </c>
      <c r="F1451" s="136" t="str">
        <f t="shared" si="90"/>
        <v/>
      </c>
      <c r="G1451" s="137" t="e">
        <f>IF(A1451&lt;&gt;"",IF(AND(#REF!="Padrão",$H$4=#REF!),BDI!$B$17,IF(AND(#REF!="Padrão",$H$4=#REF!),BDI!#REF!,IF(AND(#REF!="Diferenciado",$H$4=#REF!),BDI!$E$17,IF(AND(#REF!="Diferenciado",$H$4=#REF!),BDI!#REF!,IF(#REF!="ZERO",0))))),"")</f>
        <v>#REF!</v>
      </c>
      <c r="H1451" s="138" t="str">
        <f t="shared" si="91"/>
        <v/>
      </c>
      <c r="I1451" s="136" t="str">
        <f t="shared" si="92"/>
        <v/>
      </c>
    </row>
    <row r="1452" spans="1:9" hidden="1" x14ac:dyDescent="0.25">
      <c r="A1452" s="114" t="s">
        <v>5171</v>
      </c>
      <c r="B1452" s="115" t="s">
        <v>3978</v>
      </c>
      <c r="C1452" s="116" t="s">
        <v>93</v>
      </c>
      <c r="D1452" s="116">
        <v>0</v>
      </c>
      <c r="E1452" s="135" t="s">
        <v>558</v>
      </c>
      <c r="F1452" s="136" t="str">
        <f t="shared" si="90"/>
        <v/>
      </c>
      <c r="G1452" s="137" t="e">
        <f>IF(A1452&lt;&gt;"",IF(AND(#REF!="Padrão",$H$4=#REF!),BDI!$B$17,IF(AND(#REF!="Padrão",$H$4=#REF!),BDI!#REF!,IF(AND(#REF!="Diferenciado",$H$4=#REF!),BDI!$E$17,IF(AND(#REF!="Diferenciado",$H$4=#REF!),BDI!#REF!,IF(#REF!="ZERO",0))))),"")</f>
        <v>#REF!</v>
      </c>
      <c r="H1452" s="138" t="str">
        <f t="shared" si="91"/>
        <v/>
      </c>
      <c r="I1452" s="136" t="str">
        <f t="shared" si="92"/>
        <v/>
      </c>
    </row>
    <row r="1453" spans="1:9" hidden="1" x14ac:dyDescent="0.25">
      <c r="A1453" s="114" t="s">
        <v>5172</v>
      </c>
      <c r="B1453" s="115" t="s">
        <v>3979</v>
      </c>
      <c r="C1453" s="116" t="s">
        <v>93</v>
      </c>
      <c r="D1453" s="116">
        <v>0</v>
      </c>
      <c r="E1453" s="135" t="s">
        <v>558</v>
      </c>
      <c r="F1453" s="136" t="str">
        <f t="shared" ref="F1453:F1516" si="93">IF(ISNUMBER(E1453),D1453*E1453,"")</f>
        <v/>
      </c>
      <c r="G1453" s="137" t="e">
        <f>IF(A1453&lt;&gt;"",IF(AND(#REF!="Padrão",$H$4=#REF!),BDI!$B$17,IF(AND(#REF!="Padrão",$H$4=#REF!),BDI!#REF!,IF(AND(#REF!="Diferenciado",$H$4=#REF!),BDI!$E$17,IF(AND(#REF!="Diferenciado",$H$4=#REF!),BDI!#REF!,IF(#REF!="ZERO",0))))),"")</f>
        <v>#REF!</v>
      </c>
      <c r="H1453" s="138" t="str">
        <f t="shared" ref="H1453:H1516" si="94">IF(ISNUMBER(E1453),ROUND(E1453*(1+G1453),2),"")</f>
        <v/>
      </c>
      <c r="I1453" s="136" t="str">
        <f t="shared" ref="I1453:I1516" si="95">IF(ISNUMBER(E1453),ROUND(H1453*D1453,2),"")</f>
        <v/>
      </c>
    </row>
    <row r="1454" spans="1:9" hidden="1" x14ac:dyDescent="0.25">
      <c r="A1454" s="114" t="s">
        <v>5173</v>
      </c>
      <c r="B1454" s="115" t="s">
        <v>3980</v>
      </c>
      <c r="C1454" s="116" t="s">
        <v>93</v>
      </c>
      <c r="D1454" s="116">
        <v>0</v>
      </c>
      <c r="E1454" s="135" t="s">
        <v>558</v>
      </c>
      <c r="F1454" s="136" t="str">
        <f t="shared" si="93"/>
        <v/>
      </c>
      <c r="G1454" s="137" t="e">
        <f>IF(A1454&lt;&gt;"",IF(AND(#REF!="Padrão",$H$4=#REF!),BDI!$B$17,IF(AND(#REF!="Padrão",$H$4=#REF!),BDI!#REF!,IF(AND(#REF!="Diferenciado",$H$4=#REF!),BDI!$E$17,IF(AND(#REF!="Diferenciado",$H$4=#REF!),BDI!#REF!,IF(#REF!="ZERO",0))))),"")</f>
        <v>#REF!</v>
      </c>
      <c r="H1454" s="138" t="str">
        <f t="shared" si="94"/>
        <v/>
      </c>
      <c r="I1454" s="136" t="str">
        <f t="shared" si="95"/>
        <v/>
      </c>
    </row>
    <row r="1455" spans="1:9" hidden="1" x14ac:dyDescent="0.25">
      <c r="A1455" s="114" t="s">
        <v>5174</v>
      </c>
      <c r="B1455" s="115" t="s">
        <v>3981</v>
      </c>
      <c r="C1455" s="116" t="s">
        <v>93</v>
      </c>
      <c r="D1455" s="116">
        <v>0</v>
      </c>
      <c r="E1455" s="135" t="s">
        <v>558</v>
      </c>
      <c r="F1455" s="136" t="str">
        <f t="shared" si="93"/>
        <v/>
      </c>
      <c r="G1455" s="137" t="e">
        <f>IF(A1455&lt;&gt;"",IF(AND(#REF!="Padrão",$H$4=#REF!),BDI!$B$17,IF(AND(#REF!="Padrão",$H$4=#REF!),BDI!#REF!,IF(AND(#REF!="Diferenciado",$H$4=#REF!),BDI!$E$17,IF(AND(#REF!="Diferenciado",$H$4=#REF!),BDI!#REF!,IF(#REF!="ZERO",0))))),"")</f>
        <v>#REF!</v>
      </c>
      <c r="H1455" s="138" t="str">
        <f t="shared" si="94"/>
        <v/>
      </c>
      <c r="I1455" s="136" t="str">
        <f t="shared" si="95"/>
        <v/>
      </c>
    </row>
    <row r="1456" spans="1:9" hidden="1" x14ac:dyDescent="0.25">
      <c r="A1456" s="114" t="s">
        <v>5175</v>
      </c>
      <c r="B1456" s="115" t="s">
        <v>3982</v>
      </c>
      <c r="C1456" s="116" t="s">
        <v>93</v>
      </c>
      <c r="D1456" s="116">
        <v>0</v>
      </c>
      <c r="E1456" s="135" t="s">
        <v>558</v>
      </c>
      <c r="F1456" s="136" t="str">
        <f t="shared" si="93"/>
        <v/>
      </c>
      <c r="G1456" s="137" t="e">
        <f>IF(A1456&lt;&gt;"",IF(AND(#REF!="Padrão",$H$4=#REF!),BDI!$B$17,IF(AND(#REF!="Padrão",$H$4=#REF!),BDI!#REF!,IF(AND(#REF!="Diferenciado",$H$4=#REF!),BDI!$E$17,IF(AND(#REF!="Diferenciado",$H$4=#REF!),BDI!#REF!,IF(#REF!="ZERO",0))))),"")</f>
        <v>#REF!</v>
      </c>
      <c r="H1456" s="138" t="str">
        <f t="shared" si="94"/>
        <v/>
      </c>
      <c r="I1456" s="136" t="str">
        <f t="shared" si="95"/>
        <v/>
      </c>
    </row>
    <row r="1457" spans="1:9" hidden="1" x14ac:dyDescent="0.25">
      <c r="A1457" s="114" t="s">
        <v>5176</v>
      </c>
      <c r="B1457" s="115" t="s">
        <v>3983</v>
      </c>
      <c r="C1457" s="116" t="s">
        <v>93</v>
      </c>
      <c r="D1457" s="116">
        <v>0</v>
      </c>
      <c r="E1457" s="135" t="s">
        <v>558</v>
      </c>
      <c r="F1457" s="136" t="str">
        <f t="shared" si="93"/>
        <v/>
      </c>
      <c r="G1457" s="137" t="e">
        <f>IF(A1457&lt;&gt;"",IF(AND(#REF!="Padrão",$H$4=#REF!),BDI!$B$17,IF(AND(#REF!="Padrão",$H$4=#REF!),BDI!#REF!,IF(AND(#REF!="Diferenciado",$H$4=#REF!),BDI!$E$17,IF(AND(#REF!="Diferenciado",$H$4=#REF!),BDI!#REF!,IF(#REF!="ZERO",0))))),"")</f>
        <v>#REF!</v>
      </c>
      <c r="H1457" s="138" t="str">
        <f t="shared" si="94"/>
        <v/>
      </c>
      <c r="I1457" s="136" t="str">
        <f t="shared" si="95"/>
        <v/>
      </c>
    </row>
    <row r="1458" spans="1:9" hidden="1" x14ac:dyDescent="0.25">
      <c r="A1458" s="114" t="s">
        <v>5177</v>
      </c>
      <c r="B1458" s="115" t="s">
        <v>3984</v>
      </c>
      <c r="C1458" s="116" t="s">
        <v>93</v>
      </c>
      <c r="D1458" s="116">
        <v>0</v>
      </c>
      <c r="E1458" s="135" t="s">
        <v>558</v>
      </c>
      <c r="F1458" s="136" t="str">
        <f t="shared" si="93"/>
        <v/>
      </c>
      <c r="G1458" s="137" t="e">
        <f>IF(A1458&lt;&gt;"",IF(AND(#REF!="Padrão",$H$4=#REF!),BDI!$B$17,IF(AND(#REF!="Padrão",$H$4=#REF!),BDI!#REF!,IF(AND(#REF!="Diferenciado",$H$4=#REF!),BDI!$E$17,IF(AND(#REF!="Diferenciado",$H$4=#REF!),BDI!#REF!,IF(#REF!="ZERO",0))))),"")</f>
        <v>#REF!</v>
      </c>
      <c r="H1458" s="138" t="str">
        <f t="shared" si="94"/>
        <v/>
      </c>
      <c r="I1458" s="136" t="str">
        <f t="shared" si="95"/>
        <v/>
      </c>
    </row>
    <row r="1459" spans="1:9" hidden="1" x14ac:dyDescent="0.25">
      <c r="A1459" s="114" t="s">
        <v>5178</v>
      </c>
      <c r="B1459" s="115" t="s">
        <v>3985</v>
      </c>
      <c r="C1459" s="116" t="s">
        <v>93</v>
      </c>
      <c r="D1459" s="116">
        <v>0</v>
      </c>
      <c r="E1459" s="135" t="s">
        <v>558</v>
      </c>
      <c r="F1459" s="136" t="str">
        <f t="shared" si="93"/>
        <v/>
      </c>
      <c r="G1459" s="137" t="e">
        <f>IF(A1459&lt;&gt;"",IF(AND(#REF!="Padrão",$H$4=#REF!),BDI!$B$17,IF(AND(#REF!="Padrão",$H$4=#REF!),BDI!#REF!,IF(AND(#REF!="Diferenciado",$H$4=#REF!),BDI!$E$17,IF(AND(#REF!="Diferenciado",$H$4=#REF!),BDI!#REF!,IF(#REF!="ZERO",0))))),"")</f>
        <v>#REF!</v>
      </c>
      <c r="H1459" s="138" t="str">
        <f t="shared" si="94"/>
        <v/>
      </c>
      <c r="I1459" s="136" t="str">
        <f t="shared" si="95"/>
        <v/>
      </c>
    </row>
    <row r="1460" spans="1:9" hidden="1" x14ac:dyDescent="0.25">
      <c r="A1460" s="114" t="s">
        <v>5179</v>
      </c>
      <c r="B1460" s="115" t="s">
        <v>3986</v>
      </c>
      <c r="C1460" s="116" t="s">
        <v>93</v>
      </c>
      <c r="D1460" s="116">
        <v>0</v>
      </c>
      <c r="E1460" s="135" t="s">
        <v>558</v>
      </c>
      <c r="F1460" s="136" t="str">
        <f t="shared" si="93"/>
        <v/>
      </c>
      <c r="G1460" s="137" t="e">
        <f>IF(A1460&lt;&gt;"",IF(AND(#REF!="Padrão",$H$4=#REF!),BDI!$B$17,IF(AND(#REF!="Padrão",$H$4=#REF!),BDI!#REF!,IF(AND(#REF!="Diferenciado",$H$4=#REF!),BDI!$E$17,IF(AND(#REF!="Diferenciado",$H$4=#REF!),BDI!#REF!,IF(#REF!="ZERO",0))))),"")</f>
        <v>#REF!</v>
      </c>
      <c r="H1460" s="138" t="str">
        <f t="shared" si="94"/>
        <v/>
      </c>
      <c r="I1460" s="136" t="str">
        <f t="shared" si="95"/>
        <v/>
      </c>
    </row>
    <row r="1461" spans="1:9" hidden="1" x14ac:dyDescent="0.25">
      <c r="A1461" s="114" t="s">
        <v>5180</v>
      </c>
      <c r="B1461" s="115" t="s">
        <v>3987</v>
      </c>
      <c r="C1461" s="116" t="s">
        <v>93</v>
      </c>
      <c r="D1461" s="116">
        <v>0</v>
      </c>
      <c r="E1461" s="135" t="s">
        <v>558</v>
      </c>
      <c r="F1461" s="136" t="str">
        <f t="shared" si="93"/>
        <v/>
      </c>
      <c r="G1461" s="137" t="e">
        <f>IF(A1461&lt;&gt;"",IF(AND(#REF!="Padrão",$H$4=#REF!),BDI!$B$17,IF(AND(#REF!="Padrão",$H$4=#REF!),BDI!#REF!,IF(AND(#REF!="Diferenciado",$H$4=#REF!),BDI!$E$17,IF(AND(#REF!="Diferenciado",$H$4=#REF!),BDI!#REF!,IF(#REF!="ZERO",0))))),"")</f>
        <v>#REF!</v>
      </c>
      <c r="H1461" s="138" t="str">
        <f t="shared" si="94"/>
        <v/>
      </c>
      <c r="I1461" s="136" t="str">
        <f t="shared" si="95"/>
        <v/>
      </c>
    </row>
    <row r="1462" spans="1:9" hidden="1" x14ac:dyDescent="0.25">
      <c r="A1462" s="114" t="s">
        <v>5181</v>
      </c>
      <c r="B1462" s="115" t="s">
        <v>3988</v>
      </c>
      <c r="C1462" s="116" t="s">
        <v>20</v>
      </c>
      <c r="D1462" s="116">
        <v>0</v>
      </c>
      <c r="E1462" s="135" t="s">
        <v>558</v>
      </c>
      <c r="F1462" s="136" t="str">
        <f t="shared" si="93"/>
        <v/>
      </c>
      <c r="G1462" s="137" t="e">
        <f>IF(A1462&lt;&gt;"",IF(AND(#REF!="Padrão",$H$4=#REF!),BDI!$B$17,IF(AND(#REF!="Padrão",$H$4=#REF!),BDI!#REF!,IF(AND(#REF!="Diferenciado",$H$4=#REF!),BDI!$E$17,IF(AND(#REF!="Diferenciado",$H$4=#REF!),BDI!#REF!,IF(#REF!="ZERO",0))))),"")</f>
        <v>#REF!</v>
      </c>
      <c r="H1462" s="138" t="str">
        <f t="shared" si="94"/>
        <v/>
      </c>
      <c r="I1462" s="136" t="str">
        <f t="shared" si="95"/>
        <v/>
      </c>
    </row>
    <row r="1463" spans="1:9" hidden="1" x14ac:dyDescent="0.25">
      <c r="A1463" s="114" t="s">
        <v>5182</v>
      </c>
      <c r="B1463" s="115" t="s">
        <v>3989</v>
      </c>
      <c r="C1463" s="116" t="s">
        <v>20</v>
      </c>
      <c r="D1463" s="116">
        <v>0</v>
      </c>
      <c r="E1463" s="135" t="s">
        <v>558</v>
      </c>
      <c r="F1463" s="136" t="str">
        <f t="shared" si="93"/>
        <v/>
      </c>
      <c r="G1463" s="137" t="e">
        <f>IF(A1463&lt;&gt;"",IF(AND(#REF!="Padrão",$H$4=#REF!),BDI!$B$17,IF(AND(#REF!="Padrão",$H$4=#REF!),BDI!#REF!,IF(AND(#REF!="Diferenciado",$H$4=#REF!),BDI!$E$17,IF(AND(#REF!="Diferenciado",$H$4=#REF!),BDI!#REF!,IF(#REF!="ZERO",0))))),"")</f>
        <v>#REF!</v>
      </c>
      <c r="H1463" s="138" t="str">
        <f t="shared" si="94"/>
        <v/>
      </c>
      <c r="I1463" s="136" t="str">
        <f t="shared" si="95"/>
        <v/>
      </c>
    </row>
    <row r="1464" spans="1:9" hidden="1" x14ac:dyDescent="0.25">
      <c r="A1464" s="114" t="s">
        <v>5183</v>
      </c>
      <c r="B1464" s="115" t="s">
        <v>3990</v>
      </c>
      <c r="C1464" s="116" t="s">
        <v>20</v>
      </c>
      <c r="D1464" s="116">
        <v>0</v>
      </c>
      <c r="E1464" s="135" t="s">
        <v>558</v>
      </c>
      <c r="F1464" s="136" t="str">
        <f t="shared" si="93"/>
        <v/>
      </c>
      <c r="G1464" s="137" t="e">
        <f>IF(A1464&lt;&gt;"",IF(AND(#REF!="Padrão",$H$4=#REF!),BDI!$B$17,IF(AND(#REF!="Padrão",$H$4=#REF!),BDI!#REF!,IF(AND(#REF!="Diferenciado",$H$4=#REF!),BDI!$E$17,IF(AND(#REF!="Diferenciado",$H$4=#REF!),BDI!#REF!,IF(#REF!="ZERO",0))))),"")</f>
        <v>#REF!</v>
      </c>
      <c r="H1464" s="138" t="str">
        <f t="shared" si="94"/>
        <v/>
      </c>
      <c r="I1464" s="136" t="str">
        <f t="shared" si="95"/>
        <v/>
      </c>
    </row>
    <row r="1465" spans="1:9" hidden="1" x14ac:dyDescent="0.25">
      <c r="A1465" s="114" t="s">
        <v>5184</v>
      </c>
      <c r="B1465" s="115" t="s">
        <v>3991</v>
      </c>
      <c r="C1465" s="116" t="s">
        <v>20</v>
      </c>
      <c r="D1465" s="116">
        <v>0</v>
      </c>
      <c r="E1465" s="135" t="s">
        <v>558</v>
      </c>
      <c r="F1465" s="136" t="str">
        <f t="shared" si="93"/>
        <v/>
      </c>
      <c r="G1465" s="137" t="e">
        <f>IF(A1465&lt;&gt;"",IF(AND(#REF!="Padrão",$H$4=#REF!),BDI!$B$17,IF(AND(#REF!="Padrão",$H$4=#REF!),BDI!#REF!,IF(AND(#REF!="Diferenciado",$H$4=#REF!),BDI!$E$17,IF(AND(#REF!="Diferenciado",$H$4=#REF!),BDI!#REF!,IF(#REF!="ZERO",0))))),"")</f>
        <v>#REF!</v>
      </c>
      <c r="H1465" s="138" t="str">
        <f t="shared" si="94"/>
        <v/>
      </c>
      <c r="I1465" s="136" t="str">
        <f t="shared" si="95"/>
        <v/>
      </c>
    </row>
    <row r="1466" spans="1:9" hidden="1" x14ac:dyDescent="0.25">
      <c r="A1466" s="114" t="s">
        <v>5185</v>
      </c>
      <c r="B1466" s="115" t="s">
        <v>3992</v>
      </c>
      <c r="C1466" s="116" t="s">
        <v>20</v>
      </c>
      <c r="D1466" s="116">
        <v>0</v>
      </c>
      <c r="E1466" s="135" t="s">
        <v>558</v>
      </c>
      <c r="F1466" s="136" t="str">
        <f t="shared" si="93"/>
        <v/>
      </c>
      <c r="G1466" s="137" t="e">
        <f>IF(A1466&lt;&gt;"",IF(AND(#REF!="Padrão",$H$4=#REF!),BDI!$B$17,IF(AND(#REF!="Padrão",$H$4=#REF!),BDI!#REF!,IF(AND(#REF!="Diferenciado",$H$4=#REF!),BDI!$E$17,IF(AND(#REF!="Diferenciado",$H$4=#REF!),BDI!#REF!,IF(#REF!="ZERO",0))))),"")</f>
        <v>#REF!</v>
      </c>
      <c r="H1466" s="138" t="str">
        <f t="shared" si="94"/>
        <v/>
      </c>
      <c r="I1466" s="136" t="str">
        <f t="shared" si="95"/>
        <v/>
      </c>
    </row>
    <row r="1467" spans="1:9" hidden="1" x14ac:dyDescent="0.25">
      <c r="A1467" s="114" t="s">
        <v>5186</v>
      </c>
      <c r="B1467" s="115" t="s">
        <v>3993</v>
      </c>
      <c r="C1467" s="116" t="s">
        <v>20</v>
      </c>
      <c r="D1467" s="116">
        <v>0</v>
      </c>
      <c r="E1467" s="135" t="s">
        <v>558</v>
      </c>
      <c r="F1467" s="136" t="str">
        <f t="shared" si="93"/>
        <v/>
      </c>
      <c r="G1467" s="137" t="e">
        <f>IF(A1467&lt;&gt;"",IF(AND(#REF!="Padrão",$H$4=#REF!),BDI!$B$17,IF(AND(#REF!="Padrão",$H$4=#REF!),BDI!#REF!,IF(AND(#REF!="Diferenciado",$H$4=#REF!),BDI!$E$17,IF(AND(#REF!="Diferenciado",$H$4=#REF!),BDI!#REF!,IF(#REF!="ZERO",0))))),"")</f>
        <v>#REF!</v>
      </c>
      <c r="H1467" s="138" t="str">
        <f t="shared" si="94"/>
        <v/>
      </c>
      <c r="I1467" s="136" t="str">
        <f t="shared" si="95"/>
        <v/>
      </c>
    </row>
    <row r="1468" spans="1:9" hidden="1" x14ac:dyDescent="0.25">
      <c r="A1468" s="114" t="s">
        <v>5187</v>
      </c>
      <c r="B1468" s="115" t="s">
        <v>3994</v>
      </c>
      <c r="C1468" s="116" t="s">
        <v>20</v>
      </c>
      <c r="D1468" s="116">
        <v>0</v>
      </c>
      <c r="E1468" s="135" t="s">
        <v>558</v>
      </c>
      <c r="F1468" s="136" t="str">
        <f t="shared" si="93"/>
        <v/>
      </c>
      <c r="G1468" s="137" t="e">
        <f>IF(A1468&lt;&gt;"",IF(AND(#REF!="Padrão",$H$4=#REF!),BDI!$B$17,IF(AND(#REF!="Padrão",$H$4=#REF!),BDI!#REF!,IF(AND(#REF!="Diferenciado",$H$4=#REF!),BDI!$E$17,IF(AND(#REF!="Diferenciado",$H$4=#REF!),BDI!#REF!,IF(#REF!="ZERO",0))))),"")</f>
        <v>#REF!</v>
      </c>
      <c r="H1468" s="138" t="str">
        <f t="shared" si="94"/>
        <v/>
      </c>
      <c r="I1468" s="136" t="str">
        <f t="shared" si="95"/>
        <v/>
      </c>
    </row>
    <row r="1469" spans="1:9" hidden="1" x14ac:dyDescent="0.25">
      <c r="A1469" s="114" t="s">
        <v>5188</v>
      </c>
      <c r="B1469" s="115" t="s">
        <v>3995</v>
      </c>
      <c r="C1469" s="116" t="s">
        <v>20</v>
      </c>
      <c r="D1469" s="116">
        <v>0</v>
      </c>
      <c r="E1469" s="135" t="s">
        <v>558</v>
      </c>
      <c r="F1469" s="136" t="str">
        <f t="shared" si="93"/>
        <v/>
      </c>
      <c r="G1469" s="137" t="e">
        <f>IF(A1469&lt;&gt;"",IF(AND(#REF!="Padrão",$H$4=#REF!),BDI!$B$17,IF(AND(#REF!="Padrão",$H$4=#REF!),BDI!#REF!,IF(AND(#REF!="Diferenciado",$H$4=#REF!),BDI!$E$17,IF(AND(#REF!="Diferenciado",$H$4=#REF!),BDI!#REF!,IF(#REF!="ZERO",0))))),"")</f>
        <v>#REF!</v>
      </c>
      <c r="H1469" s="138" t="str">
        <f t="shared" si="94"/>
        <v/>
      </c>
      <c r="I1469" s="136" t="str">
        <f t="shared" si="95"/>
        <v/>
      </c>
    </row>
    <row r="1470" spans="1:9" hidden="1" x14ac:dyDescent="0.25">
      <c r="A1470" s="114" t="s">
        <v>5189</v>
      </c>
      <c r="B1470" s="115" t="s">
        <v>3996</v>
      </c>
      <c r="C1470" s="116" t="s">
        <v>20</v>
      </c>
      <c r="D1470" s="116">
        <v>0</v>
      </c>
      <c r="E1470" s="135" t="s">
        <v>558</v>
      </c>
      <c r="F1470" s="136" t="str">
        <f t="shared" si="93"/>
        <v/>
      </c>
      <c r="G1470" s="137" t="e">
        <f>IF(A1470&lt;&gt;"",IF(AND(#REF!="Padrão",$H$4=#REF!),BDI!$B$17,IF(AND(#REF!="Padrão",$H$4=#REF!),BDI!#REF!,IF(AND(#REF!="Diferenciado",$H$4=#REF!),BDI!$E$17,IF(AND(#REF!="Diferenciado",$H$4=#REF!),BDI!#REF!,IF(#REF!="ZERO",0))))),"")</f>
        <v>#REF!</v>
      </c>
      <c r="H1470" s="138" t="str">
        <f t="shared" si="94"/>
        <v/>
      </c>
      <c r="I1470" s="136" t="str">
        <f t="shared" si="95"/>
        <v/>
      </c>
    </row>
    <row r="1471" spans="1:9" hidden="1" x14ac:dyDescent="0.25">
      <c r="A1471" s="114" t="s">
        <v>5190</v>
      </c>
      <c r="B1471" s="115" t="s">
        <v>3997</v>
      </c>
      <c r="C1471" s="116" t="s">
        <v>20</v>
      </c>
      <c r="D1471" s="116">
        <v>0</v>
      </c>
      <c r="E1471" s="135" t="s">
        <v>558</v>
      </c>
      <c r="F1471" s="136" t="str">
        <f t="shared" si="93"/>
        <v/>
      </c>
      <c r="G1471" s="137" t="e">
        <f>IF(A1471&lt;&gt;"",IF(AND(#REF!="Padrão",$H$4=#REF!),BDI!$B$17,IF(AND(#REF!="Padrão",$H$4=#REF!),BDI!#REF!,IF(AND(#REF!="Diferenciado",$H$4=#REF!),BDI!$E$17,IF(AND(#REF!="Diferenciado",$H$4=#REF!),BDI!#REF!,IF(#REF!="ZERO",0))))),"")</f>
        <v>#REF!</v>
      </c>
      <c r="H1471" s="138" t="str">
        <f t="shared" si="94"/>
        <v/>
      </c>
      <c r="I1471" s="136" t="str">
        <f t="shared" si="95"/>
        <v/>
      </c>
    </row>
    <row r="1472" spans="1:9" hidden="1" x14ac:dyDescent="0.25">
      <c r="A1472" s="114" t="s">
        <v>5191</v>
      </c>
      <c r="B1472" s="115" t="s">
        <v>3998</v>
      </c>
      <c r="C1472" s="116" t="s">
        <v>20</v>
      </c>
      <c r="D1472" s="116">
        <v>0</v>
      </c>
      <c r="E1472" s="135" t="s">
        <v>558</v>
      </c>
      <c r="F1472" s="136" t="str">
        <f t="shared" si="93"/>
        <v/>
      </c>
      <c r="G1472" s="137" t="e">
        <f>IF(A1472&lt;&gt;"",IF(AND(#REF!="Padrão",$H$4=#REF!),BDI!$B$17,IF(AND(#REF!="Padrão",$H$4=#REF!),BDI!#REF!,IF(AND(#REF!="Diferenciado",$H$4=#REF!),BDI!$E$17,IF(AND(#REF!="Diferenciado",$H$4=#REF!),BDI!#REF!,IF(#REF!="ZERO",0))))),"")</f>
        <v>#REF!</v>
      </c>
      <c r="H1472" s="138" t="str">
        <f t="shared" si="94"/>
        <v/>
      </c>
      <c r="I1472" s="136" t="str">
        <f t="shared" si="95"/>
        <v/>
      </c>
    </row>
    <row r="1473" spans="1:9" hidden="1" x14ac:dyDescent="0.25">
      <c r="A1473" s="114" t="s">
        <v>5192</v>
      </c>
      <c r="B1473" s="115" t="s">
        <v>3999</v>
      </c>
      <c r="C1473" s="116" t="s">
        <v>20</v>
      </c>
      <c r="D1473" s="116">
        <v>0</v>
      </c>
      <c r="E1473" s="135" t="s">
        <v>558</v>
      </c>
      <c r="F1473" s="136" t="str">
        <f t="shared" si="93"/>
        <v/>
      </c>
      <c r="G1473" s="137" t="e">
        <f>IF(A1473&lt;&gt;"",IF(AND(#REF!="Padrão",$H$4=#REF!),BDI!$B$17,IF(AND(#REF!="Padrão",$H$4=#REF!),BDI!#REF!,IF(AND(#REF!="Diferenciado",$H$4=#REF!),BDI!$E$17,IF(AND(#REF!="Diferenciado",$H$4=#REF!),BDI!#REF!,IF(#REF!="ZERO",0))))),"")</f>
        <v>#REF!</v>
      </c>
      <c r="H1473" s="138" t="str">
        <f t="shared" si="94"/>
        <v/>
      </c>
      <c r="I1473" s="136" t="str">
        <f t="shared" si="95"/>
        <v/>
      </c>
    </row>
    <row r="1474" spans="1:9" hidden="1" x14ac:dyDescent="0.25">
      <c r="A1474" s="114" t="s">
        <v>5193</v>
      </c>
      <c r="B1474" s="115" t="s">
        <v>4000</v>
      </c>
      <c r="C1474" s="116" t="s">
        <v>20</v>
      </c>
      <c r="D1474" s="116">
        <v>0</v>
      </c>
      <c r="E1474" s="135" t="s">
        <v>558</v>
      </c>
      <c r="F1474" s="136" t="str">
        <f t="shared" si="93"/>
        <v/>
      </c>
      <c r="G1474" s="137" t="e">
        <f>IF(A1474&lt;&gt;"",IF(AND(#REF!="Padrão",$H$4=#REF!),BDI!$B$17,IF(AND(#REF!="Padrão",$H$4=#REF!),BDI!#REF!,IF(AND(#REF!="Diferenciado",$H$4=#REF!),BDI!$E$17,IF(AND(#REF!="Diferenciado",$H$4=#REF!),BDI!#REF!,IF(#REF!="ZERO",0))))),"")</f>
        <v>#REF!</v>
      </c>
      <c r="H1474" s="138" t="str">
        <f t="shared" si="94"/>
        <v/>
      </c>
      <c r="I1474" s="136" t="str">
        <f t="shared" si="95"/>
        <v/>
      </c>
    </row>
    <row r="1475" spans="1:9" hidden="1" x14ac:dyDescent="0.25">
      <c r="A1475" s="114" t="s">
        <v>5194</v>
      </c>
      <c r="B1475" s="115" t="s">
        <v>4001</v>
      </c>
      <c r="C1475" s="116" t="s">
        <v>20</v>
      </c>
      <c r="D1475" s="116">
        <v>0</v>
      </c>
      <c r="E1475" s="135" t="s">
        <v>558</v>
      </c>
      <c r="F1475" s="136" t="str">
        <f t="shared" si="93"/>
        <v/>
      </c>
      <c r="G1475" s="137" t="e">
        <f>IF(A1475&lt;&gt;"",IF(AND(#REF!="Padrão",$H$4=#REF!),BDI!$B$17,IF(AND(#REF!="Padrão",$H$4=#REF!),BDI!#REF!,IF(AND(#REF!="Diferenciado",$H$4=#REF!),BDI!$E$17,IF(AND(#REF!="Diferenciado",$H$4=#REF!),BDI!#REF!,IF(#REF!="ZERO",0))))),"")</f>
        <v>#REF!</v>
      </c>
      <c r="H1475" s="138" t="str">
        <f t="shared" si="94"/>
        <v/>
      </c>
      <c r="I1475" s="136" t="str">
        <f t="shared" si="95"/>
        <v/>
      </c>
    </row>
    <row r="1476" spans="1:9" hidden="1" x14ac:dyDescent="0.25">
      <c r="A1476" s="114" t="s">
        <v>5195</v>
      </c>
      <c r="B1476" s="115" t="s">
        <v>4002</v>
      </c>
      <c r="C1476" s="116" t="s">
        <v>20</v>
      </c>
      <c r="D1476" s="116">
        <v>0</v>
      </c>
      <c r="E1476" s="135" t="s">
        <v>558</v>
      </c>
      <c r="F1476" s="136" t="str">
        <f t="shared" si="93"/>
        <v/>
      </c>
      <c r="G1476" s="137" t="e">
        <f>IF(A1476&lt;&gt;"",IF(AND(#REF!="Padrão",$H$4=#REF!),BDI!$B$17,IF(AND(#REF!="Padrão",$H$4=#REF!),BDI!#REF!,IF(AND(#REF!="Diferenciado",$H$4=#REF!),BDI!$E$17,IF(AND(#REF!="Diferenciado",$H$4=#REF!),BDI!#REF!,IF(#REF!="ZERO",0))))),"")</f>
        <v>#REF!</v>
      </c>
      <c r="H1476" s="138" t="str">
        <f t="shared" si="94"/>
        <v/>
      </c>
      <c r="I1476" s="136" t="str">
        <f t="shared" si="95"/>
        <v/>
      </c>
    </row>
    <row r="1477" spans="1:9" hidden="1" x14ac:dyDescent="0.25">
      <c r="A1477" s="114" t="s">
        <v>5196</v>
      </c>
      <c r="B1477" s="115" t="s">
        <v>4003</v>
      </c>
      <c r="C1477" s="116" t="s">
        <v>20</v>
      </c>
      <c r="D1477" s="116">
        <v>0</v>
      </c>
      <c r="E1477" s="135" t="s">
        <v>558</v>
      </c>
      <c r="F1477" s="136" t="str">
        <f t="shared" si="93"/>
        <v/>
      </c>
      <c r="G1477" s="137" t="e">
        <f>IF(A1477&lt;&gt;"",IF(AND(#REF!="Padrão",$H$4=#REF!),BDI!$B$17,IF(AND(#REF!="Padrão",$H$4=#REF!),BDI!#REF!,IF(AND(#REF!="Diferenciado",$H$4=#REF!),BDI!$E$17,IF(AND(#REF!="Diferenciado",$H$4=#REF!),BDI!#REF!,IF(#REF!="ZERO",0))))),"")</f>
        <v>#REF!</v>
      </c>
      <c r="H1477" s="138" t="str">
        <f t="shared" si="94"/>
        <v/>
      </c>
      <c r="I1477" s="136" t="str">
        <f t="shared" si="95"/>
        <v/>
      </c>
    </row>
    <row r="1478" spans="1:9" hidden="1" x14ac:dyDescent="0.25">
      <c r="A1478" s="114" t="s">
        <v>5197</v>
      </c>
      <c r="B1478" s="115" t="s">
        <v>4004</v>
      </c>
      <c r="C1478" s="116" t="s">
        <v>20</v>
      </c>
      <c r="D1478" s="116">
        <v>0</v>
      </c>
      <c r="E1478" s="135" t="s">
        <v>558</v>
      </c>
      <c r="F1478" s="136" t="str">
        <f t="shared" si="93"/>
        <v/>
      </c>
      <c r="G1478" s="137" t="e">
        <f>IF(A1478&lt;&gt;"",IF(AND(#REF!="Padrão",$H$4=#REF!),BDI!$B$17,IF(AND(#REF!="Padrão",$H$4=#REF!),BDI!#REF!,IF(AND(#REF!="Diferenciado",$H$4=#REF!),BDI!$E$17,IF(AND(#REF!="Diferenciado",$H$4=#REF!),BDI!#REF!,IF(#REF!="ZERO",0))))),"")</f>
        <v>#REF!</v>
      </c>
      <c r="H1478" s="138" t="str">
        <f t="shared" si="94"/>
        <v/>
      </c>
      <c r="I1478" s="136" t="str">
        <f t="shared" si="95"/>
        <v/>
      </c>
    </row>
    <row r="1479" spans="1:9" hidden="1" x14ac:dyDescent="0.25">
      <c r="A1479" s="114" t="s">
        <v>5198</v>
      </c>
      <c r="B1479" s="115" t="s">
        <v>4005</v>
      </c>
      <c r="C1479" s="116" t="s">
        <v>20</v>
      </c>
      <c r="D1479" s="116">
        <v>0</v>
      </c>
      <c r="E1479" s="135" t="s">
        <v>558</v>
      </c>
      <c r="F1479" s="136" t="str">
        <f t="shared" si="93"/>
        <v/>
      </c>
      <c r="G1479" s="137" t="e">
        <f>IF(A1479&lt;&gt;"",IF(AND(#REF!="Padrão",$H$4=#REF!),BDI!$B$17,IF(AND(#REF!="Padrão",$H$4=#REF!),BDI!#REF!,IF(AND(#REF!="Diferenciado",$H$4=#REF!),BDI!$E$17,IF(AND(#REF!="Diferenciado",$H$4=#REF!),BDI!#REF!,IF(#REF!="ZERO",0))))),"")</f>
        <v>#REF!</v>
      </c>
      <c r="H1479" s="138" t="str">
        <f t="shared" si="94"/>
        <v/>
      </c>
      <c r="I1479" s="136" t="str">
        <f t="shared" si="95"/>
        <v/>
      </c>
    </row>
    <row r="1480" spans="1:9" hidden="1" x14ac:dyDescent="0.25">
      <c r="A1480" s="114" t="s">
        <v>5199</v>
      </c>
      <c r="B1480" s="115" t="s">
        <v>4006</v>
      </c>
      <c r="C1480" s="116" t="s">
        <v>20</v>
      </c>
      <c r="D1480" s="116">
        <v>0</v>
      </c>
      <c r="E1480" s="135" t="s">
        <v>558</v>
      </c>
      <c r="F1480" s="136" t="str">
        <f t="shared" si="93"/>
        <v/>
      </c>
      <c r="G1480" s="137" t="e">
        <f>IF(A1480&lt;&gt;"",IF(AND(#REF!="Padrão",$H$4=#REF!),BDI!$B$17,IF(AND(#REF!="Padrão",$H$4=#REF!),BDI!#REF!,IF(AND(#REF!="Diferenciado",$H$4=#REF!),BDI!$E$17,IF(AND(#REF!="Diferenciado",$H$4=#REF!),BDI!#REF!,IF(#REF!="ZERO",0))))),"")</f>
        <v>#REF!</v>
      </c>
      <c r="H1480" s="138" t="str">
        <f t="shared" si="94"/>
        <v/>
      </c>
      <c r="I1480" s="136" t="str">
        <f t="shared" si="95"/>
        <v/>
      </c>
    </row>
    <row r="1481" spans="1:9" hidden="1" x14ac:dyDescent="0.25">
      <c r="A1481" s="114" t="s">
        <v>5200</v>
      </c>
      <c r="B1481" s="115" t="s">
        <v>4007</v>
      </c>
      <c r="C1481" s="116" t="s">
        <v>20</v>
      </c>
      <c r="D1481" s="116">
        <v>0</v>
      </c>
      <c r="E1481" s="135" t="s">
        <v>558</v>
      </c>
      <c r="F1481" s="136" t="str">
        <f t="shared" si="93"/>
        <v/>
      </c>
      <c r="G1481" s="137" t="e">
        <f>IF(A1481&lt;&gt;"",IF(AND(#REF!="Padrão",$H$4=#REF!),BDI!$B$17,IF(AND(#REF!="Padrão",$H$4=#REF!),BDI!#REF!,IF(AND(#REF!="Diferenciado",$H$4=#REF!),BDI!$E$17,IF(AND(#REF!="Diferenciado",$H$4=#REF!),BDI!#REF!,IF(#REF!="ZERO",0))))),"")</f>
        <v>#REF!</v>
      </c>
      <c r="H1481" s="138" t="str">
        <f t="shared" si="94"/>
        <v/>
      </c>
      <c r="I1481" s="136" t="str">
        <f t="shared" si="95"/>
        <v/>
      </c>
    </row>
    <row r="1482" spans="1:9" hidden="1" x14ac:dyDescent="0.25">
      <c r="A1482" s="114" t="s">
        <v>5201</v>
      </c>
      <c r="B1482" s="115" t="s">
        <v>4008</v>
      </c>
      <c r="C1482" s="116" t="s">
        <v>20</v>
      </c>
      <c r="D1482" s="116">
        <v>0</v>
      </c>
      <c r="E1482" s="135" t="s">
        <v>558</v>
      </c>
      <c r="F1482" s="136" t="str">
        <f t="shared" si="93"/>
        <v/>
      </c>
      <c r="G1482" s="137" t="e">
        <f>IF(A1482&lt;&gt;"",IF(AND(#REF!="Padrão",$H$4=#REF!),BDI!$B$17,IF(AND(#REF!="Padrão",$H$4=#REF!),BDI!#REF!,IF(AND(#REF!="Diferenciado",$H$4=#REF!),BDI!$E$17,IF(AND(#REF!="Diferenciado",$H$4=#REF!),BDI!#REF!,IF(#REF!="ZERO",0))))),"")</f>
        <v>#REF!</v>
      </c>
      <c r="H1482" s="138" t="str">
        <f t="shared" si="94"/>
        <v/>
      </c>
      <c r="I1482" s="136" t="str">
        <f t="shared" si="95"/>
        <v/>
      </c>
    </row>
    <row r="1483" spans="1:9" hidden="1" x14ac:dyDescent="0.25">
      <c r="A1483" s="114" t="s">
        <v>5202</v>
      </c>
      <c r="B1483" s="115" t="s">
        <v>4009</v>
      </c>
      <c r="C1483" s="116" t="s">
        <v>93</v>
      </c>
      <c r="D1483" s="116">
        <v>0</v>
      </c>
      <c r="E1483" s="135" t="s">
        <v>558</v>
      </c>
      <c r="F1483" s="136" t="str">
        <f t="shared" si="93"/>
        <v/>
      </c>
      <c r="G1483" s="137" t="e">
        <f>IF(A1483&lt;&gt;"",IF(AND(#REF!="Padrão",$H$4=#REF!),BDI!$B$17,IF(AND(#REF!="Padrão",$H$4=#REF!),BDI!#REF!,IF(AND(#REF!="Diferenciado",$H$4=#REF!),BDI!$E$17,IF(AND(#REF!="Diferenciado",$H$4=#REF!),BDI!#REF!,IF(#REF!="ZERO",0))))),"")</f>
        <v>#REF!</v>
      </c>
      <c r="H1483" s="138" t="str">
        <f t="shared" si="94"/>
        <v/>
      </c>
      <c r="I1483" s="136" t="str">
        <f t="shared" si="95"/>
        <v/>
      </c>
    </row>
    <row r="1484" spans="1:9" hidden="1" x14ac:dyDescent="0.25">
      <c r="A1484" s="114" t="s">
        <v>5203</v>
      </c>
      <c r="B1484" s="115" t="s">
        <v>4010</v>
      </c>
      <c r="C1484" s="116" t="s">
        <v>93</v>
      </c>
      <c r="D1484" s="116">
        <v>0</v>
      </c>
      <c r="E1484" s="135" t="s">
        <v>558</v>
      </c>
      <c r="F1484" s="136" t="str">
        <f t="shared" si="93"/>
        <v/>
      </c>
      <c r="G1484" s="137" t="e">
        <f>IF(A1484&lt;&gt;"",IF(AND(#REF!="Padrão",$H$4=#REF!),BDI!$B$17,IF(AND(#REF!="Padrão",$H$4=#REF!),BDI!#REF!,IF(AND(#REF!="Diferenciado",$H$4=#REF!),BDI!$E$17,IF(AND(#REF!="Diferenciado",$H$4=#REF!),BDI!#REF!,IF(#REF!="ZERO",0))))),"")</f>
        <v>#REF!</v>
      </c>
      <c r="H1484" s="138" t="str">
        <f t="shared" si="94"/>
        <v/>
      </c>
      <c r="I1484" s="136" t="str">
        <f t="shared" si="95"/>
        <v/>
      </c>
    </row>
    <row r="1485" spans="1:9" hidden="1" x14ac:dyDescent="0.25">
      <c r="A1485" s="114" t="s">
        <v>5204</v>
      </c>
      <c r="B1485" s="115" t="s">
        <v>4011</v>
      </c>
      <c r="C1485" s="116" t="s">
        <v>93</v>
      </c>
      <c r="D1485" s="116">
        <v>0</v>
      </c>
      <c r="E1485" s="135" t="s">
        <v>558</v>
      </c>
      <c r="F1485" s="136" t="str">
        <f t="shared" si="93"/>
        <v/>
      </c>
      <c r="G1485" s="137" t="e">
        <f>IF(A1485&lt;&gt;"",IF(AND(#REF!="Padrão",$H$4=#REF!),BDI!$B$17,IF(AND(#REF!="Padrão",$H$4=#REF!),BDI!#REF!,IF(AND(#REF!="Diferenciado",$H$4=#REF!),BDI!$E$17,IF(AND(#REF!="Diferenciado",$H$4=#REF!),BDI!#REF!,IF(#REF!="ZERO",0))))),"")</f>
        <v>#REF!</v>
      </c>
      <c r="H1485" s="138" t="str">
        <f t="shared" si="94"/>
        <v/>
      </c>
      <c r="I1485" s="136" t="str">
        <f t="shared" si="95"/>
        <v/>
      </c>
    </row>
    <row r="1486" spans="1:9" hidden="1" x14ac:dyDescent="0.25">
      <c r="A1486" s="114" t="s">
        <v>5205</v>
      </c>
      <c r="B1486" s="115" t="s">
        <v>4012</v>
      </c>
      <c r="C1486" s="116" t="s">
        <v>5106</v>
      </c>
      <c r="D1486" s="116">
        <v>0</v>
      </c>
      <c r="E1486" s="135" t="s">
        <v>558</v>
      </c>
      <c r="F1486" s="136" t="str">
        <f t="shared" si="93"/>
        <v/>
      </c>
      <c r="G1486" s="137" t="e">
        <f>IF(A1486&lt;&gt;"",IF(AND(#REF!="Padrão",$H$4=#REF!),BDI!$B$17,IF(AND(#REF!="Padrão",$H$4=#REF!),BDI!#REF!,IF(AND(#REF!="Diferenciado",$H$4=#REF!),BDI!$E$17,IF(AND(#REF!="Diferenciado",$H$4=#REF!),BDI!#REF!,IF(#REF!="ZERO",0))))),"")</f>
        <v>#REF!</v>
      </c>
      <c r="H1486" s="138" t="str">
        <f t="shared" si="94"/>
        <v/>
      </c>
      <c r="I1486" s="136" t="str">
        <f t="shared" si="95"/>
        <v/>
      </c>
    </row>
    <row r="1487" spans="1:9" hidden="1" x14ac:dyDescent="0.25">
      <c r="A1487" s="114" t="s">
        <v>5206</v>
      </c>
      <c r="B1487" s="115" t="s">
        <v>4013</v>
      </c>
      <c r="C1487" s="116" t="s">
        <v>20</v>
      </c>
      <c r="D1487" s="116">
        <v>0</v>
      </c>
      <c r="E1487" s="135" t="s">
        <v>558</v>
      </c>
      <c r="F1487" s="136" t="str">
        <f t="shared" si="93"/>
        <v/>
      </c>
      <c r="G1487" s="137" t="e">
        <f>IF(A1487&lt;&gt;"",IF(AND(#REF!="Padrão",$H$4=#REF!),BDI!$B$17,IF(AND(#REF!="Padrão",$H$4=#REF!),BDI!#REF!,IF(AND(#REF!="Diferenciado",$H$4=#REF!),BDI!$E$17,IF(AND(#REF!="Diferenciado",$H$4=#REF!),BDI!#REF!,IF(#REF!="ZERO",0))))),"")</f>
        <v>#REF!</v>
      </c>
      <c r="H1487" s="138" t="str">
        <f t="shared" si="94"/>
        <v/>
      </c>
      <c r="I1487" s="136" t="str">
        <f t="shared" si="95"/>
        <v/>
      </c>
    </row>
    <row r="1488" spans="1:9" hidden="1" x14ac:dyDescent="0.25">
      <c r="A1488" s="114" t="s">
        <v>5207</v>
      </c>
      <c r="B1488" s="115" t="s">
        <v>4014</v>
      </c>
      <c r="C1488" s="116" t="s">
        <v>20</v>
      </c>
      <c r="D1488" s="116">
        <v>0</v>
      </c>
      <c r="E1488" s="135" t="s">
        <v>558</v>
      </c>
      <c r="F1488" s="136" t="str">
        <f t="shared" si="93"/>
        <v/>
      </c>
      <c r="G1488" s="137" t="e">
        <f>IF(A1488&lt;&gt;"",IF(AND(#REF!="Padrão",$H$4=#REF!),BDI!$B$17,IF(AND(#REF!="Padrão",$H$4=#REF!),BDI!#REF!,IF(AND(#REF!="Diferenciado",$H$4=#REF!),BDI!$E$17,IF(AND(#REF!="Diferenciado",$H$4=#REF!),BDI!#REF!,IF(#REF!="ZERO",0))))),"")</f>
        <v>#REF!</v>
      </c>
      <c r="H1488" s="138" t="str">
        <f t="shared" si="94"/>
        <v/>
      </c>
      <c r="I1488" s="136" t="str">
        <f t="shared" si="95"/>
        <v/>
      </c>
    </row>
    <row r="1489" spans="1:9" hidden="1" x14ac:dyDescent="0.25">
      <c r="A1489" s="114" t="s">
        <v>5208</v>
      </c>
      <c r="B1489" s="115" t="s">
        <v>4015</v>
      </c>
      <c r="C1489" s="116" t="s">
        <v>20</v>
      </c>
      <c r="D1489" s="116">
        <v>0</v>
      </c>
      <c r="E1489" s="135" t="s">
        <v>558</v>
      </c>
      <c r="F1489" s="136" t="str">
        <f t="shared" si="93"/>
        <v/>
      </c>
      <c r="G1489" s="137" t="e">
        <f>IF(A1489&lt;&gt;"",IF(AND(#REF!="Padrão",$H$4=#REF!),BDI!$B$17,IF(AND(#REF!="Padrão",$H$4=#REF!),BDI!#REF!,IF(AND(#REF!="Diferenciado",$H$4=#REF!),BDI!$E$17,IF(AND(#REF!="Diferenciado",$H$4=#REF!),BDI!#REF!,IF(#REF!="ZERO",0))))),"")</f>
        <v>#REF!</v>
      </c>
      <c r="H1489" s="138" t="str">
        <f t="shared" si="94"/>
        <v/>
      </c>
      <c r="I1489" s="136" t="str">
        <f t="shared" si="95"/>
        <v/>
      </c>
    </row>
    <row r="1490" spans="1:9" hidden="1" x14ac:dyDescent="0.25">
      <c r="A1490" s="114" t="s">
        <v>5209</v>
      </c>
      <c r="B1490" s="115" t="s">
        <v>4016</v>
      </c>
      <c r="C1490" s="116" t="s">
        <v>20</v>
      </c>
      <c r="D1490" s="116">
        <v>0</v>
      </c>
      <c r="E1490" s="135" t="s">
        <v>558</v>
      </c>
      <c r="F1490" s="136" t="str">
        <f t="shared" si="93"/>
        <v/>
      </c>
      <c r="G1490" s="137" t="e">
        <f>IF(A1490&lt;&gt;"",IF(AND(#REF!="Padrão",$H$4=#REF!),BDI!$B$17,IF(AND(#REF!="Padrão",$H$4=#REF!),BDI!#REF!,IF(AND(#REF!="Diferenciado",$H$4=#REF!),BDI!$E$17,IF(AND(#REF!="Diferenciado",$H$4=#REF!),BDI!#REF!,IF(#REF!="ZERO",0))))),"")</f>
        <v>#REF!</v>
      </c>
      <c r="H1490" s="138" t="str">
        <f t="shared" si="94"/>
        <v/>
      </c>
      <c r="I1490" s="136" t="str">
        <f t="shared" si="95"/>
        <v/>
      </c>
    </row>
    <row r="1491" spans="1:9" hidden="1" x14ac:dyDescent="0.25">
      <c r="A1491" s="114" t="s">
        <v>5210</v>
      </c>
      <c r="B1491" s="115" t="s">
        <v>4017</v>
      </c>
      <c r="C1491" s="116" t="s">
        <v>95</v>
      </c>
      <c r="D1491" s="116">
        <v>0</v>
      </c>
      <c r="E1491" s="135" t="s">
        <v>558</v>
      </c>
      <c r="F1491" s="136" t="str">
        <f t="shared" si="93"/>
        <v/>
      </c>
      <c r="G1491" s="137" t="e">
        <f>IF(A1491&lt;&gt;"",IF(AND(#REF!="Padrão",$H$4=#REF!),BDI!$B$17,IF(AND(#REF!="Padrão",$H$4=#REF!),BDI!#REF!,IF(AND(#REF!="Diferenciado",$H$4=#REF!),BDI!$E$17,IF(AND(#REF!="Diferenciado",$H$4=#REF!),BDI!#REF!,IF(#REF!="ZERO",0))))),"")</f>
        <v>#REF!</v>
      </c>
      <c r="H1491" s="138" t="str">
        <f t="shared" si="94"/>
        <v/>
      </c>
      <c r="I1491" s="136" t="str">
        <f t="shared" si="95"/>
        <v/>
      </c>
    </row>
    <row r="1492" spans="1:9" hidden="1" x14ac:dyDescent="0.25">
      <c r="A1492" s="114" t="s">
        <v>5211</v>
      </c>
      <c r="B1492" s="115" t="s">
        <v>4018</v>
      </c>
      <c r="C1492" s="116" t="s">
        <v>95</v>
      </c>
      <c r="D1492" s="116">
        <v>0</v>
      </c>
      <c r="E1492" s="135" t="s">
        <v>558</v>
      </c>
      <c r="F1492" s="136" t="str">
        <f t="shared" si="93"/>
        <v/>
      </c>
      <c r="G1492" s="137" t="e">
        <f>IF(A1492&lt;&gt;"",IF(AND(#REF!="Padrão",$H$4=#REF!),BDI!$B$17,IF(AND(#REF!="Padrão",$H$4=#REF!),BDI!#REF!,IF(AND(#REF!="Diferenciado",$H$4=#REF!),BDI!$E$17,IF(AND(#REF!="Diferenciado",$H$4=#REF!),BDI!#REF!,IF(#REF!="ZERO",0))))),"")</f>
        <v>#REF!</v>
      </c>
      <c r="H1492" s="138" t="str">
        <f t="shared" si="94"/>
        <v/>
      </c>
      <c r="I1492" s="136" t="str">
        <f t="shared" si="95"/>
        <v/>
      </c>
    </row>
    <row r="1493" spans="1:9" hidden="1" x14ac:dyDescent="0.25">
      <c r="A1493" s="114" t="s">
        <v>5212</v>
      </c>
      <c r="B1493" s="115" t="s">
        <v>4019</v>
      </c>
      <c r="C1493" s="116" t="s">
        <v>42</v>
      </c>
      <c r="D1493" s="116">
        <v>0</v>
      </c>
      <c r="E1493" s="135">
        <f ca="1">OFFSET(INDEX(Composições!A:J,MATCH(Orçamentária!A1493,Composições!A:A,0),8),2,0)</f>
        <v>14.25</v>
      </c>
      <c r="F1493" s="136">
        <f t="shared" ca="1" si="93"/>
        <v>0</v>
      </c>
      <c r="G1493" s="137" t="e">
        <f>IF(A1493&lt;&gt;"",IF(AND(#REF!="Padrão",$H$4=#REF!),BDI!$B$17,IF(AND(#REF!="Padrão",$H$4=#REF!),BDI!#REF!,IF(AND(#REF!="Diferenciado",$H$4=#REF!),BDI!$E$17,IF(AND(#REF!="Diferenciado",$H$4=#REF!),BDI!#REF!,IF(#REF!="ZERO",0))))),"")</f>
        <v>#REF!</v>
      </c>
      <c r="H1493" s="138" t="e">
        <f t="shared" ca="1" si="94"/>
        <v>#REF!</v>
      </c>
      <c r="I1493" s="136" t="e">
        <f t="shared" ca="1" si="95"/>
        <v>#REF!</v>
      </c>
    </row>
    <row r="1494" spans="1:9" hidden="1" x14ac:dyDescent="0.25">
      <c r="A1494" s="114" t="s">
        <v>5213</v>
      </c>
      <c r="B1494" s="115" t="s">
        <v>4020</v>
      </c>
      <c r="C1494" s="116" t="s">
        <v>110</v>
      </c>
      <c r="D1494" s="116">
        <v>0</v>
      </c>
      <c r="E1494" s="135" t="s">
        <v>558</v>
      </c>
      <c r="F1494" s="136" t="str">
        <f t="shared" si="93"/>
        <v/>
      </c>
      <c r="G1494" s="137" t="e">
        <f>IF(A1494&lt;&gt;"",IF(AND(#REF!="Padrão",$H$4=#REF!),BDI!$B$17,IF(AND(#REF!="Padrão",$H$4=#REF!),BDI!#REF!,IF(AND(#REF!="Diferenciado",$H$4=#REF!),BDI!$E$17,IF(AND(#REF!="Diferenciado",$H$4=#REF!),BDI!#REF!,IF(#REF!="ZERO",0))))),"")</f>
        <v>#REF!</v>
      </c>
      <c r="H1494" s="138" t="str">
        <f t="shared" si="94"/>
        <v/>
      </c>
      <c r="I1494" s="136" t="str">
        <f t="shared" si="95"/>
        <v/>
      </c>
    </row>
    <row r="1495" spans="1:9" hidden="1" x14ac:dyDescent="0.25">
      <c r="A1495" s="114" t="s">
        <v>5214</v>
      </c>
      <c r="B1495" s="115" t="s">
        <v>4021</v>
      </c>
      <c r="C1495" s="116" t="s">
        <v>6352</v>
      </c>
      <c r="D1495" s="116">
        <v>0</v>
      </c>
      <c r="E1495" s="135" t="s">
        <v>558</v>
      </c>
      <c r="F1495" s="136" t="str">
        <f t="shared" si="93"/>
        <v/>
      </c>
      <c r="G1495" s="137" t="e">
        <f>IF(A1495&lt;&gt;"",IF(AND(#REF!="Padrão",$H$4=#REF!),BDI!$B$17,IF(AND(#REF!="Padrão",$H$4=#REF!),BDI!#REF!,IF(AND(#REF!="Diferenciado",$H$4=#REF!),BDI!$E$17,IF(AND(#REF!="Diferenciado",$H$4=#REF!),BDI!#REF!,IF(#REF!="ZERO",0))))),"")</f>
        <v>#REF!</v>
      </c>
      <c r="H1495" s="138" t="str">
        <f t="shared" si="94"/>
        <v/>
      </c>
      <c r="I1495" s="136" t="str">
        <f t="shared" si="95"/>
        <v/>
      </c>
    </row>
    <row r="1496" spans="1:9" hidden="1" x14ac:dyDescent="0.25">
      <c r="A1496" s="114" t="s">
        <v>5215</v>
      </c>
      <c r="B1496" s="115" t="s">
        <v>4022</v>
      </c>
      <c r="C1496" s="116" t="s">
        <v>20</v>
      </c>
      <c r="D1496" s="116">
        <v>0</v>
      </c>
      <c r="E1496" s="135" t="s">
        <v>558</v>
      </c>
      <c r="F1496" s="136" t="str">
        <f t="shared" si="93"/>
        <v/>
      </c>
      <c r="G1496" s="137" t="e">
        <f>IF(A1496&lt;&gt;"",IF(AND(#REF!="Padrão",$H$4=#REF!),BDI!$B$17,IF(AND(#REF!="Padrão",$H$4=#REF!),BDI!#REF!,IF(AND(#REF!="Diferenciado",$H$4=#REF!),BDI!$E$17,IF(AND(#REF!="Diferenciado",$H$4=#REF!),BDI!#REF!,IF(#REF!="ZERO",0))))),"")</f>
        <v>#REF!</v>
      </c>
      <c r="H1496" s="138" t="str">
        <f t="shared" si="94"/>
        <v/>
      </c>
      <c r="I1496" s="136" t="str">
        <f t="shared" si="95"/>
        <v/>
      </c>
    </row>
    <row r="1497" spans="1:9" hidden="1" x14ac:dyDescent="0.25">
      <c r="A1497" s="114" t="s">
        <v>5216</v>
      </c>
      <c r="B1497" s="115" t="s">
        <v>4023</v>
      </c>
      <c r="C1497" s="116" t="s">
        <v>20</v>
      </c>
      <c r="D1497" s="116">
        <v>0</v>
      </c>
      <c r="E1497" s="135" t="s">
        <v>558</v>
      </c>
      <c r="F1497" s="136" t="str">
        <f t="shared" si="93"/>
        <v/>
      </c>
      <c r="G1497" s="137" t="e">
        <f>IF(A1497&lt;&gt;"",IF(AND(#REF!="Padrão",$H$4=#REF!),BDI!$B$17,IF(AND(#REF!="Padrão",$H$4=#REF!),BDI!#REF!,IF(AND(#REF!="Diferenciado",$H$4=#REF!),BDI!$E$17,IF(AND(#REF!="Diferenciado",$H$4=#REF!),BDI!#REF!,IF(#REF!="ZERO",0))))),"")</f>
        <v>#REF!</v>
      </c>
      <c r="H1497" s="138" t="str">
        <f t="shared" si="94"/>
        <v/>
      </c>
      <c r="I1497" s="136" t="str">
        <f t="shared" si="95"/>
        <v/>
      </c>
    </row>
    <row r="1498" spans="1:9" hidden="1" x14ac:dyDescent="0.25">
      <c r="A1498" s="114" t="s">
        <v>5217</v>
      </c>
      <c r="B1498" s="115" t="s">
        <v>4024</v>
      </c>
      <c r="C1498" s="116" t="s">
        <v>20</v>
      </c>
      <c r="D1498" s="116">
        <v>0</v>
      </c>
      <c r="E1498" s="135" t="s">
        <v>558</v>
      </c>
      <c r="F1498" s="136" t="str">
        <f t="shared" si="93"/>
        <v/>
      </c>
      <c r="G1498" s="137" t="e">
        <f>IF(A1498&lt;&gt;"",IF(AND(#REF!="Padrão",$H$4=#REF!),BDI!$B$17,IF(AND(#REF!="Padrão",$H$4=#REF!),BDI!#REF!,IF(AND(#REF!="Diferenciado",$H$4=#REF!),BDI!$E$17,IF(AND(#REF!="Diferenciado",$H$4=#REF!),BDI!#REF!,IF(#REF!="ZERO",0))))),"")</f>
        <v>#REF!</v>
      </c>
      <c r="H1498" s="138" t="str">
        <f t="shared" si="94"/>
        <v/>
      </c>
      <c r="I1498" s="136" t="str">
        <f t="shared" si="95"/>
        <v/>
      </c>
    </row>
    <row r="1499" spans="1:9" hidden="1" x14ac:dyDescent="0.25">
      <c r="A1499" s="114" t="s">
        <v>5218</v>
      </c>
      <c r="B1499" s="115" t="s">
        <v>4025</v>
      </c>
      <c r="C1499" s="116" t="s">
        <v>42</v>
      </c>
      <c r="D1499" s="116">
        <v>0</v>
      </c>
      <c r="E1499" s="135">
        <f ca="1">OFFSET(INDEX(Composições!A:J,MATCH(Orçamentária!A1499,Composições!A:A,0),8),2,0)</f>
        <v>0</v>
      </c>
      <c r="F1499" s="136">
        <f t="shared" ca="1" si="93"/>
        <v>0</v>
      </c>
      <c r="G1499" s="137" t="e">
        <f>IF(A1499&lt;&gt;"",IF(AND(#REF!="Padrão",$H$4=#REF!),BDI!$B$17,IF(AND(#REF!="Padrão",$H$4=#REF!),BDI!#REF!,IF(AND(#REF!="Diferenciado",$H$4=#REF!),BDI!$E$17,IF(AND(#REF!="Diferenciado",$H$4=#REF!),BDI!#REF!,IF(#REF!="ZERO",0))))),"")</f>
        <v>#REF!</v>
      </c>
      <c r="H1499" s="138" t="e">
        <f t="shared" ca="1" si="94"/>
        <v>#REF!</v>
      </c>
      <c r="I1499" s="136" t="e">
        <f t="shared" ca="1" si="95"/>
        <v>#REF!</v>
      </c>
    </row>
    <row r="1500" spans="1:9" hidden="1" x14ac:dyDescent="0.25">
      <c r="A1500" s="114" t="s">
        <v>5219</v>
      </c>
      <c r="B1500" s="115" t="s">
        <v>4026</v>
      </c>
      <c r="C1500" s="116" t="s">
        <v>20</v>
      </c>
      <c r="D1500" s="116">
        <v>0</v>
      </c>
      <c r="E1500" s="135" t="s">
        <v>558</v>
      </c>
      <c r="F1500" s="136" t="str">
        <f t="shared" si="93"/>
        <v/>
      </c>
      <c r="G1500" s="137" t="e">
        <f>IF(A1500&lt;&gt;"",IF(AND(#REF!="Padrão",$H$4=#REF!),BDI!$B$17,IF(AND(#REF!="Padrão",$H$4=#REF!),BDI!#REF!,IF(AND(#REF!="Diferenciado",$H$4=#REF!),BDI!$E$17,IF(AND(#REF!="Diferenciado",$H$4=#REF!),BDI!#REF!,IF(#REF!="ZERO",0))))),"")</f>
        <v>#REF!</v>
      </c>
      <c r="H1500" s="138" t="str">
        <f t="shared" si="94"/>
        <v/>
      </c>
      <c r="I1500" s="136" t="str">
        <f t="shared" si="95"/>
        <v/>
      </c>
    </row>
    <row r="1501" spans="1:9" hidden="1" x14ac:dyDescent="0.25">
      <c r="A1501" s="114" t="s">
        <v>5220</v>
      </c>
      <c r="B1501" s="115" t="s">
        <v>4027</v>
      </c>
      <c r="C1501" s="116" t="s">
        <v>20</v>
      </c>
      <c r="D1501" s="116">
        <v>0</v>
      </c>
      <c r="E1501" s="135" t="s">
        <v>558</v>
      </c>
      <c r="F1501" s="136" t="str">
        <f t="shared" si="93"/>
        <v/>
      </c>
      <c r="G1501" s="137" t="e">
        <f>IF(A1501&lt;&gt;"",IF(AND(#REF!="Padrão",$H$4=#REF!),BDI!$B$17,IF(AND(#REF!="Padrão",$H$4=#REF!),BDI!#REF!,IF(AND(#REF!="Diferenciado",$H$4=#REF!),BDI!$E$17,IF(AND(#REF!="Diferenciado",$H$4=#REF!),BDI!#REF!,IF(#REF!="ZERO",0))))),"")</f>
        <v>#REF!</v>
      </c>
      <c r="H1501" s="138" t="str">
        <f t="shared" si="94"/>
        <v/>
      </c>
      <c r="I1501" s="136" t="str">
        <f t="shared" si="95"/>
        <v/>
      </c>
    </row>
    <row r="1502" spans="1:9" hidden="1" x14ac:dyDescent="0.25">
      <c r="A1502" s="114" t="s">
        <v>5221</v>
      </c>
      <c r="B1502" s="115" t="s">
        <v>4028</v>
      </c>
      <c r="C1502" s="116" t="s">
        <v>20</v>
      </c>
      <c r="D1502" s="116">
        <v>0</v>
      </c>
      <c r="E1502" s="135" t="s">
        <v>558</v>
      </c>
      <c r="F1502" s="136" t="str">
        <f t="shared" si="93"/>
        <v/>
      </c>
      <c r="G1502" s="137" t="e">
        <f>IF(A1502&lt;&gt;"",IF(AND(#REF!="Padrão",$H$4=#REF!),BDI!$B$17,IF(AND(#REF!="Padrão",$H$4=#REF!),BDI!#REF!,IF(AND(#REF!="Diferenciado",$H$4=#REF!),BDI!$E$17,IF(AND(#REF!="Diferenciado",$H$4=#REF!),BDI!#REF!,IF(#REF!="ZERO",0))))),"")</f>
        <v>#REF!</v>
      </c>
      <c r="H1502" s="138" t="str">
        <f t="shared" si="94"/>
        <v/>
      </c>
      <c r="I1502" s="136" t="str">
        <f t="shared" si="95"/>
        <v/>
      </c>
    </row>
    <row r="1503" spans="1:9" hidden="1" x14ac:dyDescent="0.25">
      <c r="A1503" s="114" t="s">
        <v>5222</v>
      </c>
      <c r="B1503" s="115" t="s">
        <v>4029</v>
      </c>
      <c r="C1503" s="116" t="s">
        <v>20</v>
      </c>
      <c r="D1503" s="116">
        <v>0</v>
      </c>
      <c r="E1503" s="135" t="s">
        <v>558</v>
      </c>
      <c r="F1503" s="136" t="str">
        <f t="shared" si="93"/>
        <v/>
      </c>
      <c r="G1503" s="137" t="e">
        <f>IF(A1503&lt;&gt;"",IF(AND(#REF!="Padrão",$H$4=#REF!),BDI!$B$17,IF(AND(#REF!="Padrão",$H$4=#REF!),BDI!#REF!,IF(AND(#REF!="Diferenciado",$H$4=#REF!),BDI!$E$17,IF(AND(#REF!="Diferenciado",$H$4=#REF!),BDI!#REF!,IF(#REF!="ZERO",0))))),"")</f>
        <v>#REF!</v>
      </c>
      <c r="H1503" s="138" t="str">
        <f t="shared" si="94"/>
        <v/>
      </c>
      <c r="I1503" s="136" t="str">
        <f t="shared" si="95"/>
        <v/>
      </c>
    </row>
    <row r="1504" spans="1:9" hidden="1" x14ac:dyDescent="0.25">
      <c r="A1504" s="114" t="s">
        <v>5223</v>
      </c>
      <c r="B1504" s="115" t="s">
        <v>4030</v>
      </c>
      <c r="C1504" s="116" t="s">
        <v>20</v>
      </c>
      <c r="D1504" s="116">
        <v>0</v>
      </c>
      <c r="E1504" s="135" t="s">
        <v>558</v>
      </c>
      <c r="F1504" s="136" t="str">
        <f t="shared" si="93"/>
        <v/>
      </c>
      <c r="G1504" s="137" t="e">
        <f>IF(A1504&lt;&gt;"",IF(AND(#REF!="Padrão",$H$4=#REF!),BDI!$B$17,IF(AND(#REF!="Padrão",$H$4=#REF!),BDI!#REF!,IF(AND(#REF!="Diferenciado",$H$4=#REF!),BDI!$E$17,IF(AND(#REF!="Diferenciado",$H$4=#REF!),BDI!#REF!,IF(#REF!="ZERO",0))))),"")</f>
        <v>#REF!</v>
      </c>
      <c r="H1504" s="138" t="str">
        <f t="shared" si="94"/>
        <v/>
      </c>
      <c r="I1504" s="136" t="str">
        <f t="shared" si="95"/>
        <v/>
      </c>
    </row>
    <row r="1505" spans="1:9" hidden="1" x14ac:dyDescent="0.25">
      <c r="A1505" s="114" t="s">
        <v>5224</v>
      </c>
      <c r="B1505" s="115" t="s">
        <v>4031</v>
      </c>
      <c r="C1505" s="116" t="s">
        <v>20</v>
      </c>
      <c r="D1505" s="116">
        <v>0</v>
      </c>
      <c r="E1505" s="135" t="s">
        <v>558</v>
      </c>
      <c r="F1505" s="136" t="str">
        <f t="shared" si="93"/>
        <v/>
      </c>
      <c r="G1505" s="137" t="e">
        <f>IF(A1505&lt;&gt;"",IF(AND(#REF!="Padrão",$H$4=#REF!),BDI!$B$17,IF(AND(#REF!="Padrão",$H$4=#REF!),BDI!#REF!,IF(AND(#REF!="Diferenciado",$H$4=#REF!),BDI!$E$17,IF(AND(#REF!="Diferenciado",$H$4=#REF!),BDI!#REF!,IF(#REF!="ZERO",0))))),"")</f>
        <v>#REF!</v>
      </c>
      <c r="H1505" s="138" t="str">
        <f t="shared" si="94"/>
        <v/>
      </c>
      <c r="I1505" s="136" t="str">
        <f t="shared" si="95"/>
        <v/>
      </c>
    </row>
    <row r="1506" spans="1:9" hidden="1" x14ac:dyDescent="0.25">
      <c r="A1506" s="114" t="s">
        <v>5225</v>
      </c>
      <c r="B1506" s="115" t="s">
        <v>4032</v>
      </c>
      <c r="C1506" s="116" t="s">
        <v>20</v>
      </c>
      <c r="D1506" s="116">
        <v>0</v>
      </c>
      <c r="E1506" s="135" t="s">
        <v>558</v>
      </c>
      <c r="F1506" s="136" t="str">
        <f t="shared" si="93"/>
        <v/>
      </c>
      <c r="G1506" s="137" t="e">
        <f>IF(A1506&lt;&gt;"",IF(AND(#REF!="Padrão",$H$4=#REF!),BDI!$B$17,IF(AND(#REF!="Padrão",$H$4=#REF!),BDI!#REF!,IF(AND(#REF!="Diferenciado",$H$4=#REF!),BDI!$E$17,IF(AND(#REF!="Diferenciado",$H$4=#REF!),BDI!#REF!,IF(#REF!="ZERO",0))))),"")</f>
        <v>#REF!</v>
      </c>
      <c r="H1506" s="138" t="str">
        <f t="shared" si="94"/>
        <v/>
      </c>
      <c r="I1506" s="136" t="str">
        <f t="shared" si="95"/>
        <v/>
      </c>
    </row>
    <row r="1507" spans="1:9" hidden="1" x14ac:dyDescent="0.25">
      <c r="A1507" s="114" t="s">
        <v>5226</v>
      </c>
      <c r="B1507" s="115" t="s">
        <v>4033</v>
      </c>
      <c r="C1507" s="116" t="s">
        <v>93</v>
      </c>
      <c r="D1507" s="116">
        <v>0</v>
      </c>
      <c r="E1507" s="135" t="s">
        <v>558</v>
      </c>
      <c r="F1507" s="136" t="str">
        <f t="shared" si="93"/>
        <v/>
      </c>
      <c r="G1507" s="137" t="e">
        <f>IF(A1507&lt;&gt;"",IF(AND(#REF!="Padrão",$H$4=#REF!),BDI!$B$17,IF(AND(#REF!="Padrão",$H$4=#REF!),BDI!#REF!,IF(AND(#REF!="Diferenciado",$H$4=#REF!),BDI!$E$17,IF(AND(#REF!="Diferenciado",$H$4=#REF!),BDI!#REF!,IF(#REF!="ZERO",0))))),"")</f>
        <v>#REF!</v>
      </c>
      <c r="H1507" s="138" t="str">
        <f t="shared" si="94"/>
        <v/>
      </c>
      <c r="I1507" s="136" t="str">
        <f t="shared" si="95"/>
        <v/>
      </c>
    </row>
    <row r="1508" spans="1:9" hidden="1" x14ac:dyDescent="0.25">
      <c r="A1508" s="114" t="s">
        <v>5227</v>
      </c>
      <c r="B1508" s="115" t="s">
        <v>4034</v>
      </c>
      <c r="C1508" s="116" t="s">
        <v>20</v>
      </c>
      <c r="D1508" s="116">
        <v>0</v>
      </c>
      <c r="E1508" s="135" t="s">
        <v>558</v>
      </c>
      <c r="F1508" s="136" t="str">
        <f t="shared" si="93"/>
        <v/>
      </c>
      <c r="G1508" s="137" t="e">
        <f>IF(A1508&lt;&gt;"",IF(AND(#REF!="Padrão",$H$4=#REF!),BDI!$B$17,IF(AND(#REF!="Padrão",$H$4=#REF!),BDI!#REF!,IF(AND(#REF!="Diferenciado",$H$4=#REF!),BDI!$E$17,IF(AND(#REF!="Diferenciado",$H$4=#REF!),BDI!#REF!,IF(#REF!="ZERO",0))))),"")</f>
        <v>#REF!</v>
      </c>
      <c r="H1508" s="138" t="str">
        <f t="shared" si="94"/>
        <v/>
      </c>
      <c r="I1508" s="136" t="str">
        <f t="shared" si="95"/>
        <v/>
      </c>
    </row>
    <row r="1509" spans="1:9" hidden="1" x14ac:dyDescent="0.25">
      <c r="A1509" s="114" t="s">
        <v>5228</v>
      </c>
      <c r="B1509" s="115" t="s">
        <v>4035</v>
      </c>
      <c r="C1509" s="116" t="s">
        <v>20</v>
      </c>
      <c r="D1509" s="116">
        <v>0</v>
      </c>
      <c r="E1509" s="135" t="s">
        <v>558</v>
      </c>
      <c r="F1509" s="136" t="str">
        <f t="shared" si="93"/>
        <v/>
      </c>
      <c r="G1509" s="137" t="e">
        <f>IF(A1509&lt;&gt;"",IF(AND(#REF!="Padrão",$H$4=#REF!),BDI!$B$17,IF(AND(#REF!="Padrão",$H$4=#REF!),BDI!#REF!,IF(AND(#REF!="Diferenciado",$H$4=#REF!),BDI!$E$17,IF(AND(#REF!="Diferenciado",$H$4=#REF!),BDI!#REF!,IF(#REF!="ZERO",0))))),"")</f>
        <v>#REF!</v>
      </c>
      <c r="H1509" s="138" t="str">
        <f t="shared" si="94"/>
        <v/>
      </c>
      <c r="I1509" s="136" t="str">
        <f t="shared" si="95"/>
        <v/>
      </c>
    </row>
    <row r="1510" spans="1:9" hidden="1" x14ac:dyDescent="0.25">
      <c r="A1510" s="114" t="s">
        <v>5229</v>
      </c>
      <c r="B1510" s="115" t="s">
        <v>4036</v>
      </c>
      <c r="C1510" s="116" t="s">
        <v>20</v>
      </c>
      <c r="D1510" s="116">
        <v>0</v>
      </c>
      <c r="E1510" s="135" t="s">
        <v>558</v>
      </c>
      <c r="F1510" s="136" t="str">
        <f t="shared" si="93"/>
        <v/>
      </c>
      <c r="G1510" s="137" t="e">
        <f>IF(A1510&lt;&gt;"",IF(AND(#REF!="Padrão",$H$4=#REF!),BDI!$B$17,IF(AND(#REF!="Padrão",$H$4=#REF!),BDI!#REF!,IF(AND(#REF!="Diferenciado",$H$4=#REF!),BDI!$E$17,IF(AND(#REF!="Diferenciado",$H$4=#REF!),BDI!#REF!,IF(#REF!="ZERO",0))))),"")</f>
        <v>#REF!</v>
      </c>
      <c r="H1510" s="138" t="str">
        <f t="shared" si="94"/>
        <v/>
      </c>
      <c r="I1510" s="136" t="str">
        <f t="shared" si="95"/>
        <v/>
      </c>
    </row>
    <row r="1511" spans="1:9" hidden="1" x14ac:dyDescent="0.25">
      <c r="A1511" s="114" t="s">
        <v>5230</v>
      </c>
      <c r="B1511" s="115" t="s">
        <v>4037</v>
      </c>
      <c r="C1511" s="116" t="s">
        <v>20</v>
      </c>
      <c r="D1511" s="116">
        <v>0</v>
      </c>
      <c r="E1511" s="135" t="s">
        <v>558</v>
      </c>
      <c r="F1511" s="136" t="str">
        <f t="shared" si="93"/>
        <v/>
      </c>
      <c r="G1511" s="137" t="e">
        <f>IF(A1511&lt;&gt;"",IF(AND(#REF!="Padrão",$H$4=#REF!),BDI!$B$17,IF(AND(#REF!="Padrão",$H$4=#REF!),BDI!#REF!,IF(AND(#REF!="Diferenciado",$H$4=#REF!),BDI!$E$17,IF(AND(#REF!="Diferenciado",$H$4=#REF!),BDI!#REF!,IF(#REF!="ZERO",0))))),"")</f>
        <v>#REF!</v>
      </c>
      <c r="H1511" s="138" t="str">
        <f t="shared" si="94"/>
        <v/>
      </c>
      <c r="I1511" s="136" t="str">
        <f t="shared" si="95"/>
        <v/>
      </c>
    </row>
    <row r="1512" spans="1:9" hidden="1" x14ac:dyDescent="0.25">
      <c r="A1512" s="114" t="s">
        <v>5231</v>
      </c>
      <c r="B1512" s="115" t="s">
        <v>4038</v>
      </c>
      <c r="C1512" s="116" t="s">
        <v>20</v>
      </c>
      <c r="D1512" s="116">
        <v>0</v>
      </c>
      <c r="E1512" s="135" t="s">
        <v>558</v>
      </c>
      <c r="F1512" s="136" t="str">
        <f t="shared" si="93"/>
        <v/>
      </c>
      <c r="G1512" s="137" t="e">
        <f>IF(A1512&lt;&gt;"",IF(AND(#REF!="Padrão",$H$4=#REF!),BDI!$B$17,IF(AND(#REF!="Padrão",$H$4=#REF!),BDI!#REF!,IF(AND(#REF!="Diferenciado",$H$4=#REF!),BDI!$E$17,IF(AND(#REF!="Diferenciado",$H$4=#REF!),BDI!#REF!,IF(#REF!="ZERO",0))))),"")</f>
        <v>#REF!</v>
      </c>
      <c r="H1512" s="138" t="str">
        <f t="shared" si="94"/>
        <v/>
      </c>
      <c r="I1512" s="136" t="str">
        <f t="shared" si="95"/>
        <v/>
      </c>
    </row>
    <row r="1513" spans="1:9" hidden="1" x14ac:dyDescent="0.25">
      <c r="A1513" s="114" t="s">
        <v>5232</v>
      </c>
      <c r="B1513" s="115" t="s">
        <v>4039</v>
      </c>
      <c r="C1513" s="116" t="s">
        <v>93</v>
      </c>
      <c r="D1513" s="116">
        <v>0</v>
      </c>
      <c r="E1513" s="135" t="s">
        <v>558</v>
      </c>
      <c r="F1513" s="136" t="str">
        <f t="shared" si="93"/>
        <v/>
      </c>
      <c r="G1513" s="137" t="e">
        <f>IF(A1513&lt;&gt;"",IF(AND(#REF!="Padrão",$H$4=#REF!),BDI!$B$17,IF(AND(#REF!="Padrão",$H$4=#REF!),BDI!#REF!,IF(AND(#REF!="Diferenciado",$H$4=#REF!),BDI!$E$17,IF(AND(#REF!="Diferenciado",$H$4=#REF!),BDI!#REF!,IF(#REF!="ZERO",0))))),"")</f>
        <v>#REF!</v>
      </c>
      <c r="H1513" s="138" t="str">
        <f t="shared" si="94"/>
        <v/>
      </c>
      <c r="I1513" s="136" t="str">
        <f t="shared" si="95"/>
        <v/>
      </c>
    </row>
    <row r="1514" spans="1:9" hidden="1" x14ac:dyDescent="0.25">
      <c r="A1514" s="114" t="s">
        <v>5233</v>
      </c>
      <c r="B1514" s="115" t="s">
        <v>4040</v>
      </c>
      <c r="C1514" s="116" t="s">
        <v>20</v>
      </c>
      <c r="D1514" s="116">
        <v>0</v>
      </c>
      <c r="E1514" s="135" t="s">
        <v>558</v>
      </c>
      <c r="F1514" s="136" t="str">
        <f t="shared" si="93"/>
        <v/>
      </c>
      <c r="G1514" s="137" t="e">
        <f>IF(A1514&lt;&gt;"",IF(AND(#REF!="Padrão",$H$4=#REF!),BDI!$B$17,IF(AND(#REF!="Padrão",$H$4=#REF!),BDI!#REF!,IF(AND(#REF!="Diferenciado",$H$4=#REF!),BDI!$E$17,IF(AND(#REF!="Diferenciado",$H$4=#REF!),BDI!#REF!,IF(#REF!="ZERO",0))))),"")</f>
        <v>#REF!</v>
      </c>
      <c r="H1514" s="138" t="str">
        <f t="shared" si="94"/>
        <v/>
      </c>
      <c r="I1514" s="136" t="str">
        <f t="shared" si="95"/>
        <v/>
      </c>
    </row>
    <row r="1515" spans="1:9" hidden="1" x14ac:dyDescent="0.25">
      <c r="A1515" s="114" t="s">
        <v>5234</v>
      </c>
      <c r="B1515" s="115" t="s">
        <v>4041</v>
      </c>
      <c r="C1515" s="116" t="s">
        <v>20</v>
      </c>
      <c r="D1515" s="116">
        <v>0</v>
      </c>
      <c r="E1515" s="135" t="s">
        <v>558</v>
      </c>
      <c r="F1515" s="136" t="str">
        <f t="shared" si="93"/>
        <v/>
      </c>
      <c r="G1515" s="137" t="e">
        <f>IF(A1515&lt;&gt;"",IF(AND(#REF!="Padrão",$H$4=#REF!),BDI!$B$17,IF(AND(#REF!="Padrão",$H$4=#REF!),BDI!#REF!,IF(AND(#REF!="Diferenciado",$H$4=#REF!),BDI!$E$17,IF(AND(#REF!="Diferenciado",$H$4=#REF!),BDI!#REF!,IF(#REF!="ZERO",0))))),"")</f>
        <v>#REF!</v>
      </c>
      <c r="H1515" s="138" t="str">
        <f t="shared" si="94"/>
        <v/>
      </c>
      <c r="I1515" s="136" t="str">
        <f t="shared" si="95"/>
        <v/>
      </c>
    </row>
    <row r="1516" spans="1:9" hidden="1" x14ac:dyDescent="0.25">
      <c r="A1516" s="114" t="s">
        <v>5235</v>
      </c>
      <c r="B1516" s="115" t="s">
        <v>4042</v>
      </c>
      <c r="C1516" s="116" t="s">
        <v>20</v>
      </c>
      <c r="D1516" s="116">
        <v>0</v>
      </c>
      <c r="E1516" s="135" t="s">
        <v>558</v>
      </c>
      <c r="F1516" s="136" t="str">
        <f t="shared" si="93"/>
        <v/>
      </c>
      <c r="G1516" s="137" t="e">
        <f>IF(A1516&lt;&gt;"",IF(AND(#REF!="Padrão",$H$4=#REF!),BDI!$B$17,IF(AND(#REF!="Padrão",$H$4=#REF!),BDI!#REF!,IF(AND(#REF!="Diferenciado",$H$4=#REF!),BDI!$E$17,IF(AND(#REF!="Diferenciado",$H$4=#REF!),BDI!#REF!,IF(#REF!="ZERO",0))))),"")</f>
        <v>#REF!</v>
      </c>
      <c r="H1516" s="138" t="str">
        <f t="shared" si="94"/>
        <v/>
      </c>
      <c r="I1516" s="136" t="str">
        <f t="shared" si="95"/>
        <v/>
      </c>
    </row>
    <row r="1517" spans="1:9" hidden="1" x14ac:dyDescent="0.25">
      <c r="A1517" s="114" t="s">
        <v>5236</v>
      </c>
      <c r="B1517" s="115" t="s">
        <v>4043</v>
      </c>
      <c r="C1517" s="116" t="s">
        <v>93</v>
      </c>
      <c r="D1517" s="116">
        <v>0</v>
      </c>
      <c r="E1517" s="135" t="s">
        <v>558</v>
      </c>
      <c r="F1517" s="136" t="str">
        <f t="shared" ref="F1517:F1580" si="96">IF(ISNUMBER(E1517),D1517*E1517,"")</f>
        <v/>
      </c>
      <c r="G1517" s="137" t="e">
        <f>IF(A1517&lt;&gt;"",IF(AND(#REF!="Padrão",$H$4=#REF!),BDI!$B$17,IF(AND(#REF!="Padrão",$H$4=#REF!),BDI!#REF!,IF(AND(#REF!="Diferenciado",$H$4=#REF!),BDI!$E$17,IF(AND(#REF!="Diferenciado",$H$4=#REF!),BDI!#REF!,IF(#REF!="ZERO",0))))),"")</f>
        <v>#REF!</v>
      </c>
      <c r="H1517" s="138" t="str">
        <f t="shared" ref="H1517:H1580" si="97">IF(ISNUMBER(E1517),ROUND(E1517*(1+G1517),2),"")</f>
        <v/>
      </c>
      <c r="I1517" s="136" t="str">
        <f t="shared" ref="I1517:I1580" si="98">IF(ISNUMBER(E1517),ROUND(H1517*D1517,2),"")</f>
        <v/>
      </c>
    </row>
    <row r="1518" spans="1:9" hidden="1" x14ac:dyDescent="0.25">
      <c r="A1518" s="114" t="s">
        <v>5237</v>
      </c>
      <c r="B1518" s="115" t="s">
        <v>4044</v>
      </c>
      <c r="C1518" s="116" t="s">
        <v>20</v>
      </c>
      <c r="D1518" s="116">
        <v>0</v>
      </c>
      <c r="E1518" s="135" t="s">
        <v>558</v>
      </c>
      <c r="F1518" s="136" t="str">
        <f t="shared" si="96"/>
        <v/>
      </c>
      <c r="G1518" s="137" t="e">
        <f>IF(A1518&lt;&gt;"",IF(AND(#REF!="Padrão",$H$4=#REF!),BDI!$B$17,IF(AND(#REF!="Padrão",$H$4=#REF!),BDI!#REF!,IF(AND(#REF!="Diferenciado",$H$4=#REF!),BDI!$E$17,IF(AND(#REF!="Diferenciado",$H$4=#REF!),BDI!#REF!,IF(#REF!="ZERO",0))))),"")</f>
        <v>#REF!</v>
      </c>
      <c r="H1518" s="138" t="str">
        <f t="shared" si="97"/>
        <v/>
      </c>
      <c r="I1518" s="136" t="str">
        <f t="shared" si="98"/>
        <v/>
      </c>
    </row>
    <row r="1519" spans="1:9" hidden="1" x14ac:dyDescent="0.25">
      <c r="A1519" s="114" t="s">
        <v>5238</v>
      </c>
      <c r="B1519" s="115" t="s">
        <v>4045</v>
      </c>
      <c r="C1519" s="116" t="s">
        <v>20</v>
      </c>
      <c r="D1519" s="116">
        <v>0</v>
      </c>
      <c r="E1519" s="135" t="s">
        <v>558</v>
      </c>
      <c r="F1519" s="136" t="str">
        <f t="shared" si="96"/>
        <v/>
      </c>
      <c r="G1519" s="137" t="e">
        <f>IF(A1519&lt;&gt;"",IF(AND(#REF!="Padrão",$H$4=#REF!),BDI!$B$17,IF(AND(#REF!="Padrão",$H$4=#REF!),BDI!#REF!,IF(AND(#REF!="Diferenciado",$H$4=#REF!),BDI!$E$17,IF(AND(#REF!="Diferenciado",$H$4=#REF!),BDI!#REF!,IF(#REF!="ZERO",0))))),"")</f>
        <v>#REF!</v>
      </c>
      <c r="H1519" s="138" t="str">
        <f t="shared" si="97"/>
        <v/>
      </c>
      <c r="I1519" s="136" t="str">
        <f t="shared" si="98"/>
        <v/>
      </c>
    </row>
    <row r="1520" spans="1:9" hidden="1" x14ac:dyDescent="0.25">
      <c r="A1520" s="114" t="s">
        <v>5239</v>
      </c>
      <c r="B1520" s="115" t="s">
        <v>4046</v>
      </c>
      <c r="C1520" s="116" t="s">
        <v>20</v>
      </c>
      <c r="D1520" s="116">
        <v>0</v>
      </c>
      <c r="E1520" s="135" t="s">
        <v>558</v>
      </c>
      <c r="F1520" s="136" t="str">
        <f t="shared" si="96"/>
        <v/>
      </c>
      <c r="G1520" s="137" t="e">
        <f>IF(A1520&lt;&gt;"",IF(AND(#REF!="Padrão",$H$4=#REF!),BDI!$B$17,IF(AND(#REF!="Padrão",$H$4=#REF!),BDI!#REF!,IF(AND(#REF!="Diferenciado",$H$4=#REF!),BDI!$E$17,IF(AND(#REF!="Diferenciado",$H$4=#REF!),BDI!#REF!,IF(#REF!="ZERO",0))))),"")</f>
        <v>#REF!</v>
      </c>
      <c r="H1520" s="138" t="str">
        <f t="shared" si="97"/>
        <v/>
      </c>
      <c r="I1520" s="136" t="str">
        <f t="shared" si="98"/>
        <v/>
      </c>
    </row>
    <row r="1521" spans="1:9" hidden="1" x14ac:dyDescent="0.25">
      <c r="A1521" s="114" t="s">
        <v>5240</v>
      </c>
      <c r="B1521" s="115" t="s">
        <v>4047</v>
      </c>
      <c r="C1521" s="116" t="s">
        <v>20</v>
      </c>
      <c r="D1521" s="116">
        <v>0</v>
      </c>
      <c r="E1521" s="135" t="s">
        <v>558</v>
      </c>
      <c r="F1521" s="136" t="str">
        <f t="shared" si="96"/>
        <v/>
      </c>
      <c r="G1521" s="137" t="e">
        <f>IF(A1521&lt;&gt;"",IF(AND(#REF!="Padrão",$H$4=#REF!),BDI!$B$17,IF(AND(#REF!="Padrão",$H$4=#REF!),BDI!#REF!,IF(AND(#REF!="Diferenciado",$H$4=#REF!),BDI!$E$17,IF(AND(#REF!="Diferenciado",$H$4=#REF!),BDI!#REF!,IF(#REF!="ZERO",0))))),"")</f>
        <v>#REF!</v>
      </c>
      <c r="H1521" s="138" t="str">
        <f t="shared" si="97"/>
        <v/>
      </c>
      <c r="I1521" s="136" t="str">
        <f t="shared" si="98"/>
        <v/>
      </c>
    </row>
    <row r="1522" spans="1:9" hidden="1" x14ac:dyDescent="0.25">
      <c r="A1522" s="114" t="s">
        <v>5241</v>
      </c>
      <c r="B1522" s="115" t="s">
        <v>4048</v>
      </c>
      <c r="C1522" s="116" t="s">
        <v>20</v>
      </c>
      <c r="D1522" s="116">
        <v>0</v>
      </c>
      <c r="E1522" s="135" t="s">
        <v>558</v>
      </c>
      <c r="F1522" s="136" t="str">
        <f t="shared" si="96"/>
        <v/>
      </c>
      <c r="G1522" s="137" t="e">
        <f>IF(A1522&lt;&gt;"",IF(AND(#REF!="Padrão",$H$4=#REF!),BDI!$B$17,IF(AND(#REF!="Padrão",$H$4=#REF!),BDI!#REF!,IF(AND(#REF!="Diferenciado",$H$4=#REF!),BDI!$E$17,IF(AND(#REF!="Diferenciado",$H$4=#REF!),BDI!#REF!,IF(#REF!="ZERO",0))))),"")</f>
        <v>#REF!</v>
      </c>
      <c r="H1522" s="138" t="str">
        <f t="shared" si="97"/>
        <v/>
      </c>
      <c r="I1522" s="136" t="str">
        <f t="shared" si="98"/>
        <v/>
      </c>
    </row>
    <row r="1523" spans="1:9" hidden="1" x14ac:dyDescent="0.25">
      <c r="A1523" s="114" t="s">
        <v>5242</v>
      </c>
      <c r="B1523" s="115" t="s">
        <v>4049</v>
      </c>
      <c r="C1523" s="116" t="s">
        <v>20</v>
      </c>
      <c r="D1523" s="116">
        <v>0</v>
      </c>
      <c r="E1523" s="135" t="s">
        <v>558</v>
      </c>
      <c r="F1523" s="136" t="str">
        <f t="shared" si="96"/>
        <v/>
      </c>
      <c r="G1523" s="137" t="e">
        <f>IF(A1523&lt;&gt;"",IF(AND(#REF!="Padrão",$H$4=#REF!),BDI!$B$17,IF(AND(#REF!="Padrão",$H$4=#REF!),BDI!#REF!,IF(AND(#REF!="Diferenciado",$H$4=#REF!),BDI!$E$17,IF(AND(#REF!="Diferenciado",$H$4=#REF!),BDI!#REF!,IF(#REF!="ZERO",0))))),"")</f>
        <v>#REF!</v>
      </c>
      <c r="H1523" s="138" t="str">
        <f t="shared" si="97"/>
        <v/>
      </c>
      <c r="I1523" s="136" t="str">
        <f t="shared" si="98"/>
        <v/>
      </c>
    </row>
    <row r="1524" spans="1:9" hidden="1" x14ac:dyDescent="0.25">
      <c r="A1524" s="114" t="s">
        <v>5243</v>
      </c>
      <c r="B1524" s="115" t="s">
        <v>4050</v>
      </c>
      <c r="C1524" s="116" t="s">
        <v>20</v>
      </c>
      <c r="D1524" s="116">
        <v>0</v>
      </c>
      <c r="E1524" s="135" t="s">
        <v>558</v>
      </c>
      <c r="F1524" s="136" t="str">
        <f t="shared" si="96"/>
        <v/>
      </c>
      <c r="G1524" s="137" t="e">
        <f>IF(A1524&lt;&gt;"",IF(AND(#REF!="Padrão",$H$4=#REF!),BDI!$B$17,IF(AND(#REF!="Padrão",$H$4=#REF!),BDI!#REF!,IF(AND(#REF!="Diferenciado",$H$4=#REF!),BDI!$E$17,IF(AND(#REF!="Diferenciado",$H$4=#REF!),BDI!#REF!,IF(#REF!="ZERO",0))))),"")</f>
        <v>#REF!</v>
      </c>
      <c r="H1524" s="138" t="str">
        <f t="shared" si="97"/>
        <v/>
      </c>
      <c r="I1524" s="136" t="str">
        <f t="shared" si="98"/>
        <v/>
      </c>
    </row>
    <row r="1525" spans="1:9" hidden="1" x14ac:dyDescent="0.25">
      <c r="A1525" s="114" t="s">
        <v>5244</v>
      </c>
      <c r="B1525" s="115" t="s">
        <v>4051</v>
      </c>
      <c r="C1525" s="116" t="s">
        <v>20</v>
      </c>
      <c r="D1525" s="116">
        <v>0</v>
      </c>
      <c r="E1525" s="135" t="s">
        <v>558</v>
      </c>
      <c r="F1525" s="136" t="str">
        <f t="shared" si="96"/>
        <v/>
      </c>
      <c r="G1525" s="137" t="e">
        <f>IF(A1525&lt;&gt;"",IF(AND(#REF!="Padrão",$H$4=#REF!),BDI!$B$17,IF(AND(#REF!="Padrão",$H$4=#REF!),BDI!#REF!,IF(AND(#REF!="Diferenciado",$H$4=#REF!),BDI!$E$17,IF(AND(#REF!="Diferenciado",$H$4=#REF!),BDI!#REF!,IF(#REF!="ZERO",0))))),"")</f>
        <v>#REF!</v>
      </c>
      <c r="H1525" s="138" t="str">
        <f t="shared" si="97"/>
        <v/>
      </c>
      <c r="I1525" s="136" t="str">
        <f t="shared" si="98"/>
        <v/>
      </c>
    </row>
    <row r="1526" spans="1:9" hidden="1" x14ac:dyDescent="0.25">
      <c r="A1526" s="114" t="s">
        <v>5245</v>
      </c>
      <c r="B1526" s="115" t="s">
        <v>4052</v>
      </c>
      <c r="C1526" s="116" t="s">
        <v>20</v>
      </c>
      <c r="D1526" s="116">
        <v>0</v>
      </c>
      <c r="E1526" s="135" t="s">
        <v>558</v>
      </c>
      <c r="F1526" s="136" t="str">
        <f t="shared" si="96"/>
        <v/>
      </c>
      <c r="G1526" s="137" t="e">
        <f>IF(A1526&lt;&gt;"",IF(AND(#REF!="Padrão",$H$4=#REF!),BDI!$B$17,IF(AND(#REF!="Padrão",$H$4=#REF!),BDI!#REF!,IF(AND(#REF!="Diferenciado",$H$4=#REF!),BDI!$E$17,IF(AND(#REF!="Diferenciado",$H$4=#REF!),BDI!#REF!,IF(#REF!="ZERO",0))))),"")</f>
        <v>#REF!</v>
      </c>
      <c r="H1526" s="138" t="str">
        <f t="shared" si="97"/>
        <v/>
      </c>
      <c r="I1526" s="136" t="str">
        <f t="shared" si="98"/>
        <v/>
      </c>
    </row>
    <row r="1527" spans="1:9" hidden="1" x14ac:dyDescent="0.25">
      <c r="A1527" s="114" t="s">
        <v>5246</v>
      </c>
      <c r="B1527" s="115" t="s">
        <v>4053</v>
      </c>
      <c r="C1527" s="116" t="s">
        <v>20</v>
      </c>
      <c r="D1527" s="116">
        <v>0</v>
      </c>
      <c r="E1527" s="135" t="s">
        <v>558</v>
      </c>
      <c r="F1527" s="136" t="str">
        <f t="shared" si="96"/>
        <v/>
      </c>
      <c r="G1527" s="137" t="e">
        <f>IF(A1527&lt;&gt;"",IF(AND(#REF!="Padrão",$H$4=#REF!),BDI!$B$17,IF(AND(#REF!="Padrão",$H$4=#REF!),BDI!#REF!,IF(AND(#REF!="Diferenciado",$H$4=#REF!),BDI!$E$17,IF(AND(#REF!="Diferenciado",$H$4=#REF!),BDI!#REF!,IF(#REF!="ZERO",0))))),"")</f>
        <v>#REF!</v>
      </c>
      <c r="H1527" s="138" t="str">
        <f t="shared" si="97"/>
        <v/>
      </c>
      <c r="I1527" s="136" t="str">
        <f t="shared" si="98"/>
        <v/>
      </c>
    </row>
    <row r="1528" spans="1:9" hidden="1" x14ac:dyDescent="0.25">
      <c r="A1528" s="114" t="s">
        <v>5247</v>
      </c>
      <c r="B1528" s="115" t="s">
        <v>4054</v>
      </c>
      <c r="C1528" s="116" t="s">
        <v>20</v>
      </c>
      <c r="D1528" s="116">
        <v>0</v>
      </c>
      <c r="E1528" s="135" t="s">
        <v>558</v>
      </c>
      <c r="F1528" s="136" t="str">
        <f t="shared" si="96"/>
        <v/>
      </c>
      <c r="G1528" s="137" t="e">
        <f>IF(A1528&lt;&gt;"",IF(AND(#REF!="Padrão",$H$4=#REF!),BDI!$B$17,IF(AND(#REF!="Padrão",$H$4=#REF!),BDI!#REF!,IF(AND(#REF!="Diferenciado",$H$4=#REF!),BDI!$E$17,IF(AND(#REF!="Diferenciado",$H$4=#REF!),BDI!#REF!,IF(#REF!="ZERO",0))))),"")</f>
        <v>#REF!</v>
      </c>
      <c r="H1528" s="138" t="str">
        <f t="shared" si="97"/>
        <v/>
      </c>
      <c r="I1528" s="136" t="str">
        <f t="shared" si="98"/>
        <v/>
      </c>
    </row>
    <row r="1529" spans="1:9" hidden="1" x14ac:dyDescent="0.25">
      <c r="A1529" s="114" t="s">
        <v>5248</v>
      </c>
      <c r="B1529" s="115" t="s">
        <v>4055</v>
      </c>
      <c r="C1529" s="116" t="s">
        <v>20</v>
      </c>
      <c r="D1529" s="116">
        <v>0</v>
      </c>
      <c r="E1529" s="135" t="s">
        <v>558</v>
      </c>
      <c r="F1529" s="136" t="str">
        <f t="shared" si="96"/>
        <v/>
      </c>
      <c r="G1529" s="137" t="e">
        <f>IF(A1529&lt;&gt;"",IF(AND(#REF!="Padrão",$H$4=#REF!),BDI!$B$17,IF(AND(#REF!="Padrão",$H$4=#REF!),BDI!#REF!,IF(AND(#REF!="Diferenciado",$H$4=#REF!),BDI!$E$17,IF(AND(#REF!="Diferenciado",$H$4=#REF!),BDI!#REF!,IF(#REF!="ZERO",0))))),"")</f>
        <v>#REF!</v>
      </c>
      <c r="H1529" s="138" t="str">
        <f t="shared" si="97"/>
        <v/>
      </c>
      <c r="I1529" s="136" t="str">
        <f t="shared" si="98"/>
        <v/>
      </c>
    </row>
    <row r="1530" spans="1:9" hidden="1" x14ac:dyDescent="0.25">
      <c r="A1530" s="114" t="s">
        <v>5249</v>
      </c>
      <c r="B1530" s="115" t="s">
        <v>4056</v>
      </c>
      <c r="C1530" s="116" t="s">
        <v>20</v>
      </c>
      <c r="D1530" s="116">
        <v>0</v>
      </c>
      <c r="E1530" s="135" t="s">
        <v>558</v>
      </c>
      <c r="F1530" s="136" t="str">
        <f t="shared" si="96"/>
        <v/>
      </c>
      <c r="G1530" s="137" t="e">
        <f>IF(A1530&lt;&gt;"",IF(AND(#REF!="Padrão",$H$4=#REF!),BDI!$B$17,IF(AND(#REF!="Padrão",$H$4=#REF!),BDI!#REF!,IF(AND(#REF!="Diferenciado",$H$4=#REF!),BDI!$E$17,IF(AND(#REF!="Diferenciado",$H$4=#REF!),BDI!#REF!,IF(#REF!="ZERO",0))))),"")</f>
        <v>#REF!</v>
      </c>
      <c r="H1530" s="138" t="str">
        <f t="shared" si="97"/>
        <v/>
      </c>
      <c r="I1530" s="136" t="str">
        <f t="shared" si="98"/>
        <v/>
      </c>
    </row>
    <row r="1531" spans="1:9" hidden="1" x14ac:dyDescent="0.25">
      <c r="A1531" s="114" t="s">
        <v>5250</v>
      </c>
      <c r="B1531" s="115" t="s">
        <v>4057</v>
      </c>
      <c r="C1531" s="116" t="s">
        <v>20</v>
      </c>
      <c r="D1531" s="116">
        <v>0</v>
      </c>
      <c r="E1531" s="135" t="s">
        <v>558</v>
      </c>
      <c r="F1531" s="136" t="str">
        <f t="shared" si="96"/>
        <v/>
      </c>
      <c r="G1531" s="137" t="e">
        <f>IF(A1531&lt;&gt;"",IF(AND(#REF!="Padrão",$H$4=#REF!),BDI!$B$17,IF(AND(#REF!="Padrão",$H$4=#REF!),BDI!#REF!,IF(AND(#REF!="Diferenciado",$H$4=#REF!),BDI!$E$17,IF(AND(#REF!="Diferenciado",$H$4=#REF!),BDI!#REF!,IF(#REF!="ZERO",0))))),"")</f>
        <v>#REF!</v>
      </c>
      <c r="H1531" s="138" t="str">
        <f t="shared" si="97"/>
        <v/>
      </c>
      <c r="I1531" s="136" t="str">
        <f t="shared" si="98"/>
        <v/>
      </c>
    </row>
    <row r="1532" spans="1:9" hidden="1" x14ac:dyDescent="0.25">
      <c r="A1532" s="114" t="s">
        <v>5251</v>
      </c>
      <c r="B1532" s="115" t="s">
        <v>4058</v>
      </c>
      <c r="C1532" s="116" t="s">
        <v>20</v>
      </c>
      <c r="D1532" s="116">
        <v>0</v>
      </c>
      <c r="E1532" s="135" t="s">
        <v>558</v>
      </c>
      <c r="F1532" s="136" t="str">
        <f t="shared" si="96"/>
        <v/>
      </c>
      <c r="G1532" s="137" t="e">
        <f>IF(A1532&lt;&gt;"",IF(AND(#REF!="Padrão",$H$4=#REF!),BDI!$B$17,IF(AND(#REF!="Padrão",$H$4=#REF!),BDI!#REF!,IF(AND(#REF!="Diferenciado",$H$4=#REF!),BDI!$E$17,IF(AND(#REF!="Diferenciado",$H$4=#REF!),BDI!#REF!,IF(#REF!="ZERO",0))))),"")</f>
        <v>#REF!</v>
      </c>
      <c r="H1532" s="138" t="str">
        <f t="shared" si="97"/>
        <v/>
      </c>
      <c r="I1532" s="136" t="str">
        <f t="shared" si="98"/>
        <v/>
      </c>
    </row>
    <row r="1533" spans="1:9" hidden="1" x14ac:dyDescent="0.25">
      <c r="A1533" s="114" t="s">
        <v>5252</v>
      </c>
      <c r="B1533" s="115" t="s">
        <v>4059</v>
      </c>
      <c r="C1533" s="116" t="s">
        <v>20</v>
      </c>
      <c r="D1533" s="116">
        <v>0</v>
      </c>
      <c r="E1533" s="135" t="s">
        <v>558</v>
      </c>
      <c r="F1533" s="136" t="str">
        <f t="shared" si="96"/>
        <v/>
      </c>
      <c r="G1533" s="137" t="e">
        <f>IF(A1533&lt;&gt;"",IF(AND(#REF!="Padrão",$H$4=#REF!),BDI!$B$17,IF(AND(#REF!="Padrão",$H$4=#REF!),BDI!#REF!,IF(AND(#REF!="Diferenciado",$H$4=#REF!),BDI!$E$17,IF(AND(#REF!="Diferenciado",$H$4=#REF!),BDI!#REF!,IF(#REF!="ZERO",0))))),"")</f>
        <v>#REF!</v>
      </c>
      <c r="H1533" s="138" t="str">
        <f t="shared" si="97"/>
        <v/>
      </c>
      <c r="I1533" s="136" t="str">
        <f t="shared" si="98"/>
        <v/>
      </c>
    </row>
    <row r="1534" spans="1:9" hidden="1" x14ac:dyDescent="0.25">
      <c r="A1534" s="114" t="s">
        <v>5253</v>
      </c>
      <c r="B1534" s="115" t="s">
        <v>4060</v>
      </c>
      <c r="C1534" s="116" t="s">
        <v>20</v>
      </c>
      <c r="D1534" s="116">
        <v>0</v>
      </c>
      <c r="E1534" s="135" t="s">
        <v>558</v>
      </c>
      <c r="F1534" s="136" t="str">
        <f t="shared" si="96"/>
        <v/>
      </c>
      <c r="G1534" s="137" t="e">
        <f>IF(A1534&lt;&gt;"",IF(AND(#REF!="Padrão",$H$4=#REF!),BDI!$B$17,IF(AND(#REF!="Padrão",$H$4=#REF!),BDI!#REF!,IF(AND(#REF!="Diferenciado",$H$4=#REF!),BDI!$E$17,IF(AND(#REF!="Diferenciado",$H$4=#REF!),BDI!#REF!,IF(#REF!="ZERO",0))))),"")</f>
        <v>#REF!</v>
      </c>
      <c r="H1534" s="138" t="str">
        <f t="shared" si="97"/>
        <v/>
      </c>
      <c r="I1534" s="136" t="str">
        <f t="shared" si="98"/>
        <v/>
      </c>
    </row>
    <row r="1535" spans="1:9" hidden="1" x14ac:dyDescent="0.25">
      <c r="A1535" s="114" t="s">
        <v>5254</v>
      </c>
      <c r="B1535" s="115" t="s">
        <v>4061</v>
      </c>
      <c r="C1535" s="116" t="s">
        <v>20</v>
      </c>
      <c r="D1535" s="116">
        <v>0</v>
      </c>
      <c r="E1535" s="135" t="s">
        <v>558</v>
      </c>
      <c r="F1535" s="136" t="str">
        <f t="shared" si="96"/>
        <v/>
      </c>
      <c r="G1535" s="137" t="e">
        <f>IF(A1535&lt;&gt;"",IF(AND(#REF!="Padrão",$H$4=#REF!),BDI!$B$17,IF(AND(#REF!="Padrão",$H$4=#REF!),BDI!#REF!,IF(AND(#REF!="Diferenciado",$H$4=#REF!),BDI!$E$17,IF(AND(#REF!="Diferenciado",$H$4=#REF!),BDI!#REF!,IF(#REF!="ZERO",0))))),"")</f>
        <v>#REF!</v>
      </c>
      <c r="H1535" s="138" t="str">
        <f t="shared" si="97"/>
        <v/>
      </c>
      <c r="I1535" s="136" t="str">
        <f t="shared" si="98"/>
        <v/>
      </c>
    </row>
    <row r="1536" spans="1:9" hidden="1" x14ac:dyDescent="0.25">
      <c r="A1536" s="114" t="s">
        <v>5255</v>
      </c>
      <c r="B1536" s="115" t="s">
        <v>4062</v>
      </c>
      <c r="C1536" s="116" t="s">
        <v>20</v>
      </c>
      <c r="D1536" s="116">
        <v>0</v>
      </c>
      <c r="E1536" s="135" t="s">
        <v>558</v>
      </c>
      <c r="F1536" s="136" t="str">
        <f t="shared" si="96"/>
        <v/>
      </c>
      <c r="G1536" s="137" t="e">
        <f>IF(A1536&lt;&gt;"",IF(AND(#REF!="Padrão",$H$4=#REF!),BDI!$B$17,IF(AND(#REF!="Padrão",$H$4=#REF!),BDI!#REF!,IF(AND(#REF!="Diferenciado",$H$4=#REF!),BDI!$E$17,IF(AND(#REF!="Diferenciado",$H$4=#REF!),BDI!#REF!,IF(#REF!="ZERO",0))))),"")</f>
        <v>#REF!</v>
      </c>
      <c r="H1536" s="138" t="str">
        <f t="shared" si="97"/>
        <v/>
      </c>
      <c r="I1536" s="136" t="str">
        <f t="shared" si="98"/>
        <v/>
      </c>
    </row>
    <row r="1537" spans="1:9" hidden="1" x14ac:dyDescent="0.25">
      <c r="A1537" s="114" t="s">
        <v>5256</v>
      </c>
      <c r="B1537" s="115" t="s">
        <v>4063</v>
      </c>
      <c r="C1537" s="116" t="s">
        <v>20</v>
      </c>
      <c r="D1537" s="116">
        <v>0</v>
      </c>
      <c r="E1537" s="135" t="s">
        <v>558</v>
      </c>
      <c r="F1537" s="136" t="str">
        <f t="shared" si="96"/>
        <v/>
      </c>
      <c r="G1537" s="137" t="e">
        <f>IF(A1537&lt;&gt;"",IF(AND(#REF!="Padrão",$H$4=#REF!),BDI!$B$17,IF(AND(#REF!="Padrão",$H$4=#REF!),BDI!#REF!,IF(AND(#REF!="Diferenciado",$H$4=#REF!),BDI!$E$17,IF(AND(#REF!="Diferenciado",$H$4=#REF!),BDI!#REF!,IF(#REF!="ZERO",0))))),"")</f>
        <v>#REF!</v>
      </c>
      <c r="H1537" s="138" t="str">
        <f t="shared" si="97"/>
        <v/>
      </c>
      <c r="I1537" s="136" t="str">
        <f t="shared" si="98"/>
        <v/>
      </c>
    </row>
    <row r="1538" spans="1:9" hidden="1" x14ac:dyDescent="0.25">
      <c r="A1538" s="114" t="s">
        <v>5257</v>
      </c>
      <c r="B1538" s="115" t="s">
        <v>4064</v>
      </c>
      <c r="C1538" s="116" t="s">
        <v>20</v>
      </c>
      <c r="D1538" s="116">
        <v>0</v>
      </c>
      <c r="E1538" s="135" t="s">
        <v>558</v>
      </c>
      <c r="F1538" s="136" t="str">
        <f t="shared" si="96"/>
        <v/>
      </c>
      <c r="G1538" s="137" t="e">
        <f>IF(A1538&lt;&gt;"",IF(AND(#REF!="Padrão",$H$4=#REF!),BDI!$B$17,IF(AND(#REF!="Padrão",$H$4=#REF!),BDI!#REF!,IF(AND(#REF!="Diferenciado",$H$4=#REF!),BDI!$E$17,IF(AND(#REF!="Diferenciado",$H$4=#REF!),BDI!#REF!,IF(#REF!="ZERO",0))))),"")</f>
        <v>#REF!</v>
      </c>
      <c r="H1538" s="138" t="str">
        <f t="shared" si="97"/>
        <v/>
      </c>
      <c r="I1538" s="136" t="str">
        <f t="shared" si="98"/>
        <v/>
      </c>
    </row>
    <row r="1539" spans="1:9" hidden="1" x14ac:dyDescent="0.25">
      <c r="A1539" s="114" t="s">
        <v>5258</v>
      </c>
      <c r="B1539" s="115" t="s">
        <v>4065</v>
      </c>
      <c r="C1539" s="116" t="s">
        <v>20</v>
      </c>
      <c r="D1539" s="116">
        <v>0</v>
      </c>
      <c r="E1539" s="135" t="s">
        <v>558</v>
      </c>
      <c r="F1539" s="136" t="str">
        <f t="shared" si="96"/>
        <v/>
      </c>
      <c r="G1539" s="137" t="e">
        <f>IF(A1539&lt;&gt;"",IF(AND(#REF!="Padrão",$H$4=#REF!),BDI!$B$17,IF(AND(#REF!="Padrão",$H$4=#REF!),BDI!#REF!,IF(AND(#REF!="Diferenciado",$H$4=#REF!),BDI!$E$17,IF(AND(#REF!="Diferenciado",$H$4=#REF!),BDI!#REF!,IF(#REF!="ZERO",0))))),"")</f>
        <v>#REF!</v>
      </c>
      <c r="H1539" s="138" t="str">
        <f t="shared" si="97"/>
        <v/>
      </c>
      <c r="I1539" s="136" t="str">
        <f t="shared" si="98"/>
        <v/>
      </c>
    </row>
    <row r="1540" spans="1:9" hidden="1" x14ac:dyDescent="0.25">
      <c r="A1540" s="114" t="s">
        <v>5259</v>
      </c>
      <c r="B1540" s="115" t="s">
        <v>4066</v>
      </c>
      <c r="C1540" s="116" t="s">
        <v>20</v>
      </c>
      <c r="D1540" s="116">
        <v>0</v>
      </c>
      <c r="E1540" s="135" t="s">
        <v>558</v>
      </c>
      <c r="F1540" s="136" t="str">
        <f t="shared" si="96"/>
        <v/>
      </c>
      <c r="G1540" s="137" t="e">
        <f>IF(A1540&lt;&gt;"",IF(AND(#REF!="Padrão",$H$4=#REF!),BDI!$B$17,IF(AND(#REF!="Padrão",$H$4=#REF!),BDI!#REF!,IF(AND(#REF!="Diferenciado",$H$4=#REF!),BDI!$E$17,IF(AND(#REF!="Diferenciado",$H$4=#REF!),BDI!#REF!,IF(#REF!="ZERO",0))))),"")</f>
        <v>#REF!</v>
      </c>
      <c r="H1540" s="138" t="str">
        <f t="shared" si="97"/>
        <v/>
      </c>
      <c r="I1540" s="136" t="str">
        <f t="shared" si="98"/>
        <v/>
      </c>
    </row>
    <row r="1541" spans="1:9" hidden="1" x14ac:dyDescent="0.25">
      <c r="A1541" s="114" t="s">
        <v>5260</v>
      </c>
      <c r="B1541" s="115" t="s">
        <v>4067</v>
      </c>
      <c r="C1541" s="116" t="s">
        <v>20</v>
      </c>
      <c r="D1541" s="116">
        <v>0</v>
      </c>
      <c r="E1541" s="135" t="s">
        <v>558</v>
      </c>
      <c r="F1541" s="136" t="str">
        <f t="shared" si="96"/>
        <v/>
      </c>
      <c r="G1541" s="137" t="e">
        <f>IF(A1541&lt;&gt;"",IF(AND(#REF!="Padrão",$H$4=#REF!),BDI!$B$17,IF(AND(#REF!="Padrão",$H$4=#REF!),BDI!#REF!,IF(AND(#REF!="Diferenciado",$H$4=#REF!),BDI!$E$17,IF(AND(#REF!="Diferenciado",$H$4=#REF!),BDI!#REF!,IF(#REF!="ZERO",0))))),"")</f>
        <v>#REF!</v>
      </c>
      <c r="H1541" s="138" t="str">
        <f t="shared" si="97"/>
        <v/>
      </c>
      <c r="I1541" s="136" t="str">
        <f t="shared" si="98"/>
        <v/>
      </c>
    </row>
    <row r="1542" spans="1:9" hidden="1" x14ac:dyDescent="0.25">
      <c r="A1542" s="114" t="s">
        <v>5261</v>
      </c>
      <c r="B1542" s="115" t="s">
        <v>6535</v>
      </c>
      <c r="C1542" s="116" t="s">
        <v>93</v>
      </c>
      <c r="D1542" s="116">
        <v>0</v>
      </c>
      <c r="E1542" s="135" t="s">
        <v>558</v>
      </c>
      <c r="F1542" s="136" t="str">
        <f t="shared" si="96"/>
        <v/>
      </c>
      <c r="G1542" s="137" t="e">
        <f>IF(A1542&lt;&gt;"",IF(AND(#REF!="Padrão",$H$4=#REF!),BDI!$B$17,IF(AND(#REF!="Padrão",$H$4=#REF!),BDI!#REF!,IF(AND(#REF!="Diferenciado",$H$4=#REF!),BDI!$E$17,IF(AND(#REF!="Diferenciado",$H$4=#REF!),BDI!#REF!,IF(#REF!="ZERO",0))))),"")</f>
        <v>#REF!</v>
      </c>
      <c r="H1542" s="138" t="str">
        <f t="shared" si="97"/>
        <v/>
      </c>
      <c r="I1542" s="136" t="str">
        <f t="shared" si="98"/>
        <v/>
      </c>
    </row>
    <row r="1543" spans="1:9" hidden="1" x14ac:dyDescent="0.25">
      <c r="A1543" s="114" t="s">
        <v>5262</v>
      </c>
      <c r="B1543" s="115" t="s">
        <v>4068</v>
      </c>
      <c r="C1543" s="116" t="s">
        <v>20</v>
      </c>
      <c r="D1543" s="116">
        <v>0</v>
      </c>
      <c r="E1543" s="135" t="s">
        <v>558</v>
      </c>
      <c r="F1543" s="136" t="str">
        <f t="shared" si="96"/>
        <v/>
      </c>
      <c r="G1543" s="137" t="e">
        <f>IF(A1543&lt;&gt;"",IF(AND(#REF!="Padrão",$H$4=#REF!),BDI!$B$17,IF(AND(#REF!="Padrão",$H$4=#REF!),BDI!#REF!,IF(AND(#REF!="Diferenciado",$H$4=#REF!),BDI!$E$17,IF(AND(#REF!="Diferenciado",$H$4=#REF!),BDI!#REF!,IF(#REF!="ZERO",0))))),"")</f>
        <v>#REF!</v>
      </c>
      <c r="H1543" s="138" t="str">
        <f t="shared" si="97"/>
        <v/>
      </c>
      <c r="I1543" s="136" t="str">
        <f t="shared" si="98"/>
        <v/>
      </c>
    </row>
    <row r="1544" spans="1:9" hidden="1" x14ac:dyDescent="0.25">
      <c r="A1544" s="114" t="s">
        <v>5263</v>
      </c>
      <c r="B1544" s="115" t="s">
        <v>4069</v>
      </c>
      <c r="C1544" s="116" t="s">
        <v>20</v>
      </c>
      <c r="D1544" s="116">
        <v>0</v>
      </c>
      <c r="E1544" s="135" t="s">
        <v>558</v>
      </c>
      <c r="F1544" s="136" t="str">
        <f t="shared" si="96"/>
        <v/>
      </c>
      <c r="G1544" s="137" t="e">
        <f>IF(A1544&lt;&gt;"",IF(AND(#REF!="Padrão",$H$4=#REF!),BDI!$B$17,IF(AND(#REF!="Padrão",$H$4=#REF!),BDI!#REF!,IF(AND(#REF!="Diferenciado",$H$4=#REF!),BDI!$E$17,IF(AND(#REF!="Diferenciado",$H$4=#REF!),BDI!#REF!,IF(#REF!="ZERO",0))))),"")</f>
        <v>#REF!</v>
      </c>
      <c r="H1544" s="138" t="str">
        <f t="shared" si="97"/>
        <v/>
      </c>
      <c r="I1544" s="136" t="str">
        <f t="shared" si="98"/>
        <v/>
      </c>
    </row>
    <row r="1545" spans="1:9" hidden="1" x14ac:dyDescent="0.25">
      <c r="A1545" s="114" t="s">
        <v>5264</v>
      </c>
      <c r="B1545" s="115" t="s">
        <v>4070</v>
      </c>
      <c r="C1545" s="116" t="s">
        <v>20</v>
      </c>
      <c r="D1545" s="116">
        <v>0</v>
      </c>
      <c r="E1545" s="135">
        <f ca="1">OFFSET(INDEX(Composições!A:J,MATCH(Orçamentária!A1545,Composições!A:A,0),8),2,0)</f>
        <v>6.08</v>
      </c>
      <c r="F1545" s="136">
        <f t="shared" ca="1" si="96"/>
        <v>0</v>
      </c>
      <c r="G1545" s="137" t="e">
        <f>IF(A1545&lt;&gt;"",IF(AND(#REF!="Padrão",$H$4=#REF!),BDI!$B$17,IF(AND(#REF!="Padrão",$H$4=#REF!),BDI!#REF!,IF(AND(#REF!="Diferenciado",$H$4=#REF!),BDI!$E$17,IF(AND(#REF!="Diferenciado",$H$4=#REF!),BDI!#REF!,IF(#REF!="ZERO",0))))),"")</f>
        <v>#REF!</v>
      </c>
      <c r="H1545" s="138" t="e">
        <f t="shared" ca="1" si="97"/>
        <v>#REF!</v>
      </c>
      <c r="I1545" s="136" t="e">
        <f t="shared" ca="1" si="98"/>
        <v>#REF!</v>
      </c>
    </row>
    <row r="1546" spans="1:9" hidden="1" x14ac:dyDescent="0.25">
      <c r="A1546" s="114" t="s">
        <v>5265</v>
      </c>
      <c r="B1546" s="115" t="s">
        <v>4071</v>
      </c>
      <c r="C1546" s="116" t="s">
        <v>20</v>
      </c>
      <c r="D1546" s="116">
        <v>0</v>
      </c>
      <c r="E1546" s="135">
        <f ca="1">OFFSET(INDEX(Composições!A:J,MATCH(Orçamentária!A1546,Composições!A:A,0),8),2,0)</f>
        <v>10.2125</v>
      </c>
      <c r="F1546" s="136">
        <f t="shared" ca="1" si="96"/>
        <v>0</v>
      </c>
      <c r="G1546" s="137" t="e">
        <f>IF(A1546&lt;&gt;"",IF(AND(#REF!="Padrão",$H$4=#REF!),BDI!$B$17,IF(AND(#REF!="Padrão",$H$4=#REF!),BDI!#REF!,IF(AND(#REF!="Diferenciado",$H$4=#REF!),BDI!$E$17,IF(AND(#REF!="Diferenciado",$H$4=#REF!),BDI!#REF!,IF(#REF!="ZERO",0))))),"")</f>
        <v>#REF!</v>
      </c>
      <c r="H1546" s="138" t="e">
        <f t="shared" ca="1" si="97"/>
        <v>#REF!</v>
      </c>
      <c r="I1546" s="136" t="e">
        <f t="shared" ca="1" si="98"/>
        <v>#REF!</v>
      </c>
    </row>
    <row r="1547" spans="1:9" hidden="1" x14ac:dyDescent="0.25">
      <c r="A1547" s="114" t="s">
        <v>5266</v>
      </c>
      <c r="B1547" s="115" t="s">
        <v>4072</v>
      </c>
      <c r="C1547" s="116" t="s">
        <v>20</v>
      </c>
      <c r="D1547" s="116">
        <v>0</v>
      </c>
      <c r="E1547" s="135">
        <f ca="1">OFFSET(INDEX(Composições!A:J,MATCH(Orçamentária!A1547,Composições!A:A,0),8),2,0)</f>
        <v>12.520999999999999</v>
      </c>
      <c r="F1547" s="136">
        <f t="shared" ca="1" si="96"/>
        <v>0</v>
      </c>
      <c r="G1547" s="137" t="e">
        <f>IF(A1547&lt;&gt;"",IF(AND(#REF!="Padrão",$H$4=#REF!),BDI!$B$17,IF(AND(#REF!="Padrão",$H$4=#REF!),BDI!#REF!,IF(AND(#REF!="Diferenciado",$H$4=#REF!),BDI!$E$17,IF(AND(#REF!="Diferenciado",$H$4=#REF!),BDI!#REF!,IF(#REF!="ZERO",0))))),"")</f>
        <v>#REF!</v>
      </c>
      <c r="H1547" s="138" t="e">
        <f t="shared" ca="1" si="97"/>
        <v>#REF!</v>
      </c>
      <c r="I1547" s="136" t="e">
        <f t="shared" ca="1" si="98"/>
        <v>#REF!</v>
      </c>
    </row>
    <row r="1548" spans="1:9" hidden="1" x14ac:dyDescent="0.25">
      <c r="A1548" s="114" t="s">
        <v>5267</v>
      </c>
      <c r="B1548" s="115" t="s">
        <v>4073</v>
      </c>
      <c r="C1548" s="116" t="s">
        <v>20</v>
      </c>
      <c r="D1548" s="116">
        <v>0</v>
      </c>
      <c r="E1548" s="135">
        <f ca="1">OFFSET(INDEX(Composições!A:J,MATCH(Orçamentária!A1548,Composições!A:A,0),8),2,0)</f>
        <v>16.634499999999999</v>
      </c>
      <c r="F1548" s="136">
        <f t="shared" ca="1" si="96"/>
        <v>0</v>
      </c>
      <c r="G1548" s="137" t="e">
        <f>IF(A1548&lt;&gt;"",IF(AND(#REF!="Padrão",$H$4=#REF!),BDI!$B$17,IF(AND(#REF!="Padrão",$H$4=#REF!),BDI!#REF!,IF(AND(#REF!="Diferenciado",$H$4=#REF!),BDI!$E$17,IF(AND(#REF!="Diferenciado",$H$4=#REF!),BDI!#REF!,IF(#REF!="ZERO",0))))),"")</f>
        <v>#REF!</v>
      </c>
      <c r="H1548" s="138" t="e">
        <f t="shared" ca="1" si="97"/>
        <v>#REF!</v>
      </c>
      <c r="I1548" s="136" t="e">
        <f t="shared" ca="1" si="98"/>
        <v>#REF!</v>
      </c>
    </row>
    <row r="1549" spans="1:9" hidden="1" x14ac:dyDescent="0.25">
      <c r="A1549" s="114" t="s">
        <v>5268</v>
      </c>
      <c r="B1549" s="115" t="s">
        <v>6536</v>
      </c>
      <c r="C1549" s="116" t="s">
        <v>20</v>
      </c>
      <c r="D1549" s="116">
        <v>0</v>
      </c>
      <c r="E1549" s="135">
        <f ca="1">OFFSET(INDEX(Composições!A:J,MATCH(Orçamentária!A1549,Composições!A:A,0),8),2,0)</f>
        <v>24.4055</v>
      </c>
      <c r="F1549" s="136">
        <f t="shared" ca="1" si="96"/>
        <v>0</v>
      </c>
      <c r="G1549" s="137" t="e">
        <f>IF(A1549&lt;&gt;"",IF(AND(#REF!="Padrão",$H$4=#REF!),BDI!$B$17,IF(AND(#REF!="Padrão",$H$4=#REF!),BDI!#REF!,IF(AND(#REF!="Diferenciado",$H$4=#REF!),BDI!$E$17,IF(AND(#REF!="Diferenciado",$H$4=#REF!),BDI!#REF!,IF(#REF!="ZERO",0))))),"")</f>
        <v>#REF!</v>
      </c>
      <c r="H1549" s="138" t="e">
        <f t="shared" ca="1" si="97"/>
        <v>#REF!</v>
      </c>
      <c r="I1549" s="136" t="e">
        <f t="shared" ca="1" si="98"/>
        <v>#REF!</v>
      </c>
    </row>
    <row r="1550" spans="1:9" hidden="1" x14ac:dyDescent="0.25">
      <c r="A1550" s="114" t="s">
        <v>5269</v>
      </c>
      <c r="B1550" s="115" t="s">
        <v>4074</v>
      </c>
      <c r="C1550" s="116" t="s">
        <v>20</v>
      </c>
      <c r="D1550" s="116">
        <v>0</v>
      </c>
      <c r="E1550" s="135" t="s">
        <v>558</v>
      </c>
      <c r="F1550" s="136" t="str">
        <f t="shared" si="96"/>
        <v/>
      </c>
      <c r="G1550" s="137" t="e">
        <f>IF(A1550&lt;&gt;"",IF(AND(#REF!="Padrão",$H$4=#REF!),BDI!$B$17,IF(AND(#REF!="Padrão",$H$4=#REF!),BDI!#REF!,IF(AND(#REF!="Diferenciado",$H$4=#REF!),BDI!$E$17,IF(AND(#REF!="Diferenciado",$H$4=#REF!),BDI!#REF!,IF(#REF!="ZERO",0))))),"")</f>
        <v>#REF!</v>
      </c>
      <c r="H1550" s="138" t="str">
        <f t="shared" si="97"/>
        <v/>
      </c>
      <c r="I1550" s="136" t="str">
        <f t="shared" si="98"/>
        <v/>
      </c>
    </row>
    <row r="1551" spans="1:9" hidden="1" x14ac:dyDescent="0.25">
      <c r="A1551" s="114" t="s">
        <v>5270</v>
      </c>
      <c r="B1551" s="115" t="s">
        <v>4075</v>
      </c>
      <c r="C1551" s="116" t="s">
        <v>20</v>
      </c>
      <c r="D1551" s="116">
        <v>0</v>
      </c>
      <c r="E1551" s="135">
        <f ca="1">OFFSET(INDEX(Composições!A:J,MATCH(Orçamentária!A1551,Composições!A:A,0),8),2,0)</f>
        <v>67.782499999999985</v>
      </c>
      <c r="F1551" s="136">
        <f t="shared" ca="1" si="96"/>
        <v>0</v>
      </c>
      <c r="G1551" s="137" t="e">
        <f>IF(A1551&lt;&gt;"",IF(AND(#REF!="Padrão",$H$4=#REF!),BDI!$B$17,IF(AND(#REF!="Padrão",$H$4=#REF!),BDI!#REF!,IF(AND(#REF!="Diferenciado",$H$4=#REF!),BDI!$E$17,IF(AND(#REF!="Diferenciado",$H$4=#REF!),BDI!#REF!,IF(#REF!="ZERO",0))))),"")</f>
        <v>#REF!</v>
      </c>
      <c r="H1551" s="138" t="e">
        <f t="shared" ca="1" si="97"/>
        <v>#REF!</v>
      </c>
      <c r="I1551" s="136" t="e">
        <f t="shared" ca="1" si="98"/>
        <v>#REF!</v>
      </c>
    </row>
    <row r="1552" spans="1:9" hidden="1" x14ac:dyDescent="0.25">
      <c r="A1552" s="114" t="s">
        <v>5271</v>
      </c>
      <c r="B1552" s="115" t="s">
        <v>4076</v>
      </c>
      <c r="C1552" s="116" t="s">
        <v>20</v>
      </c>
      <c r="D1552" s="116">
        <v>0</v>
      </c>
      <c r="E1552" s="135">
        <f ca="1">OFFSET(INDEX(Composições!A:J,MATCH(Orçamentária!A1552,Composições!A:A,0),8),2,0)</f>
        <v>124.41200000000001</v>
      </c>
      <c r="F1552" s="136">
        <f t="shared" ca="1" si="96"/>
        <v>0</v>
      </c>
      <c r="G1552" s="137" t="e">
        <f>IF(A1552&lt;&gt;"",IF(AND(#REF!="Padrão",$H$4=#REF!),BDI!$B$17,IF(AND(#REF!="Padrão",$H$4=#REF!),BDI!#REF!,IF(AND(#REF!="Diferenciado",$H$4=#REF!),BDI!$E$17,IF(AND(#REF!="Diferenciado",$H$4=#REF!),BDI!#REF!,IF(#REF!="ZERO",0))))),"")</f>
        <v>#REF!</v>
      </c>
      <c r="H1552" s="138" t="e">
        <f t="shared" ca="1" si="97"/>
        <v>#REF!</v>
      </c>
      <c r="I1552" s="136" t="e">
        <f t="shared" ca="1" si="98"/>
        <v>#REF!</v>
      </c>
    </row>
    <row r="1553" spans="1:9" hidden="1" x14ac:dyDescent="0.25">
      <c r="A1553" s="114" t="s">
        <v>5272</v>
      </c>
      <c r="B1553" s="115" t="s">
        <v>4077</v>
      </c>
      <c r="C1553" s="116" t="s">
        <v>20</v>
      </c>
      <c r="D1553" s="116">
        <v>0</v>
      </c>
      <c r="E1553" s="135" t="s">
        <v>558</v>
      </c>
      <c r="F1553" s="136" t="str">
        <f t="shared" si="96"/>
        <v/>
      </c>
      <c r="G1553" s="137" t="e">
        <f>IF(A1553&lt;&gt;"",IF(AND(#REF!="Padrão",$H$4=#REF!),BDI!$B$17,IF(AND(#REF!="Padrão",$H$4=#REF!),BDI!#REF!,IF(AND(#REF!="Diferenciado",$H$4=#REF!),BDI!$E$17,IF(AND(#REF!="Diferenciado",$H$4=#REF!),BDI!#REF!,IF(#REF!="ZERO",0))))),"")</f>
        <v>#REF!</v>
      </c>
      <c r="H1553" s="138" t="str">
        <f t="shared" si="97"/>
        <v/>
      </c>
      <c r="I1553" s="136" t="str">
        <f t="shared" si="98"/>
        <v/>
      </c>
    </row>
    <row r="1554" spans="1:9" hidden="1" x14ac:dyDescent="0.25">
      <c r="A1554" s="114" t="s">
        <v>5273</v>
      </c>
      <c r="B1554" s="115" t="s">
        <v>4078</v>
      </c>
      <c r="C1554" s="116" t="s">
        <v>20</v>
      </c>
      <c r="D1554" s="116">
        <v>0</v>
      </c>
      <c r="E1554" s="135" t="s">
        <v>558</v>
      </c>
      <c r="F1554" s="136" t="str">
        <f t="shared" si="96"/>
        <v/>
      </c>
      <c r="G1554" s="137" t="e">
        <f>IF(A1554&lt;&gt;"",IF(AND(#REF!="Padrão",$H$4=#REF!),BDI!$B$17,IF(AND(#REF!="Padrão",$H$4=#REF!),BDI!#REF!,IF(AND(#REF!="Diferenciado",$H$4=#REF!),BDI!$E$17,IF(AND(#REF!="Diferenciado",$H$4=#REF!),BDI!#REF!,IF(#REF!="ZERO",0))))),"")</f>
        <v>#REF!</v>
      </c>
      <c r="H1554" s="138" t="str">
        <f t="shared" si="97"/>
        <v/>
      </c>
      <c r="I1554" s="136" t="str">
        <f t="shared" si="98"/>
        <v/>
      </c>
    </row>
    <row r="1555" spans="1:9" hidden="1" x14ac:dyDescent="0.25">
      <c r="A1555" s="114" t="s">
        <v>5274</v>
      </c>
      <c r="B1555" s="115" t="s">
        <v>6537</v>
      </c>
      <c r="C1555" s="116" t="s">
        <v>20</v>
      </c>
      <c r="D1555" s="116">
        <v>0</v>
      </c>
      <c r="E1555" s="135" t="s">
        <v>558</v>
      </c>
      <c r="F1555" s="136" t="str">
        <f t="shared" si="96"/>
        <v/>
      </c>
      <c r="G1555" s="137" t="e">
        <f>IF(A1555&lt;&gt;"",IF(AND(#REF!="Padrão",$H$4=#REF!),BDI!$B$17,IF(AND(#REF!="Padrão",$H$4=#REF!),BDI!#REF!,IF(AND(#REF!="Diferenciado",$H$4=#REF!),BDI!$E$17,IF(AND(#REF!="Diferenciado",$H$4=#REF!),BDI!#REF!,IF(#REF!="ZERO",0))))),"")</f>
        <v>#REF!</v>
      </c>
      <c r="H1555" s="138" t="str">
        <f t="shared" si="97"/>
        <v/>
      </c>
      <c r="I1555" s="136" t="str">
        <f t="shared" si="98"/>
        <v/>
      </c>
    </row>
    <row r="1556" spans="1:9" hidden="1" x14ac:dyDescent="0.25">
      <c r="A1556" s="114" t="s">
        <v>5275</v>
      </c>
      <c r="B1556" s="115" t="s">
        <v>6538</v>
      </c>
      <c r="C1556" s="116" t="s">
        <v>20</v>
      </c>
      <c r="D1556" s="116">
        <v>0</v>
      </c>
      <c r="E1556" s="135" t="s">
        <v>558</v>
      </c>
      <c r="F1556" s="136" t="str">
        <f t="shared" si="96"/>
        <v/>
      </c>
      <c r="G1556" s="137" t="e">
        <f>IF(A1556&lt;&gt;"",IF(AND(#REF!="Padrão",$H$4=#REF!),BDI!$B$17,IF(AND(#REF!="Padrão",$H$4=#REF!),BDI!#REF!,IF(AND(#REF!="Diferenciado",$H$4=#REF!),BDI!$E$17,IF(AND(#REF!="Diferenciado",$H$4=#REF!),BDI!#REF!,IF(#REF!="ZERO",0))))),"")</f>
        <v>#REF!</v>
      </c>
      <c r="H1556" s="138" t="str">
        <f t="shared" si="97"/>
        <v/>
      </c>
      <c r="I1556" s="136" t="str">
        <f t="shared" si="98"/>
        <v/>
      </c>
    </row>
    <row r="1557" spans="1:9" hidden="1" x14ac:dyDescent="0.25">
      <c r="A1557" s="114" t="s">
        <v>5276</v>
      </c>
      <c r="B1557" s="115" t="s">
        <v>4079</v>
      </c>
      <c r="C1557" s="116" t="s">
        <v>20</v>
      </c>
      <c r="D1557" s="116">
        <v>0</v>
      </c>
      <c r="E1557" s="135" t="s">
        <v>558</v>
      </c>
      <c r="F1557" s="136" t="str">
        <f t="shared" si="96"/>
        <v/>
      </c>
      <c r="G1557" s="137" t="e">
        <f>IF(A1557&lt;&gt;"",IF(AND(#REF!="Padrão",$H$4=#REF!),BDI!$B$17,IF(AND(#REF!="Padrão",$H$4=#REF!),BDI!#REF!,IF(AND(#REF!="Diferenciado",$H$4=#REF!),BDI!$E$17,IF(AND(#REF!="Diferenciado",$H$4=#REF!),BDI!#REF!,IF(#REF!="ZERO",0))))),"")</f>
        <v>#REF!</v>
      </c>
      <c r="H1557" s="138" t="str">
        <f t="shared" si="97"/>
        <v/>
      </c>
      <c r="I1557" s="136" t="str">
        <f t="shared" si="98"/>
        <v/>
      </c>
    </row>
    <row r="1558" spans="1:9" hidden="1" x14ac:dyDescent="0.25">
      <c r="A1558" s="114" t="s">
        <v>5277</v>
      </c>
      <c r="B1558" s="115" t="s">
        <v>4080</v>
      </c>
      <c r="C1558" s="116" t="s">
        <v>20</v>
      </c>
      <c r="D1558" s="116">
        <v>0</v>
      </c>
      <c r="E1558" s="135" t="s">
        <v>558</v>
      </c>
      <c r="F1558" s="136" t="str">
        <f t="shared" si="96"/>
        <v/>
      </c>
      <c r="G1558" s="137" t="e">
        <f>IF(A1558&lt;&gt;"",IF(AND(#REF!="Padrão",$H$4=#REF!),BDI!$B$17,IF(AND(#REF!="Padrão",$H$4=#REF!),BDI!#REF!,IF(AND(#REF!="Diferenciado",$H$4=#REF!),BDI!$E$17,IF(AND(#REF!="Diferenciado",$H$4=#REF!),BDI!#REF!,IF(#REF!="ZERO",0))))),"")</f>
        <v>#REF!</v>
      </c>
      <c r="H1558" s="138" t="str">
        <f t="shared" si="97"/>
        <v/>
      </c>
      <c r="I1558" s="136" t="str">
        <f t="shared" si="98"/>
        <v/>
      </c>
    </row>
    <row r="1559" spans="1:9" hidden="1" x14ac:dyDescent="0.25">
      <c r="A1559" s="114" t="s">
        <v>5278</v>
      </c>
      <c r="B1559" s="115" t="s">
        <v>4081</v>
      </c>
      <c r="C1559" s="116" t="s">
        <v>20</v>
      </c>
      <c r="D1559" s="116">
        <v>0</v>
      </c>
      <c r="E1559" s="135" t="s">
        <v>558</v>
      </c>
      <c r="F1559" s="136" t="str">
        <f t="shared" si="96"/>
        <v/>
      </c>
      <c r="G1559" s="137" t="e">
        <f>IF(A1559&lt;&gt;"",IF(AND(#REF!="Padrão",$H$4=#REF!),BDI!$B$17,IF(AND(#REF!="Padrão",$H$4=#REF!),BDI!#REF!,IF(AND(#REF!="Diferenciado",$H$4=#REF!),BDI!$E$17,IF(AND(#REF!="Diferenciado",$H$4=#REF!),BDI!#REF!,IF(#REF!="ZERO",0))))),"")</f>
        <v>#REF!</v>
      </c>
      <c r="H1559" s="138" t="str">
        <f t="shared" si="97"/>
        <v/>
      </c>
      <c r="I1559" s="136" t="str">
        <f t="shared" si="98"/>
        <v/>
      </c>
    </row>
    <row r="1560" spans="1:9" hidden="1" x14ac:dyDescent="0.25">
      <c r="A1560" s="114" t="s">
        <v>5279</v>
      </c>
      <c r="B1560" s="115" t="s">
        <v>4082</v>
      </c>
      <c r="C1560" s="116" t="s">
        <v>20</v>
      </c>
      <c r="D1560" s="116">
        <v>0</v>
      </c>
      <c r="E1560" s="135" t="s">
        <v>558</v>
      </c>
      <c r="F1560" s="136" t="str">
        <f t="shared" si="96"/>
        <v/>
      </c>
      <c r="G1560" s="137" t="e">
        <f>IF(A1560&lt;&gt;"",IF(AND(#REF!="Padrão",$H$4=#REF!),BDI!$B$17,IF(AND(#REF!="Padrão",$H$4=#REF!),BDI!#REF!,IF(AND(#REF!="Diferenciado",$H$4=#REF!),BDI!$E$17,IF(AND(#REF!="Diferenciado",$H$4=#REF!),BDI!#REF!,IF(#REF!="ZERO",0))))),"")</f>
        <v>#REF!</v>
      </c>
      <c r="H1560" s="138" t="str">
        <f t="shared" si="97"/>
        <v/>
      </c>
      <c r="I1560" s="136" t="str">
        <f t="shared" si="98"/>
        <v/>
      </c>
    </row>
    <row r="1561" spans="1:9" hidden="1" x14ac:dyDescent="0.25">
      <c r="A1561" s="114" t="s">
        <v>5280</v>
      </c>
      <c r="B1561" s="115" t="s">
        <v>4083</v>
      </c>
      <c r="C1561" s="116" t="s">
        <v>20</v>
      </c>
      <c r="D1561" s="116">
        <v>0</v>
      </c>
      <c r="E1561" s="135" t="s">
        <v>558</v>
      </c>
      <c r="F1561" s="136" t="str">
        <f t="shared" si="96"/>
        <v/>
      </c>
      <c r="G1561" s="137" t="e">
        <f>IF(A1561&lt;&gt;"",IF(AND(#REF!="Padrão",$H$4=#REF!),BDI!$B$17,IF(AND(#REF!="Padrão",$H$4=#REF!),BDI!#REF!,IF(AND(#REF!="Diferenciado",$H$4=#REF!),BDI!$E$17,IF(AND(#REF!="Diferenciado",$H$4=#REF!),BDI!#REF!,IF(#REF!="ZERO",0))))),"")</f>
        <v>#REF!</v>
      </c>
      <c r="H1561" s="138" t="str">
        <f t="shared" si="97"/>
        <v/>
      </c>
      <c r="I1561" s="136" t="str">
        <f t="shared" si="98"/>
        <v/>
      </c>
    </row>
    <row r="1562" spans="1:9" hidden="1" x14ac:dyDescent="0.25">
      <c r="A1562" s="114" t="s">
        <v>5281</v>
      </c>
      <c r="B1562" s="115" t="s">
        <v>4084</v>
      </c>
      <c r="C1562" s="116" t="s">
        <v>20</v>
      </c>
      <c r="D1562" s="116">
        <v>0</v>
      </c>
      <c r="E1562" s="135" t="s">
        <v>558</v>
      </c>
      <c r="F1562" s="136" t="str">
        <f t="shared" si="96"/>
        <v/>
      </c>
      <c r="G1562" s="137" t="e">
        <f>IF(A1562&lt;&gt;"",IF(AND(#REF!="Padrão",$H$4=#REF!),BDI!$B$17,IF(AND(#REF!="Padrão",$H$4=#REF!),BDI!#REF!,IF(AND(#REF!="Diferenciado",$H$4=#REF!),BDI!$E$17,IF(AND(#REF!="Diferenciado",$H$4=#REF!),BDI!#REF!,IF(#REF!="ZERO",0))))),"")</f>
        <v>#REF!</v>
      </c>
      <c r="H1562" s="138" t="str">
        <f t="shared" si="97"/>
        <v/>
      </c>
      <c r="I1562" s="136" t="str">
        <f t="shared" si="98"/>
        <v/>
      </c>
    </row>
    <row r="1563" spans="1:9" hidden="1" x14ac:dyDescent="0.25">
      <c r="A1563" s="114" t="s">
        <v>5282</v>
      </c>
      <c r="B1563" s="115" t="s">
        <v>4085</v>
      </c>
      <c r="C1563" s="116" t="s">
        <v>20</v>
      </c>
      <c r="D1563" s="116">
        <v>0</v>
      </c>
      <c r="E1563" s="135" t="s">
        <v>558</v>
      </c>
      <c r="F1563" s="136" t="str">
        <f t="shared" si="96"/>
        <v/>
      </c>
      <c r="G1563" s="137" t="e">
        <f>IF(A1563&lt;&gt;"",IF(AND(#REF!="Padrão",$H$4=#REF!),BDI!$B$17,IF(AND(#REF!="Padrão",$H$4=#REF!),BDI!#REF!,IF(AND(#REF!="Diferenciado",$H$4=#REF!),BDI!$E$17,IF(AND(#REF!="Diferenciado",$H$4=#REF!),BDI!#REF!,IF(#REF!="ZERO",0))))),"")</f>
        <v>#REF!</v>
      </c>
      <c r="H1563" s="138" t="str">
        <f t="shared" si="97"/>
        <v/>
      </c>
      <c r="I1563" s="136" t="str">
        <f t="shared" si="98"/>
        <v/>
      </c>
    </row>
    <row r="1564" spans="1:9" hidden="1" x14ac:dyDescent="0.25">
      <c r="A1564" s="114" t="s">
        <v>5283</v>
      </c>
      <c r="B1564" s="115" t="s">
        <v>4086</v>
      </c>
      <c r="C1564" s="116" t="s">
        <v>20</v>
      </c>
      <c r="D1564" s="116">
        <v>0</v>
      </c>
      <c r="E1564" s="135" t="s">
        <v>558</v>
      </c>
      <c r="F1564" s="136" t="str">
        <f t="shared" si="96"/>
        <v/>
      </c>
      <c r="G1564" s="137" t="e">
        <f>IF(A1564&lt;&gt;"",IF(AND(#REF!="Padrão",$H$4=#REF!),BDI!$B$17,IF(AND(#REF!="Padrão",$H$4=#REF!),BDI!#REF!,IF(AND(#REF!="Diferenciado",$H$4=#REF!),BDI!$E$17,IF(AND(#REF!="Diferenciado",$H$4=#REF!),BDI!#REF!,IF(#REF!="ZERO",0))))),"")</f>
        <v>#REF!</v>
      </c>
      <c r="H1564" s="138" t="str">
        <f t="shared" si="97"/>
        <v/>
      </c>
      <c r="I1564" s="136" t="str">
        <f t="shared" si="98"/>
        <v/>
      </c>
    </row>
    <row r="1565" spans="1:9" hidden="1" x14ac:dyDescent="0.25">
      <c r="A1565" s="114" t="s">
        <v>5284</v>
      </c>
      <c r="B1565" s="115" t="s">
        <v>4087</v>
      </c>
      <c r="C1565" s="116" t="s">
        <v>20</v>
      </c>
      <c r="D1565" s="116">
        <v>0</v>
      </c>
      <c r="E1565" s="135" t="s">
        <v>558</v>
      </c>
      <c r="F1565" s="136" t="str">
        <f t="shared" si="96"/>
        <v/>
      </c>
      <c r="G1565" s="137" t="e">
        <f>IF(A1565&lt;&gt;"",IF(AND(#REF!="Padrão",$H$4=#REF!),BDI!$B$17,IF(AND(#REF!="Padrão",$H$4=#REF!),BDI!#REF!,IF(AND(#REF!="Diferenciado",$H$4=#REF!),BDI!$E$17,IF(AND(#REF!="Diferenciado",$H$4=#REF!),BDI!#REF!,IF(#REF!="ZERO",0))))),"")</f>
        <v>#REF!</v>
      </c>
      <c r="H1565" s="138" t="str">
        <f t="shared" si="97"/>
        <v/>
      </c>
      <c r="I1565" s="136" t="str">
        <f t="shared" si="98"/>
        <v/>
      </c>
    </row>
    <row r="1566" spans="1:9" hidden="1" x14ac:dyDescent="0.25">
      <c r="A1566" s="114" t="s">
        <v>5285</v>
      </c>
      <c r="B1566" s="115" t="s">
        <v>4088</v>
      </c>
      <c r="C1566" s="116" t="s">
        <v>20</v>
      </c>
      <c r="D1566" s="116">
        <v>0</v>
      </c>
      <c r="E1566" s="135">
        <f ca="1">OFFSET(INDEX(Composições!A:J,MATCH(Orçamentária!A1566,Composições!A:A,0),8),2,0)</f>
        <v>2.9830000000000001</v>
      </c>
      <c r="F1566" s="136">
        <f t="shared" ca="1" si="96"/>
        <v>0</v>
      </c>
      <c r="G1566" s="137" t="e">
        <f>IF(A1566&lt;&gt;"",IF(AND(#REF!="Padrão",$H$4=#REF!),BDI!$B$17,IF(AND(#REF!="Padrão",$H$4=#REF!),BDI!#REF!,IF(AND(#REF!="Diferenciado",$H$4=#REF!),BDI!$E$17,IF(AND(#REF!="Diferenciado",$H$4=#REF!),BDI!#REF!,IF(#REF!="ZERO",0))))),"")</f>
        <v>#REF!</v>
      </c>
      <c r="H1566" s="138" t="e">
        <f t="shared" ca="1" si="97"/>
        <v>#REF!</v>
      </c>
      <c r="I1566" s="136" t="e">
        <f t="shared" ca="1" si="98"/>
        <v>#REF!</v>
      </c>
    </row>
    <row r="1567" spans="1:9" hidden="1" x14ac:dyDescent="0.25">
      <c r="A1567" s="114" t="s">
        <v>5286</v>
      </c>
      <c r="B1567" s="115" t="s">
        <v>4089</v>
      </c>
      <c r="C1567" s="116" t="s">
        <v>20</v>
      </c>
      <c r="D1567" s="116">
        <v>0</v>
      </c>
      <c r="E1567" s="135" t="s">
        <v>558</v>
      </c>
      <c r="F1567" s="136" t="str">
        <f t="shared" si="96"/>
        <v/>
      </c>
      <c r="G1567" s="137" t="e">
        <f>IF(A1567&lt;&gt;"",IF(AND(#REF!="Padrão",$H$4=#REF!),BDI!$B$17,IF(AND(#REF!="Padrão",$H$4=#REF!),BDI!#REF!,IF(AND(#REF!="Diferenciado",$H$4=#REF!),BDI!$E$17,IF(AND(#REF!="Diferenciado",$H$4=#REF!),BDI!#REF!,IF(#REF!="ZERO",0))))),"")</f>
        <v>#REF!</v>
      </c>
      <c r="H1567" s="138" t="str">
        <f t="shared" si="97"/>
        <v/>
      </c>
      <c r="I1567" s="136" t="str">
        <f t="shared" si="98"/>
        <v/>
      </c>
    </row>
    <row r="1568" spans="1:9" hidden="1" x14ac:dyDescent="0.25">
      <c r="A1568" s="114" t="s">
        <v>5287</v>
      </c>
      <c r="B1568" s="115" t="s">
        <v>4090</v>
      </c>
      <c r="C1568" s="116" t="s">
        <v>20</v>
      </c>
      <c r="D1568" s="116">
        <v>0</v>
      </c>
      <c r="E1568" s="135">
        <f ca="1">OFFSET(INDEX(Composições!A:J,MATCH(Orçamentária!A1568,Composições!A:A,0),8),2,0)</f>
        <v>2.2705000000000002</v>
      </c>
      <c r="F1568" s="136">
        <f t="shared" ca="1" si="96"/>
        <v>0</v>
      </c>
      <c r="G1568" s="137" t="e">
        <f>IF(A1568&lt;&gt;"",IF(AND(#REF!="Padrão",$H$4=#REF!),BDI!$B$17,IF(AND(#REF!="Padrão",$H$4=#REF!),BDI!#REF!,IF(AND(#REF!="Diferenciado",$H$4=#REF!),BDI!$E$17,IF(AND(#REF!="Diferenciado",$H$4=#REF!),BDI!#REF!,IF(#REF!="ZERO",0))))),"")</f>
        <v>#REF!</v>
      </c>
      <c r="H1568" s="138" t="e">
        <f t="shared" ca="1" si="97"/>
        <v>#REF!</v>
      </c>
      <c r="I1568" s="136" t="e">
        <f t="shared" ca="1" si="98"/>
        <v>#REF!</v>
      </c>
    </row>
    <row r="1569" spans="1:9" hidden="1" x14ac:dyDescent="0.25">
      <c r="A1569" s="114" t="s">
        <v>5288</v>
      </c>
      <c r="B1569" s="115" t="s">
        <v>4091</v>
      </c>
      <c r="C1569" s="116" t="s">
        <v>20</v>
      </c>
      <c r="D1569" s="116">
        <v>0</v>
      </c>
      <c r="E1569" s="135">
        <f ca="1">OFFSET(INDEX(Composições!A:J,MATCH(Orçamentária!A1569,Composições!A:A,0),8),2,0)</f>
        <v>2.5649999999999999</v>
      </c>
      <c r="F1569" s="136">
        <f t="shared" ca="1" si="96"/>
        <v>0</v>
      </c>
      <c r="G1569" s="137" t="e">
        <f>IF(A1569&lt;&gt;"",IF(AND(#REF!="Padrão",$H$4=#REF!),BDI!$B$17,IF(AND(#REF!="Padrão",$H$4=#REF!),BDI!#REF!,IF(AND(#REF!="Diferenciado",$H$4=#REF!),BDI!$E$17,IF(AND(#REF!="Diferenciado",$H$4=#REF!),BDI!#REF!,IF(#REF!="ZERO",0))))),"")</f>
        <v>#REF!</v>
      </c>
      <c r="H1569" s="138" t="e">
        <f t="shared" ca="1" si="97"/>
        <v>#REF!</v>
      </c>
      <c r="I1569" s="136" t="e">
        <f t="shared" ca="1" si="98"/>
        <v>#REF!</v>
      </c>
    </row>
    <row r="1570" spans="1:9" hidden="1" x14ac:dyDescent="0.25">
      <c r="A1570" s="114" t="s">
        <v>5289</v>
      </c>
      <c r="B1570" s="115" t="s">
        <v>4092</v>
      </c>
      <c r="C1570" s="116" t="s">
        <v>20</v>
      </c>
      <c r="D1570" s="116">
        <v>0</v>
      </c>
      <c r="E1570" s="135">
        <f ca="1">OFFSET(INDEX(Composições!A:J,MATCH(Orçamentária!A1570,Composições!A:A,0),8),2,0)</f>
        <v>4.4459999999999997</v>
      </c>
      <c r="F1570" s="136">
        <f t="shared" ca="1" si="96"/>
        <v>0</v>
      </c>
      <c r="G1570" s="137" t="e">
        <f>IF(A1570&lt;&gt;"",IF(AND(#REF!="Padrão",$H$4=#REF!),BDI!$B$17,IF(AND(#REF!="Padrão",$H$4=#REF!),BDI!#REF!,IF(AND(#REF!="Diferenciado",$H$4=#REF!),BDI!$E$17,IF(AND(#REF!="Diferenciado",$H$4=#REF!),BDI!#REF!,IF(#REF!="ZERO",0))))),"")</f>
        <v>#REF!</v>
      </c>
      <c r="H1570" s="138" t="e">
        <f t="shared" ca="1" si="97"/>
        <v>#REF!</v>
      </c>
      <c r="I1570" s="136" t="e">
        <f t="shared" ca="1" si="98"/>
        <v>#REF!</v>
      </c>
    </row>
    <row r="1571" spans="1:9" hidden="1" x14ac:dyDescent="0.25">
      <c r="A1571" s="114" t="s">
        <v>5290</v>
      </c>
      <c r="B1571" s="115" t="s">
        <v>4093</v>
      </c>
      <c r="C1571" s="116" t="s">
        <v>20</v>
      </c>
      <c r="D1571" s="116">
        <v>0</v>
      </c>
      <c r="E1571" s="135">
        <f ca="1">OFFSET(INDEX(Composições!A:J,MATCH(Orçamentária!A1571,Composições!A:A,0),8),2,0)</f>
        <v>5.548</v>
      </c>
      <c r="F1571" s="136">
        <f t="shared" ca="1" si="96"/>
        <v>0</v>
      </c>
      <c r="G1571" s="137" t="e">
        <f>IF(A1571&lt;&gt;"",IF(AND(#REF!="Padrão",$H$4=#REF!),BDI!$B$17,IF(AND(#REF!="Padrão",$H$4=#REF!),BDI!#REF!,IF(AND(#REF!="Diferenciado",$H$4=#REF!),BDI!$E$17,IF(AND(#REF!="Diferenciado",$H$4=#REF!),BDI!#REF!,IF(#REF!="ZERO",0))))),"")</f>
        <v>#REF!</v>
      </c>
      <c r="H1571" s="138" t="e">
        <f t="shared" ca="1" si="97"/>
        <v>#REF!</v>
      </c>
      <c r="I1571" s="136" t="e">
        <f t="shared" ca="1" si="98"/>
        <v>#REF!</v>
      </c>
    </row>
    <row r="1572" spans="1:9" hidden="1" x14ac:dyDescent="0.25">
      <c r="A1572" s="114" t="s">
        <v>5291</v>
      </c>
      <c r="B1572" s="115" t="s">
        <v>4094</v>
      </c>
      <c r="C1572" s="116" t="s">
        <v>20</v>
      </c>
      <c r="D1572" s="116">
        <v>0</v>
      </c>
      <c r="E1572" s="135">
        <f ca="1">OFFSET(INDEX(Composições!A:J,MATCH(Orçamentária!A1572,Composições!A:A,0),8),2,0)</f>
        <v>6.8304999999999998</v>
      </c>
      <c r="F1572" s="136">
        <f t="shared" ca="1" si="96"/>
        <v>0</v>
      </c>
      <c r="G1572" s="137" t="e">
        <f>IF(A1572&lt;&gt;"",IF(AND(#REF!="Padrão",$H$4=#REF!),BDI!$B$17,IF(AND(#REF!="Padrão",$H$4=#REF!),BDI!#REF!,IF(AND(#REF!="Diferenciado",$H$4=#REF!),BDI!$E$17,IF(AND(#REF!="Diferenciado",$H$4=#REF!),BDI!#REF!,IF(#REF!="ZERO",0))))),"")</f>
        <v>#REF!</v>
      </c>
      <c r="H1572" s="138" t="e">
        <f t="shared" ca="1" si="97"/>
        <v>#REF!</v>
      </c>
      <c r="I1572" s="136" t="e">
        <f t="shared" ca="1" si="98"/>
        <v>#REF!</v>
      </c>
    </row>
    <row r="1573" spans="1:9" hidden="1" x14ac:dyDescent="0.25">
      <c r="A1573" s="114" t="s">
        <v>5292</v>
      </c>
      <c r="B1573" s="115" t="s">
        <v>4095</v>
      </c>
      <c r="C1573" s="116" t="s">
        <v>20</v>
      </c>
      <c r="D1573" s="116">
        <v>0</v>
      </c>
      <c r="E1573" s="135">
        <f ca="1">OFFSET(INDEX(Composições!A:J,MATCH(Orçamentária!A1573,Composições!A:A,0),8),2,0)</f>
        <v>9.6044999999999998</v>
      </c>
      <c r="F1573" s="136">
        <f t="shared" ca="1" si="96"/>
        <v>0</v>
      </c>
      <c r="G1573" s="137" t="e">
        <f>IF(A1573&lt;&gt;"",IF(AND(#REF!="Padrão",$H$4=#REF!),BDI!$B$17,IF(AND(#REF!="Padrão",$H$4=#REF!),BDI!#REF!,IF(AND(#REF!="Diferenciado",$H$4=#REF!),BDI!$E$17,IF(AND(#REF!="Diferenciado",$H$4=#REF!),BDI!#REF!,IF(#REF!="ZERO",0))))),"")</f>
        <v>#REF!</v>
      </c>
      <c r="H1573" s="138" t="e">
        <f t="shared" ca="1" si="97"/>
        <v>#REF!</v>
      </c>
      <c r="I1573" s="136" t="e">
        <f t="shared" ca="1" si="98"/>
        <v>#REF!</v>
      </c>
    </row>
    <row r="1574" spans="1:9" hidden="1" x14ac:dyDescent="0.25">
      <c r="A1574" s="114" t="s">
        <v>5293</v>
      </c>
      <c r="B1574" s="115" t="s">
        <v>4096</v>
      </c>
      <c r="C1574" s="116" t="s">
        <v>20</v>
      </c>
      <c r="D1574" s="116">
        <v>0</v>
      </c>
      <c r="E1574" s="135">
        <f ca="1">OFFSET(INDEX(Composições!A:J,MATCH(Orçamentária!A1574,Composições!A:A,0),8),2,0)</f>
        <v>21.612500000000001</v>
      </c>
      <c r="F1574" s="136">
        <f t="shared" ca="1" si="96"/>
        <v>0</v>
      </c>
      <c r="G1574" s="137" t="e">
        <f>IF(A1574&lt;&gt;"",IF(AND(#REF!="Padrão",$H$4=#REF!),BDI!$B$17,IF(AND(#REF!="Padrão",$H$4=#REF!),BDI!#REF!,IF(AND(#REF!="Diferenciado",$H$4=#REF!),BDI!$E$17,IF(AND(#REF!="Diferenciado",$H$4=#REF!),BDI!#REF!,IF(#REF!="ZERO",0))))),"")</f>
        <v>#REF!</v>
      </c>
      <c r="H1574" s="138" t="e">
        <f t="shared" ca="1" si="97"/>
        <v>#REF!</v>
      </c>
      <c r="I1574" s="136" t="e">
        <f t="shared" ca="1" si="98"/>
        <v>#REF!</v>
      </c>
    </row>
    <row r="1575" spans="1:9" hidden="1" x14ac:dyDescent="0.25">
      <c r="A1575" s="114" t="s">
        <v>5294</v>
      </c>
      <c r="B1575" s="115" t="s">
        <v>4097</v>
      </c>
      <c r="C1575" s="116" t="s">
        <v>20</v>
      </c>
      <c r="D1575" s="116">
        <v>0</v>
      </c>
      <c r="E1575" s="135">
        <f ca="1">OFFSET(INDEX(Composições!A:J,MATCH(Orçamentária!A1575,Composições!A:A,0),8),2,0)</f>
        <v>23.616999999999997</v>
      </c>
      <c r="F1575" s="136">
        <f t="shared" ca="1" si="96"/>
        <v>0</v>
      </c>
      <c r="G1575" s="137" t="e">
        <f>IF(A1575&lt;&gt;"",IF(AND(#REF!="Padrão",$H$4=#REF!),BDI!$B$17,IF(AND(#REF!="Padrão",$H$4=#REF!),BDI!#REF!,IF(AND(#REF!="Diferenciado",$H$4=#REF!),BDI!$E$17,IF(AND(#REF!="Diferenciado",$H$4=#REF!),BDI!#REF!,IF(#REF!="ZERO",0))))),"")</f>
        <v>#REF!</v>
      </c>
      <c r="H1575" s="138" t="e">
        <f t="shared" ca="1" si="97"/>
        <v>#REF!</v>
      </c>
      <c r="I1575" s="136" t="e">
        <f t="shared" ca="1" si="98"/>
        <v>#REF!</v>
      </c>
    </row>
    <row r="1576" spans="1:9" hidden="1" x14ac:dyDescent="0.25">
      <c r="A1576" s="114" t="s">
        <v>5295</v>
      </c>
      <c r="B1576" s="115" t="s">
        <v>4098</v>
      </c>
      <c r="C1576" s="116" t="s">
        <v>20</v>
      </c>
      <c r="D1576" s="116">
        <v>0</v>
      </c>
      <c r="E1576" s="135">
        <f ca="1">OFFSET(INDEX(Composições!A:J,MATCH(Orçamentária!A1576,Composições!A:A,0),8),2,0)</f>
        <v>31.169499999999999</v>
      </c>
      <c r="F1576" s="136">
        <f t="shared" ca="1" si="96"/>
        <v>0</v>
      </c>
      <c r="G1576" s="137" t="e">
        <f>IF(A1576&lt;&gt;"",IF(AND(#REF!="Padrão",$H$4=#REF!),BDI!$B$17,IF(AND(#REF!="Padrão",$H$4=#REF!),BDI!#REF!,IF(AND(#REF!="Diferenciado",$H$4=#REF!),BDI!$E$17,IF(AND(#REF!="Diferenciado",$H$4=#REF!),BDI!#REF!,IF(#REF!="ZERO",0))))),"")</f>
        <v>#REF!</v>
      </c>
      <c r="H1576" s="138" t="e">
        <f t="shared" ca="1" si="97"/>
        <v>#REF!</v>
      </c>
      <c r="I1576" s="136" t="e">
        <f t="shared" ca="1" si="98"/>
        <v>#REF!</v>
      </c>
    </row>
    <row r="1577" spans="1:9" hidden="1" x14ac:dyDescent="0.25">
      <c r="A1577" s="114" t="s">
        <v>5296</v>
      </c>
      <c r="B1577" s="115" t="s">
        <v>4099</v>
      </c>
      <c r="C1577" s="116" t="s">
        <v>20</v>
      </c>
      <c r="D1577" s="116">
        <v>0</v>
      </c>
      <c r="E1577" s="135">
        <f ca="1">OFFSET(INDEX(Composições!A:J,MATCH(Orçamentária!A1577,Composições!A:A,0),8),2,0)</f>
        <v>45.343499999999992</v>
      </c>
      <c r="F1577" s="136">
        <f t="shared" ca="1" si="96"/>
        <v>0</v>
      </c>
      <c r="G1577" s="137" t="e">
        <f>IF(A1577&lt;&gt;"",IF(AND(#REF!="Padrão",$H$4=#REF!),BDI!$B$17,IF(AND(#REF!="Padrão",$H$4=#REF!),BDI!#REF!,IF(AND(#REF!="Diferenciado",$H$4=#REF!),BDI!$E$17,IF(AND(#REF!="Diferenciado",$H$4=#REF!),BDI!#REF!,IF(#REF!="ZERO",0))))),"")</f>
        <v>#REF!</v>
      </c>
      <c r="H1577" s="138" t="e">
        <f t="shared" ca="1" si="97"/>
        <v>#REF!</v>
      </c>
      <c r="I1577" s="136" t="e">
        <f t="shared" ca="1" si="98"/>
        <v>#REF!</v>
      </c>
    </row>
    <row r="1578" spans="1:9" hidden="1" x14ac:dyDescent="0.25">
      <c r="A1578" s="114" t="s">
        <v>5297</v>
      </c>
      <c r="B1578" s="115" t="s">
        <v>4100</v>
      </c>
      <c r="C1578" s="116" t="s">
        <v>20</v>
      </c>
      <c r="D1578" s="116">
        <v>0</v>
      </c>
      <c r="E1578" s="135" t="s">
        <v>558</v>
      </c>
      <c r="F1578" s="136" t="str">
        <f t="shared" si="96"/>
        <v/>
      </c>
      <c r="G1578" s="137" t="e">
        <f>IF(A1578&lt;&gt;"",IF(AND(#REF!="Padrão",$H$4=#REF!),BDI!$B$17,IF(AND(#REF!="Padrão",$H$4=#REF!),BDI!#REF!,IF(AND(#REF!="Diferenciado",$H$4=#REF!),BDI!$E$17,IF(AND(#REF!="Diferenciado",$H$4=#REF!),BDI!#REF!,IF(#REF!="ZERO",0))))),"")</f>
        <v>#REF!</v>
      </c>
      <c r="H1578" s="138" t="str">
        <f t="shared" si="97"/>
        <v/>
      </c>
      <c r="I1578" s="136" t="str">
        <f t="shared" si="98"/>
        <v/>
      </c>
    </row>
    <row r="1579" spans="1:9" hidden="1" x14ac:dyDescent="0.25">
      <c r="A1579" s="114" t="s">
        <v>5298</v>
      </c>
      <c r="B1579" s="115" t="s">
        <v>4101</v>
      </c>
      <c r="C1579" s="116" t="s">
        <v>20</v>
      </c>
      <c r="D1579" s="116">
        <v>0</v>
      </c>
      <c r="E1579" s="135" t="s">
        <v>558</v>
      </c>
      <c r="F1579" s="136" t="str">
        <f t="shared" si="96"/>
        <v/>
      </c>
      <c r="G1579" s="137" t="e">
        <f>IF(A1579&lt;&gt;"",IF(AND(#REF!="Padrão",$H$4=#REF!),BDI!$B$17,IF(AND(#REF!="Padrão",$H$4=#REF!),BDI!#REF!,IF(AND(#REF!="Diferenciado",$H$4=#REF!),BDI!$E$17,IF(AND(#REF!="Diferenciado",$H$4=#REF!),BDI!#REF!,IF(#REF!="ZERO",0))))),"")</f>
        <v>#REF!</v>
      </c>
      <c r="H1579" s="138" t="str">
        <f t="shared" si="97"/>
        <v/>
      </c>
      <c r="I1579" s="136" t="str">
        <f t="shared" si="98"/>
        <v/>
      </c>
    </row>
    <row r="1580" spans="1:9" hidden="1" x14ac:dyDescent="0.25">
      <c r="A1580" s="114" t="s">
        <v>5299</v>
      </c>
      <c r="B1580" s="115" t="s">
        <v>4102</v>
      </c>
      <c r="C1580" s="116" t="s">
        <v>20</v>
      </c>
      <c r="D1580" s="116">
        <v>0</v>
      </c>
      <c r="E1580" s="135" t="s">
        <v>558</v>
      </c>
      <c r="F1580" s="136" t="str">
        <f t="shared" si="96"/>
        <v/>
      </c>
      <c r="G1580" s="137" t="e">
        <f>IF(A1580&lt;&gt;"",IF(AND(#REF!="Padrão",$H$4=#REF!),BDI!$B$17,IF(AND(#REF!="Padrão",$H$4=#REF!),BDI!#REF!,IF(AND(#REF!="Diferenciado",$H$4=#REF!),BDI!$E$17,IF(AND(#REF!="Diferenciado",$H$4=#REF!),BDI!#REF!,IF(#REF!="ZERO",0))))),"")</f>
        <v>#REF!</v>
      </c>
      <c r="H1580" s="138" t="str">
        <f t="shared" si="97"/>
        <v/>
      </c>
      <c r="I1580" s="136" t="str">
        <f t="shared" si="98"/>
        <v/>
      </c>
    </row>
    <row r="1581" spans="1:9" hidden="1" x14ac:dyDescent="0.25">
      <c r="A1581" s="114" t="s">
        <v>5300</v>
      </c>
      <c r="B1581" s="115" t="s">
        <v>4103</v>
      </c>
      <c r="C1581" s="116" t="s">
        <v>20</v>
      </c>
      <c r="D1581" s="116">
        <v>0</v>
      </c>
      <c r="E1581" s="135" t="s">
        <v>558</v>
      </c>
      <c r="F1581" s="136" t="str">
        <f t="shared" ref="F1581:F1644" si="99">IF(ISNUMBER(E1581),D1581*E1581,"")</f>
        <v/>
      </c>
      <c r="G1581" s="137" t="e">
        <f>IF(A1581&lt;&gt;"",IF(AND(#REF!="Padrão",$H$4=#REF!),BDI!$B$17,IF(AND(#REF!="Padrão",$H$4=#REF!),BDI!#REF!,IF(AND(#REF!="Diferenciado",$H$4=#REF!),BDI!$E$17,IF(AND(#REF!="Diferenciado",$H$4=#REF!),BDI!#REF!,IF(#REF!="ZERO",0))))),"")</f>
        <v>#REF!</v>
      </c>
      <c r="H1581" s="138" t="str">
        <f t="shared" ref="H1581:H1644" si="100">IF(ISNUMBER(E1581),ROUND(E1581*(1+G1581),2),"")</f>
        <v/>
      </c>
      <c r="I1581" s="136" t="str">
        <f t="shared" ref="I1581:I1644" si="101">IF(ISNUMBER(E1581),ROUND(H1581*D1581,2),"")</f>
        <v/>
      </c>
    </row>
    <row r="1582" spans="1:9" hidden="1" x14ac:dyDescent="0.25">
      <c r="A1582" s="114" t="s">
        <v>5301</v>
      </c>
      <c r="B1582" s="115" t="s">
        <v>4104</v>
      </c>
      <c r="C1582" s="116" t="s">
        <v>20</v>
      </c>
      <c r="D1582" s="116">
        <v>0</v>
      </c>
      <c r="E1582" s="135" t="s">
        <v>558</v>
      </c>
      <c r="F1582" s="136" t="str">
        <f t="shared" si="99"/>
        <v/>
      </c>
      <c r="G1582" s="137" t="e">
        <f>IF(A1582&lt;&gt;"",IF(AND(#REF!="Padrão",$H$4=#REF!),BDI!$B$17,IF(AND(#REF!="Padrão",$H$4=#REF!),BDI!#REF!,IF(AND(#REF!="Diferenciado",$H$4=#REF!),BDI!$E$17,IF(AND(#REF!="Diferenciado",$H$4=#REF!),BDI!#REF!,IF(#REF!="ZERO",0))))),"")</f>
        <v>#REF!</v>
      </c>
      <c r="H1582" s="138" t="str">
        <f t="shared" si="100"/>
        <v/>
      </c>
      <c r="I1582" s="136" t="str">
        <f t="shared" si="101"/>
        <v/>
      </c>
    </row>
    <row r="1583" spans="1:9" hidden="1" x14ac:dyDescent="0.25">
      <c r="A1583" s="114" t="s">
        <v>5302</v>
      </c>
      <c r="B1583" s="115" t="s">
        <v>4105</v>
      </c>
      <c r="C1583" s="116" t="s">
        <v>20</v>
      </c>
      <c r="D1583" s="116">
        <v>0</v>
      </c>
      <c r="E1583" s="135" t="s">
        <v>558</v>
      </c>
      <c r="F1583" s="136" t="str">
        <f t="shared" si="99"/>
        <v/>
      </c>
      <c r="G1583" s="137" t="e">
        <f>IF(A1583&lt;&gt;"",IF(AND(#REF!="Padrão",$H$4=#REF!),BDI!$B$17,IF(AND(#REF!="Padrão",$H$4=#REF!),BDI!#REF!,IF(AND(#REF!="Diferenciado",$H$4=#REF!),BDI!$E$17,IF(AND(#REF!="Diferenciado",$H$4=#REF!),BDI!#REF!,IF(#REF!="ZERO",0))))),"")</f>
        <v>#REF!</v>
      </c>
      <c r="H1583" s="138" t="str">
        <f t="shared" si="100"/>
        <v/>
      </c>
      <c r="I1583" s="136" t="str">
        <f t="shared" si="101"/>
        <v/>
      </c>
    </row>
    <row r="1584" spans="1:9" hidden="1" x14ac:dyDescent="0.25">
      <c r="A1584" s="114" t="s">
        <v>5303</v>
      </c>
      <c r="B1584" s="115" t="s">
        <v>4106</v>
      </c>
      <c r="C1584" s="116" t="s">
        <v>20</v>
      </c>
      <c r="D1584" s="116">
        <v>0</v>
      </c>
      <c r="E1584" s="135" t="s">
        <v>558</v>
      </c>
      <c r="F1584" s="136" t="str">
        <f t="shared" si="99"/>
        <v/>
      </c>
      <c r="G1584" s="137" t="e">
        <f>IF(A1584&lt;&gt;"",IF(AND(#REF!="Padrão",$H$4=#REF!),BDI!$B$17,IF(AND(#REF!="Padrão",$H$4=#REF!),BDI!#REF!,IF(AND(#REF!="Diferenciado",$H$4=#REF!),BDI!$E$17,IF(AND(#REF!="Diferenciado",$H$4=#REF!),BDI!#REF!,IF(#REF!="ZERO",0))))),"")</f>
        <v>#REF!</v>
      </c>
      <c r="H1584" s="138" t="str">
        <f t="shared" si="100"/>
        <v/>
      </c>
      <c r="I1584" s="136" t="str">
        <f t="shared" si="101"/>
        <v/>
      </c>
    </row>
    <row r="1585" spans="1:9" hidden="1" x14ac:dyDescent="0.25">
      <c r="A1585" s="114" t="s">
        <v>5304</v>
      </c>
      <c r="B1585" s="115" t="s">
        <v>4107</v>
      </c>
      <c r="C1585" s="116" t="s">
        <v>20</v>
      </c>
      <c r="D1585" s="116">
        <v>0</v>
      </c>
      <c r="E1585" s="135" t="s">
        <v>558</v>
      </c>
      <c r="F1585" s="136" t="str">
        <f t="shared" si="99"/>
        <v/>
      </c>
      <c r="G1585" s="137" t="e">
        <f>IF(A1585&lt;&gt;"",IF(AND(#REF!="Padrão",$H$4=#REF!),BDI!$B$17,IF(AND(#REF!="Padrão",$H$4=#REF!),BDI!#REF!,IF(AND(#REF!="Diferenciado",$H$4=#REF!),BDI!$E$17,IF(AND(#REF!="Diferenciado",$H$4=#REF!),BDI!#REF!,IF(#REF!="ZERO",0))))),"")</f>
        <v>#REF!</v>
      </c>
      <c r="H1585" s="138" t="str">
        <f t="shared" si="100"/>
        <v/>
      </c>
      <c r="I1585" s="136" t="str">
        <f t="shared" si="101"/>
        <v/>
      </c>
    </row>
    <row r="1586" spans="1:9" hidden="1" x14ac:dyDescent="0.25">
      <c r="A1586" s="114" t="s">
        <v>5305</v>
      </c>
      <c r="B1586" s="115" t="s">
        <v>4108</v>
      </c>
      <c r="C1586" s="116" t="s">
        <v>20</v>
      </c>
      <c r="D1586" s="116">
        <v>0</v>
      </c>
      <c r="E1586" s="135" t="s">
        <v>558</v>
      </c>
      <c r="F1586" s="136" t="str">
        <f t="shared" si="99"/>
        <v/>
      </c>
      <c r="G1586" s="137" t="e">
        <f>IF(A1586&lt;&gt;"",IF(AND(#REF!="Padrão",$H$4=#REF!),BDI!$B$17,IF(AND(#REF!="Padrão",$H$4=#REF!),BDI!#REF!,IF(AND(#REF!="Diferenciado",$H$4=#REF!),BDI!$E$17,IF(AND(#REF!="Diferenciado",$H$4=#REF!),BDI!#REF!,IF(#REF!="ZERO",0))))),"")</f>
        <v>#REF!</v>
      </c>
      <c r="H1586" s="138" t="str">
        <f t="shared" si="100"/>
        <v/>
      </c>
      <c r="I1586" s="136" t="str">
        <f t="shared" si="101"/>
        <v/>
      </c>
    </row>
    <row r="1587" spans="1:9" hidden="1" x14ac:dyDescent="0.25">
      <c r="A1587" s="114" t="s">
        <v>5306</v>
      </c>
      <c r="B1587" s="115" t="s">
        <v>4109</v>
      </c>
      <c r="C1587" s="116" t="s">
        <v>20</v>
      </c>
      <c r="D1587" s="116">
        <v>0</v>
      </c>
      <c r="E1587" s="135" t="s">
        <v>558</v>
      </c>
      <c r="F1587" s="136" t="str">
        <f t="shared" si="99"/>
        <v/>
      </c>
      <c r="G1587" s="137" t="e">
        <f>IF(A1587&lt;&gt;"",IF(AND(#REF!="Padrão",$H$4=#REF!),BDI!$B$17,IF(AND(#REF!="Padrão",$H$4=#REF!),BDI!#REF!,IF(AND(#REF!="Diferenciado",$H$4=#REF!),BDI!$E$17,IF(AND(#REF!="Diferenciado",$H$4=#REF!),BDI!#REF!,IF(#REF!="ZERO",0))))),"")</f>
        <v>#REF!</v>
      </c>
      <c r="H1587" s="138" t="str">
        <f t="shared" si="100"/>
        <v/>
      </c>
      <c r="I1587" s="136" t="str">
        <f t="shared" si="101"/>
        <v/>
      </c>
    </row>
    <row r="1588" spans="1:9" hidden="1" x14ac:dyDescent="0.25">
      <c r="A1588" s="114" t="s">
        <v>5307</v>
      </c>
      <c r="B1588" s="115" t="s">
        <v>4110</v>
      </c>
      <c r="C1588" s="116" t="s">
        <v>93</v>
      </c>
      <c r="D1588" s="116">
        <v>0</v>
      </c>
      <c r="E1588" s="135" t="s">
        <v>558</v>
      </c>
      <c r="F1588" s="136" t="str">
        <f t="shared" si="99"/>
        <v/>
      </c>
      <c r="G1588" s="137" t="e">
        <f>IF(A1588&lt;&gt;"",IF(AND(#REF!="Padrão",$H$4=#REF!),BDI!$B$17,IF(AND(#REF!="Padrão",$H$4=#REF!),BDI!#REF!,IF(AND(#REF!="Diferenciado",$H$4=#REF!),BDI!$E$17,IF(AND(#REF!="Diferenciado",$H$4=#REF!),BDI!#REF!,IF(#REF!="ZERO",0))))),"")</f>
        <v>#REF!</v>
      </c>
      <c r="H1588" s="138" t="str">
        <f t="shared" si="100"/>
        <v/>
      </c>
      <c r="I1588" s="136" t="str">
        <f t="shared" si="101"/>
        <v/>
      </c>
    </row>
    <row r="1589" spans="1:9" hidden="1" x14ac:dyDescent="0.25">
      <c r="A1589" s="114" t="s">
        <v>5308</v>
      </c>
      <c r="B1589" s="115" t="s">
        <v>4111</v>
      </c>
      <c r="C1589" s="116" t="s">
        <v>93</v>
      </c>
      <c r="D1589" s="116">
        <v>0</v>
      </c>
      <c r="E1589" s="135" t="s">
        <v>558</v>
      </c>
      <c r="F1589" s="136" t="str">
        <f t="shared" si="99"/>
        <v/>
      </c>
      <c r="G1589" s="137" t="e">
        <f>IF(A1589&lt;&gt;"",IF(AND(#REF!="Padrão",$H$4=#REF!),BDI!$B$17,IF(AND(#REF!="Padrão",$H$4=#REF!),BDI!#REF!,IF(AND(#REF!="Diferenciado",$H$4=#REF!),BDI!$E$17,IF(AND(#REF!="Diferenciado",$H$4=#REF!),BDI!#REF!,IF(#REF!="ZERO",0))))),"")</f>
        <v>#REF!</v>
      </c>
      <c r="H1589" s="138" t="str">
        <f t="shared" si="100"/>
        <v/>
      </c>
      <c r="I1589" s="136" t="str">
        <f t="shared" si="101"/>
        <v/>
      </c>
    </row>
    <row r="1590" spans="1:9" hidden="1" x14ac:dyDescent="0.25">
      <c r="A1590" s="114" t="s">
        <v>5309</v>
      </c>
      <c r="B1590" s="115" t="s">
        <v>6539</v>
      </c>
      <c r="C1590" s="116" t="s">
        <v>93</v>
      </c>
      <c r="D1590" s="116">
        <v>0</v>
      </c>
      <c r="E1590" s="135" t="s">
        <v>558</v>
      </c>
      <c r="F1590" s="136" t="str">
        <f t="shared" si="99"/>
        <v/>
      </c>
      <c r="G1590" s="137" t="e">
        <f>IF(A1590&lt;&gt;"",IF(AND(#REF!="Padrão",$H$4=#REF!),BDI!$B$17,IF(AND(#REF!="Padrão",$H$4=#REF!),BDI!#REF!,IF(AND(#REF!="Diferenciado",$H$4=#REF!),BDI!$E$17,IF(AND(#REF!="Diferenciado",$H$4=#REF!),BDI!#REF!,IF(#REF!="ZERO",0))))),"")</f>
        <v>#REF!</v>
      </c>
      <c r="H1590" s="138" t="str">
        <f t="shared" si="100"/>
        <v/>
      </c>
      <c r="I1590" s="136" t="str">
        <f t="shared" si="101"/>
        <v/>
      </c>
    </row>
    <row r="1591" spans="1:9" hidden="1" x14ac:dyDescent="0.25">
      <c r="A1591" s="114" t="s">
        <v>5310</v>
      </c>
      <c r="B1591" s="115" t="s">
        <v>6540</v>
      </c>
      <c r="C1591" s="116" t="s">
        <v>93</v>
      </c>
      <c r="D1591" s="116">
        <v>0</v>
      </c>
      <c r="E1591" s="135" t="s">
        <v>558</v>
      </c>
      <c r="F1591" s="136" t="str">
        <f t="shared" si="99"/>
        <v/>
      </c>
      <c r="G1591" s="137" t="e">
        <f>IF(A1591&lt;&gt;"",IF(AND(#REF!="Padrão",$H$4=#REF!),BDI!$B$17,IF(AND(#REF!="Padrão",$H$4=#REF!),BDI!#REF!,IF(AND(#REF!="Diferenciado",$H$4=#REF!),BDI!$E$17,IF(AND(#REF!="Diferenciado",$H$4=#REF!),BDI!#REF!,IF(#REF!="ZERO",0))))),"")</f>
        <v>#REF!</v>
      </c>
      <c r="H1591" s="138" t="str">
        <f t="shared" si="100"/>
        <v/>
      </c>
      <c r="I1591" s="136" t="str">
        <f t="shared" si="101"/>
        <v/>
      </c>
    </row>
    <row r="1592" spans="1:9" hidden="1" x14ac:dyDescent="0.25">
      <c r="A1592" s="114" t="s">
        <v>5311</v>
      </c>
      <c r="B1592" s="115" t="s">
        <v>6541</v>
      </c>
      <c r="C1592" s="116" t="s">
        <v>93</v>
      </c>
      <c r="D1592" s="116">
        <v>0</v>
      </c>
      <c r="E1592" s="135" t="s">
        <v>558</v>
      </c>
      <c r="F1592" s="136" t="str">
        <f t="shared" si="99"/>
        <v/>
      </c>
      <c r="G1592" s="137" t="e">
        <f>IF(A1592&lt;&gt;"",IF(AND(#REF!="Padrão",$H$4=#REF!),BDI!$B$17,IF(AND(#REF!="Padrão",$H$4=#REF!),BDI!#REF!,IF(AND(#REF!="Diferenciado",$H$4=#REF!),BDI!$E$17,IF(AND(#REF!="Diferenciado",$H$4=#REF!),BDI!#REF!,IF(#REF!="ZERO",0))))),"")</f>
        <v>#REF!</v>
      </c>
      <c r="H1592" s="138" t="str">
        <f t="shared" si="100"/>
        <v/>
      </c>
      <c r="I1592" s="136" t="str">
        <f t="shared" si="101"/>
        <v/>
      </c>
    </row>
    <row r="1593" spans="1:9" hidden="1" x14ac:dyDescent="0.25">
      <c r="A1593" s="114" t="s">
        <v>5312</v>
      </c>
      <c r="B1593" s="115" t="s">
        <v>6542</v>
      </c>
      <c r="C1593" s="116" t="s">
        <v>93</v>
      </c>
      <c r="D1593" s="116">
        <v>0</v>
      </c>
      <c r="E1593" s="135" t="s">
        <v>558</v>
      </c>
      <c r="F1593" s="136" t="str">
        <f t="shared" si="99"/>
        <v/>
      </c>
      <c r="G1593" s="137" t="e">
        <f>IF(A1593&lt;&gt;"",IF(AND(#REF!="Padrão",$H$4=#REF!),BDI!$B$17,IF(AND(#REF!="Padrão",$H$4=#REF!),BDI!#REF!,IF(AND(#REF!="Diferenciado",$H$4=#REF!),BDI!$E$17,IF(AND(#REF!="Diferenciado",$H$4=#REF!),BDI!#REF!,IF(#REF!="ZERO",0))))),"")</f>
        <v>#REF!</v>
      </c>
      <c r="H1593" s="138" t="str">
        <f t="shared" si="100"/>
        <v/>
      </c>
      <c r="I1593" s="136" t="str">
        <f t="shared" si="101"/>
        <v/>
      </c>
    </row>
    <row r="1594" spans="1:9" hidden="1" x14ac:dyDescent="0.25">
      <c r="A1594" s="114" t="s">
        <v>5313</v>
      </c>
      <c r="B1594" s="115" t="s">
        <v>6543</v>
      </c>
      <c r="C1594" s="116" t="s">
        <v>93</v>
      </c>
      <c r="D1594" s="116">
        <v>0</v>
      </c>
      <c r="E1594" s="135" t="s">
        <v>558</v>
      </c>
      <c r="F1594" s="136" t="str">
        <f t="shared" si="99"/>
        <v/>
      </c>
      <c r="G1594" s="137" t="e">
        <f>IF(A1594&lt;&gt;"",IF(AND(#REF!="Padrão",$H$4=#REF!),BDI!$B$17,IF(AND(#REF!="Padrão",$H$4=#REF!),BDI!#REF!,IF(AND(#REF!="Diferenciado",$H$4=#REF!),BDI!$E$17,IF(AND(#REF!="Diferenciado",$H$4=#REF!),BDI!#REF!,IF(#REF!="ZERO",0))))),"")</f>
        <v>#REF!</v>
      </c>
      <c r="H1594" s="138" t="str">
        <f t="shared" si="100"/>
        <v/>
      </c>
      <c r="I1594" s="136" t="str">
        <f t="shared" si="101"/>
        <v/>
      </c>
    </row>
    <row r="1595" spans="1:9" hidden="1" x14ac:dyDescent="0.25">
      <c r="A1595" s="114" t="s">
        <v>5314</v>
      </c>
      <c r="B1595" s="115" t="s">
        <v>6544</v>
      </c>
      <c r="C1595" s="116" t="s">
        <v>93</v>
      </c>
      <c r="D1595" s="116">
        <v>0</v>
      </c>
      <c r="E1595" s="135" t="s">
        <v>558</v>
      </c>
      <c r="F1595" s="136" t="str">
        <f t="shared" si="99"/>
        <v/>
      </c>
      <c r="G1595" s="137" t="e">
        <f>IF(A1595&lt;&gt;"",IF(AND(#REF!="Padrão",$H$4=#REF!),BDI!$B$17,IF(AND(#REF!="Padrão",$H$4=#REF!),BDI!#REF!,IF(AND(#REF!="Diferenciado",$H$4=#REF!),BDI!$E$17,IF(AND(#REF!="Diferenciado",$H$4=#REF!),BDI!#REF!,IF(#REF!="ZERO",0))))),"")</f>
        <v>#REF!</v>
      </c>
      <c r="H1595" s="138" t="str">
        <f t="shared" si="100"/>
        <v/>
      </c>
      <c r="I1595" s="136" t="str">
        <f t="shared" si="101"/>
        <v/>
      </c>
    </row>
    <row r="1596" spans="1:9" hidden="1" x14ac:dyDescent="0.25">
      <c r="A1596" s="114" t="s">
        <v>5315</v>
      </c>
      <c r="B1596" s="115" t="s">
        <v>6545</v>
      </c>
      <c r="C1596" s="116" t="s">
        <v>93</v>
      </c>
      <c r="D1596" s="116">
        <v>0</v>
      </c>
      <c r="E1596" s="135" t="s">
        <v>558</v>
      </c>
      <c r="F1596" s="136" t="str">
        <f t="shared" si="99"/>
        <v/>
      </c>
      <c r="G1596" s="137" t="e">
        <f>IF(A1596&lt;&gt;"",IF(AND(#REF!="Padrão",$H$4=#REF!),BDI!$B$17,IF(AND(#REF!="Padrão",$H$4=#REF!),BDI!#REF!,IF(AND(#REF!="Diferenciado",$H$4=#REF!),BDI!$E$17,IF(AND(#REF!="Diferenciado",$H$4=#REF!),BDI!#REF!,IF(#REF!="ZERO",0))))),"")</f>
        <v>#REF!</v>
      </c>
      <c r="H1596" s="138" t="str">
        <f t="shared" si="100"/>
        <v/>
      </c>
      <c r="I1596" s="136" t="str">
        <f t="shared" si="101"/>
        <v/>
      </c>
    </row>
    <row r="1597" spans="1:9" hidden="1" x14ac:dyDescent="0.25">
      <c r="A1597" s="114" t="s">
        <v>5316</v>
      </c>
      <c r="B1597" s="115" t="s">
        <v>6546</v>
      </c>
      <c r="C1597" s="116" t="s">
        <v>93</v>
      </c>
      <c r="D1597" s="116">
        <v>0</v>
      </c>
      <c r="E1597" s="135" t="s">
        <v>558</v>
      </c>
      <c r="F1597" s="136" t="str">
        <f t="shared" si="99"/>
        <v/>
      </c>
      <c r="G1597" s="137" t="e">
        <f>IF(A1597&lt;&gt;"",IF(AND(#REF!="Padrão",$H$4=#REF!),BDI!$B$17,IF(AND(#REF!="Padrão",$H$4=#REF!),BDI!#REF!,IF(AND(#REF!="Diferenciado",$H$4=#REF!),BDI!$E$17,IF(AND(#REF!="Diferenciado",$H$4=#REF!),BDI!#REF!,IF(#REF!="ZERO",0))))),"")</f>
        <v>#REF!</v>
      </c>
      <c r="H1597" s="138" t="str">
        <f t="shared" si="100"/>
        <v/>
      </c>
      <c r="I1597" s="136" t="str">
        <f t="shared" si="101"/>
        <v/>
      </c>
    </row>
    <row r="1598" spans="1:9" hidden="1" x14ac:dyDescent="0.25">
      <c r="A1598" s="114" t="s">
        <v>5317</v>
      </c>
      <c r="B1598" s="115" t="s">
        <v>6547</v>
      </c>
      <c r="C1598" s="116" t="s">
        <v>93</v>
      </c>
      <c r="D1598" s="116">
        <v>0</v>
      </c>
      <c r="E1598" s="135" t="s">
        <v>558</v>
      </c>
      <c r="F1598" s="136" t="str">
        <f t="shared" si="99"/>
        <v/>
      </c>
      <c r="G1598" s="137" t="e">
        <f>IF(A1598&lt;&gt;"",IF(AND(#REF!="Padrão",$H$4=#REF!),BDI!$B$17,IF(AND(#REF!="Padrão",$H$4=#REF!),BDI!#REF!,IF(AND(#REF!="Diferenciado",$H$4=#REF!),BDI!$E$17,IF(AND(#REF!="Diferenciado",$H$4=#REF!),BDI!#REF!,IF(#REF!="ZERO",0))))),"")</f>
        <v>#REF!</v>
      </c>
      <c r="H1598" s="138" t="str">
        <f t="shared" si="100"/>
        <v/>
      </c>
      <c r="I1598" s="136" t="str">
        <f t="shared" si="101"/>
        <v/>
      </c>
    </row>
    <row r="1599" spans="1:9" hidden="1" x14ac:dyDescent="0.25">
      <c r="A1599" s="114" t="s">
        <v>5318</v>
      </c>
      <c r="B1599" s="115" t="s">
        <v>6548</v>
      </c>
      <c r="C1599" s="116" t="s">
        <v>93</v>
      </c>
      <c r="D1599" s="116">
        <v>0</v>
      </c>
      <c r="E1599" s="135" t="s">
        <v>558</v>
      </c>
      <c r="F1599" s="136" t="str">
        <f t="shared" si="99"/>
        <v/>
      </c>
      <c r="G1599" s="137" t="e">
        <f>IF(A1599&lt;&gt;"",IF(AND(#REF!="Padrão",$H$4=#REF!),BDI!$B$17,IF(AND(#REF!="Padrão",$H$4=#REF!),BDI!#REF!,IF(AND(#REF!="Diferenciado",$H$4=#REF!),BDI!$E$17,IF(AND(#REF!="Diferenciado",$H$4=#REF!),BDI!#REF!,IF(#REF!="ZERO",0))))),"")</f>
        <v>#REF!</v>
      </c>
      <c r="H1599" s="138" t="str">
        <f t="shared" si="100"/>
        <v/>
      </c>
      <c r="I1599" s="136" t="str">
        <f t="shared" si="101"/>
        <v/>
      </c>
    </row>
    <row r="1600" spans="1:9" hidden="1" x14ac:dyDescent="0.25">
      <c r="A1600" s="114" t="s">
        <v>5319</v>
      </c>
      <c r="B1600" s="115" t="s">
        <v>6549</v>
      </c>
      <c r="C1600" s="116" t="s">
        <v>93</v>
      </c>
      <c r="D1600" s="116">
        <v>0</v>
      </c>
      <c r="E1600" s="135" t="s">
        <v>558</v>
      </c>
      <c r="F1600" s="136" t="str">
        <f t="shared" si="99"/>
        <v/>
      </c>
      <c r="G1600" s="137" t="e">
        <f>IF(A1600&lt;&gt;"",IF(AND(#REF!="Padrão",$H$4=#REF!),BDI!$B$17,IF(AND(#REF!="Padrão",$H$4=#REF!),BDI!#REF!,IF(AND(#REF!="Diferenciado",$H$4=#REF!),BDI!$E$17,IF(AND(#REF!="Diferenciado",$H$4=#REF!),BDI!#REF!,IF(#REF!="ZERO",0))))),"")</f>
        <v>#REF!</v>
      </c>
      <c r="H1600" s="138" t="str">
        <f t="shared" si="100"/>
        <v/>
      </c>
      <c r="I1600" s="136" t="str">
        <f t="shared" si="101"/>
        <v/>
      </c>
    </row>
    <row r="1601" spans="1:9" hidden="1" x14ac:dyDescent="0.25">
      <c r="A1601" s="114" t="s">
        <v>5320</v>
      </c>
      <c r="B1601" s="115" t="s">
        <v>6550</v>
      </c>
      <c r="C1601" s="116" t="s">
        <v>93</v>
      </c>
      <c r="D1601" s="116">
        <v>0</v>
      </c>
      <c r="E1601" s="135" t="s">
        <v>558</v>
      </c>
      <c r="F1601" s="136" t="str">
        <f t="shared" si="99"/>
        <v/>
      </c>
      <c r="G1601" s="137" t="e">
        <f>IF(A1601&lt;&gt;"",IF(AND(#REF!="Padrão",$H$4=#REF!),BDI!$B$17,IF(AND(#REF!="Padrão",$H$4=#REF!),BDI!#REF!,IF(AND(#REF!="Diferenciado",$H$4=#REF!),BDI!$E$17,IF(AND(#REF!="Diferenciado",$H$4=#REF!),BDI!#REF!,IF(#REF!="ZERO",0))))),"")</f>
        <v>#REF!</v>
      </c>
      <c r="H1601" s="138" t="str">
        <f t="shared" si="100"/>
        <v/>
      </c>
      <c r="I1601" s="136" t="str">
        <f t="shared" si="101"/>
        <v/>
      </c>
    </row>
    <row r="1602" spans="1:9" hidden="1" x14ac:dyDescent="0.25">
      <c r="A1602" s="114" t="s">
        <v>5321</v>
      </c>
      <c r="B1602" s="115" t="s">
        <v>6551</v>
      </c>
      <c r="C1602" s="116" t="s">
        <v>93</v>
      </c>
      <c r="D1602" s="116">
        <v>0</v>
      </c>
      <c r="E1602" s="135" t="s">
        <v>558</v>
      </c>
      <c r="F1602" s="136" t="str">
        <f t="shared" si="99"/>
        <v/>
      </c>
      <c r="G1602" s="137" t="e">
        <f>IF(A1602&lt;&gt;"",IF(AND(#REF!="Padrão",$H$4=#REF!),BDI!$B$17,IF(AND(#REF!="Padrão",$H$4=#REF!),BDI!#REF!,IF(AND(#REF!="Diferenciado",$H$4=#REF!),BDI!$E$17,IF(AND(#REF!="Diferenciado",$H$4=#REF!),BDI!#REF!,IF(#REF!="ZERO",0))))),"")</f>
        <v>#REF!</v>
      </c>
      <c r="H1602" s="138" t="str">
        <f t="shared" si="100"/>
        <v/>
      </c>
      <c r="I1602" s="136" t="str">
        <f t="shared" si="101"/>
        <v/>
      </c>
    </row>
    <row r="1603" spans="1:9" hidden="1" x14ac:dyDescent="0.25">
      <c r="A1603" s="114" t="s">
        <v>5322</v>
      </c>
      <c r="B1603" s="115" t="s">
        <v>6552</v>
      </c>
      <c r="C1603" s="116" t="s">
        <v>93</v>
      </c>
      <c r="D1603" s="116">
        <v>0</v>
      </c>
      <c r="E1603" s="135" t="s">
        <v>558</v>
      </c>
      <c r="F1603" s="136" t="str">
        <f t="shared" si="99"/>
        <v/>
      </c>
      <c r="G1603" s="137" t="e">
        <f>IF(A1603&lt;&gt;"",IF(AND(#REF!="Padrão",$H$4=#REF!),BDI!$B$17,IF(AND(#REF!="Padrão",$H$4=#REF!),BDI!#REF!,IF(AND(#REF!="Diferenciado",$H$4=#REF!),BDI!$E$17,IF(AND(#REF!="Diferenciado",$H$4=#REF!),BDI!#REF!,IF(#REF!="ZERO",0))))),"")</f>
        <v>#REF!</v>
      </c>
      <c r="H1603" s="138" t="str">
        <f t="shared" si="100"/>
        <v/>
      </c>
      <c r="I1603" s="136" t="str">
        <f t="shared" si="101"/>
        <v/>
      </c>
    </row>
    <row r="1604" spans="1:9" hidden="1" x14ac:dyDescent="0.25">
      <c r="A1604" s="114" t="s">
        <v>5323</v>
      </c>
      <c r="B1604" s="115" t="s">
        <v>4123</v>
      </c>
      <c r="C1604" s="116" t="s">
        <v>93</v>
      </c>
      <c r="D1604" s="116">
        <v>0</v>
      </c>
      <c r="E1604" s="135">
        <f ca="1">OFFSET(INDEX(Composições!A:J,MATCH(Orçamentária!A1604,Composições!A:A,0),8),2,0)</f>
        <v>11.969999999999999</v>
      </c>
      <c r="F1604" s="136">
        <f t="shared" ca="1" si="99"/>
        <v>0</v>
      </c>
      <c r="G1604" s="137" t="e">
        <f>IF(A1604&lt;&gt;"",IF(AND(#REF!="Padrão",$H$4=#REF!),BDI!$B$17,IF(AND(#REF!="Padrão",$H$4=#REF!),BDI!#REF!,IF(AND(#REF!="Diferenciado",$H$4=#REF!),BDI!$E$17,IF(AND(#REF!="Diferenciado",$H$4=#REF!),BDI!#REF!,IF(#REF!="ZERO",0))))),"")</f>
        <v>#REF!</v>
      </c>
      <c r="H1604" s="138" t="e">
        <f t="shared" ca="1" si="100"/>
        <v>#REF!</v>
      </c>
      <c r="I1604" s="136" t="e">
        <f t="shared" ca="1" si="101"/>
        <v>#REF!</v>
      </c>
    </row>
    <row r="1605" spans="1:9" hidden="1" x14ac:dyDescent="0.25">
      <c r="A1605" s="114" t="s">
        <v>5324</v>
      </c>
      <c r="B1605" s="115" t="s">
        <v>4124</v>
      </c>
      <c r="C1605" s="116" t="s">
        <v>93</v>
      </c>
      <c r="D1605" s="116">
        <v>0</v>
      </c>
      <c r="E1605" s="135">
        <f ca="1">OFFSET(INDEX(Composições!A:J,MATCH(Orçamentária!A1605,Composições!A:A,0),8),2,0)</f>
        <v>18.486999999999998</v>
      </c>
      <c r="F1605" s="136">
        <f t="shared" ca="1" si="99"/>
        <v>0</v>
      </c>
      <c r="G1605" s="137" t="e">
        <f>IF(A1605&lt;&gt;"",IF(AND(#REF!="Padrão",$H$4=#REF!),BDI!$B$17,IF(AND(#REF!="Padrão",$H$4=#REF!),BDI!#REF!,IF(AND(#REF!="Diferenciado",$H$4=#REF!),BDI!$E$17,IF(AND(#REF!="Diferenciado",$H$4=#REF!),BDI!#REF!,IF(#REF!="ZERO",0))))),"")</f>
        <v>#REF!</v>
      </c>
      <c r="H1605" s="138" t="e">
        <f t="shared" ca="1" si="100"/>
        <v>#REF!</v>
      </c>
      <c r="I1605" s="136" t="e">
        <f t="shared" ca="1" si="101"/>
        <v>#REF!</v>
      </c>
    </row>
    <row r="1606" spans="1:9" hidden="1" x14ac:dyDescent="0.25">
      <c r="A1606" s="114" t="s">
        <v>5325</v>
      </c>
      <c r="B1606" s="115" t="s">
        <v>4125</v>
      </c>
      <c r="C1606" s="116" t="s">
        <v>93</v>
      </c>
      <c r="D1606" s="116">
        <v>0</v>
      </c>
      <c r="E1606" s="135">
        <f ca="1">OFFSET(INDEX(Composições!A:J,MATCH(Orçamentária!A1606,Composições!A:A,0),8),2,0)</f>
        <v>25.535999999999998</v>
      </c>
      <c r="F1606" s="136">
        <f t="shared" ca="1" si="99"/>
        <v>0</v>
      </c>
      <c r="G1606" s="137" t="e">
        <f>IF(A1606&lt;&gt;"",IF(AND(#REF!="Padrão",$H$4=#REF!),BDI!$B$17,IF(AND(#REF!="Padrão",$H$4=#REF!),BDI!#REF!,IF(AND(#REF!="Diferenciado",$H$4=#REF!),BDI!$E$17,IF(AND(#REF!="Diferenciado",$H$4=#REF!),BDI!#REF!,IF(#REF!="ZERO",0))))),"")</f>
        <v>#REF!</v>
      </c>
      <c r="H1606" s="138" t="e">
        <f t="shared" ca="1" si="100"/>
        <v>#REF!</v>
      </c>
      <c r="I1606" s="136" t="e">
        <f t="shared" ca="1" si="101"/>
        <v>#REF!</v>
      </c>
    </row>
    <row r="1607" spans="1:9" hidden="1" x14ac:dyDescent="0.25">
      <c r="A1607" s="114" t="s">
        <v>5326</v>
      </c>
      <c r="B1607" s="115" t="s">
        <v>4126</v>
      </c>
      <c r="C1607" s="116" t="s">
        <v>93</v>
      </c>
      <c r="D1607" s="116">
        <v>0</v>
      </c>
      <c r="E1607" s="135">
        <f ca="1">OFFSET(INDEX(Composições!A:J,MATCH(Orçamentária!A1607,Composições!A:A,0),8),2,0)</f>
        <v>35.567999999999998</v>
      </c>
      <c r="F1607" s="136">
        <f t="shared" ca="1" si="99"/>
        <v>0</v>
      </c>
      <c r="G1607" s="137" t="e">
        <f>IF(A1607&lt;&gt;"",IF(AND(#REF!="Padrão",$H$4=#REF!),BDI!$B$17,IF(AND(#REF!="Padrão",$H$4=#REF!),BDI!#REF!,IF(AND(#REF!="Diferenciado",$H$4=#REF!),BDI!$E$17,IF(AND(#REF!="Diferenciado",$H$4=#REF!),BDI!#REF!,IF(#REF!="ZERO",0))))),"")</f>
        <v>#REF!</v>
      </c>
      <c r="H1607" s="138" t="e">
        <f t="shared" ca="1" si="100"/>
        <v>#REF!</v>
      </c>
      <c r="I1607" s="136" t="e">
        <f t="shared" ca="1" si="101"/>
        <v>#REF!</v>
      </c>
    </row>
    <row r="1608" spans="1:9" hidden="1" x14ac:dyDescent="0.25">
      <c r="A1608" s="114" t="s">
        <v>5327</v>
      </c>
      <c r="B1608" s="115" t="s">
        <v>4127</v>
      </c>
      <c r="C1608" s="116" t="s">
        <v>93</v>
      </c>
      <c r="D1608" s="116">
        <v>0</v>
      </c>
      <c r="E1608" s="135">
        <f ca="1">OFFSET(INDEX(Composições!A:J,MATCH(Orçamentária!A1608,Composições!A:A,0),8),2,0)</f>
        <v>50.112499999999997</v>
      </c>
      <c r="F1608" s="136">
        <f t="shared" ca="1" si="99"/>
        <v>0</v>
      </c>
      <c r="G1608" s="137" t="e">
        <f>IF(A1608&lt;&gt;"",IF(AND(#REF!="Padrão",$H$4=#REF!),BDI!$B$17,IF(AND(#REF!="Padrão",$H$4=#REF!),BDI!#REF!,IF(AND(#REF!="Diferenciado",$H$4=#REF!),BDI!$E$17,IF(AND(#REF!="Diferenciado",$H$4=#REF!),BDI!#REF!,IF(#REF!="ZERO",0))))),"")</f>
        <v>#REF!</v>
      </c>
      <c r="H1608" s="138" t="e">
        <f t="shared" ca="1" si="100"/>
        <v>#REF!</v>
      </c>
      <c r="I1608" s="136" t="e">
        <f t="shared" ca="1" si="101"/>
        <v>#REF!</v>
      </c>
    </row>
    <row r="1609" spans="1:9" hidden="1" x14ac:dyDescent="0.25">
      <c r="A1609" s="114" t="s">
        <v>5328</v>
      </c>
      <c r="B1609" s="115" t="s">
        <v>4128</v>
      </c>
      <c r="C1609" s="116" t="s">
        <v>93</v>
      </c>
      <c r="D1609" s="116">
        <v>0</v>
      </c>
      <c r="E1609" s="135" t="s">
        <v>558</v>
      </c>
      <c r="F1609" s="136" t="str">
        <f t="shared" si="99"/>
        <v/>
      </c>
      <c r="G1609" s="137" t="e">
        <f>IF(A1609&lt;&gt;"",IF(AND(#REF!="Padrão",$H$4=#REF!),BDI!$B$17,IF(AND(#REF!="Padrão",$H$4=#REF!),BDI!#REF!,IF(AND(#REF!="Diferenciado",$H$4=#REF!),BDI!$E$17,IF(AND(#REF!="Diferenciado",$H$4=#REF!),BDI!#REF!,IF(#REF!="ZERO",0))))),"")</f>
        <v>#REF!</v>
      </c>
      <c r="H1609" s="138" t="str">
        <f t="shared" si="100"/>
        <v/>
      </c>
      <c r="I1609" s="136" t="str">
        <f t="shared" si="101"/>
        <v/>
      </c>
    </row>
    <row r="1610" spans="1:9" hidden="1" x14ac:dyDescent="0.25">
      <c r="A1610" s="114" t="s">
        <v>5329</v>
      </c>
      <c r="B1610" s="115" t="s">
        <v>4129</v>
      </c>
      <c r="C1610" s="116" t="s">
        <v>93</v>
      </c>
      <c r="D1610" s="116">
        <v>0</v>
      </c>
      <c r="E1610" s="135" t="s">
        <v>558</v>
      </c>
      <c r="F1610" s="136" t="str">
        <f t="shared" si="99"/>
        <v/>
      </c>
      <c r="G1610" s="137" t="e">
        <f>IF(A1610&lt;&gt;"",IF(AND(#REF!="Padrão",$H$4=#REF!),BDI!$B$17,IF(AND(#REF!="Padrão",$H$4=#REF!),BDI!#REF!,IF(AND(#REF!="Diferenciado",$H$4=#REF!),BDI!$E$17,IF(AND(#REF!="Diferenciado",$H$4=#REF!),BDI!#REF!,IF(#REF!="ZERO",0))))),"")</f>
        <v>#REF!</v>
      </c>
      <c r="H1610" s="138" t="str">
        <f t="shared" si="100"/>
        <v/>
      </c>
      <c r="I1610" s="136" t="str">
        <f t="shared" si="101"/>
        <v/>
      </c>
    </row>
    <row r="1611" spans="1:9" hidden="1" x14ac:dyDescent="0.25">
      <c r="A1611" s="114" t="s">
        <v>5330</v>
      </c>
      <c r="B1611" s="115" t="s">
        <v>4130</v>
      </c>
      <c r="C1611" s="116" t="s">
        <v>93</v>
      </c>
      <c r="D1611" s="116">
        <v>0</v>
      </c>
      <c r="E1611" s="135" t="s">
        <v>558</v>
      </c>
      <c r="F1611" s="136" t="str">
        <f t="shared" si="99"/>
        <v/>
      </c>
      <c r="G1611" s="137" t="e">
        <f>IF(A1611&lt;&gt;"",IF(AND(#REF!="Padrão",$H$4=#REF!),BDI!$B$17,IF(AND(#REF!="Padrão",$H$4=#REF!),BDI!#REF!,IF(AND(#REF!="Diferenciado",$H$4=#REF!),BDI!$E$17,IF(AND(#REF!="Diferenciado",$H$4=#REF!),BDI!#REF!,IF(#REF!="ZERO",0))))),"")</f>
        <v>#REF!</v>
      </c>
      <c r="H1611" s="138" t="str">
        <f t="shared" si="100"/>
        <v/>
      </c>
      <c r="I1611" s="136" t="str">
        <f t="shared" si="101"/>
        <v/>
      </c>
    </row>
    <row r="1612" spans="1:9" hidden="1" x14ac:dyDescent="0.25">
      <c r="A1612" s="114" t="s">
        <v>5331</v>
      </c>
      <c r="B1612" s="115" t="s">
        <v>4131</v>
      </c>
      <c r="C1612" s="116" t="s">
        <v>93</v>
      </c>
      <c r="D1612" s="116">
        <v>0</v>
      </c>
      <c r="E1612" s="135" t="s">
        <v>558</v>
      </c>
      <c r="F1612" s="136" t="str">
        <f t="shared" si="99"/>
        <v/>
      </c>
      <c r="G1612" s="137" t="e">
        <f>IF(A1612&lt;&gt;"",IF(AND(#REF!="Padrão",$H$4=#REF!),BDI!$B$17,IF(AND(#REF!="Padrão",$H$4=#REF!),BDI!#REF!,IF(AND(#REF!="Diferenciado",$H$4=#REF!),BDI!$E$17,IF(AND(#REF!="Diferenciado",$H$4=#REF!),BDI!#REF!,IF(#REF!="ZERO",0))))),"")</f>
        <v>#REF!</v>
      </c>
      <c r="H1612" s="138" t="str">
        <f t="shared" si="100"/>
        <v/>
      </c>
      <c r="I1612" s="136" t="str">
        <f t="shared" si="101"/>
        <v/>
      </c>
    </row>
    <row r="1613" spans="1:9" hidden="1" x14ac:dyDescent="0.25">
      <c r="A1613" s="114" t="s">
        <v>5332</v>
      </c>
      <c r="B1613" s="115" t="s">
        <v>4132</v>
      </c>
      <c r="C1613" s="116" t="s">
        <v>93</v>
      </c>
      <c r="D1613" s="116">
        <v>0</v>
      </c>
      <c r="E1613" s="135" t="s">
        <v>558</v>
      </c>
      <c r="F1613" s="136" t="str">
        <f t="shared" si="99"/>
        <v/>
      </c>
      <c r="G1613" s="137" t="e">
        <f>IF(A1613&lt;&gt;"",IF(AND(#REF!="Padrão",$H$4=#REF!),BDI!$B$17,IF(AND(#REF!="Padrão",$H$4=#REF!),BDI!#REF!,IF(AND(#REF!="Diferenciado",$H$4=#REF!),BDI!$E$17,IF(AND(#REF!="Diferenciado",$H$4=#REF!),BDI!#REF!,IF(#REF!="ZERO",0))))),"")</f>
        <v>#REF!</v>
      </c>
      <c r="H1613" s="138" t="str">
        <f t="shared" si="100"/>
        <v/>
      </c>
      <c r="I1613" s="136" t="str">
        <f t="shared" si="101"/>
        <v/>
      </c>
    </row>
    <row r="1614" spans="1:9" hidden="1" x14ac:dyDescent="0.25">
      <c r="A1614" s="114" t="s">
        <v>5333</v>
      </c>
      <c r="B1614" s="115" t="s">
        <v>4133</v>
      </c>
      <c r="C1614" s="116" t="s">
        <v>93</v>
      </c>
      <c r="D1614" s="116">
        <v>0</v>
      </c>
      <c r="E1614" s="135" t="s">
        <v>558</v>
      </c>
      <c r="F1614" s="136" t="str">
        <f t="shared" si="99"/>
        <v/>
      </c>
      <c r="G1614" s="137" t="e">
        <f>IF(A1614&lt;&gt;"",IF(AND(#REF!="Padrão",$H$4=#REF!),BDI!$B$17,IF(AND(#REF!="Padrão",$H$4=#REF!),BDI!#REF!,IF(AND(#REF!="Diferenciado",$H$4=#REF!),BDI!$E$17,IF(AND(#REF!="Diferenciado",$H$4=#REF!),BDI!#REF!,IF(#REF!="ZERO",0))))),"")</f>
        <v>#REF!</v>
      </c>
      <c r="H1614" s="138" t="str">
        <f t="shared" si="100"/>
        <v/>
      </c>
      <c r="I1614" s="136" t="str">
        <f t="shared" si="101"/>
        <v/>
      </c>
    </row>
    <row r="1615" spans="1:9" hidden="1" x14ac:dyDescent="0.25">
      <c r="A1615" s="114" t="s">
        <v>5334</v>
      </c>
      <c r="B1615" s="115" t="s">
        <v>4134</v>
      </c>
      <c r="C1615" s="116" t="s">
        <v>93</v>
      </c>
      <c r="D1615" s="116">
        <v>0</v>
      </c>
      <c r="E1615" s="135" t="s">
        <v>558</v>
      </c>
      <c r="F1615" s="136" t="str">
        <f t="shared" si="99"/>
        <v/>
      </c>
      <c r="G1615" s="137" t="e">
        <f>IF(A1615&lt;&gt;"",IF(AND(#REF!="Padrão",$H$4=#REF!),BDI!$B$17,IF(AND(#REF!="Padrão",$H$4=#REF!),BDI!#REF!,IF(AND(#REF!="Diferenciado",$H$4=#REF!),BDI!$E$17,IF(AND(#REF!="Diferenciado",$H$4=#REF!),BDI!#REF!,IF(#REF!="ZERO",0))))),"")</f>
        <v>#REF!</v>
      </c>
      <c r="H1615" s="138" t="str">
        <f t="shared" si="100"/>
        <v/>
      </c>
      <c r="I1615" s="136" t="str">
        <f t="shared" si="101"/>
        <v/>
      </c>
    </row>
    <row r="1616" spans="1:9" hidden="1" x14ac:dyDescent="0.25">
      <c r="A1616" s="114" t="s">
        <v>5335</v>
      </c>
      <c r="B1616" s="115" t="s">
        <v>4135</v>
      </c>
      <c r="C1616" s="116" t="s">
        <v>93</v>
      </c>
      <c r="D1616" s="116">
        <v>0</v>
      </c>
      <c r="E1616" s="135" t="s">
        <v>558</v>
      </c>
      <c r="F1616" s="136" t="str">
        <f t="shared" si="99"/>
        <v/>
      </c>
      <c r="G1616" s="137" t="e">
        <f>IF(A1616&lt;&gt;"",IF(AND(#REF!="Padrão",$H$4=#REF!),BDI!$B$17,IF(AND(#REF!="Padrão",$H$4=#REF!),BDI!#REF!,IF(AND(#REF!="Diferenciado",$H$4=#REF!),BDI!$E$17,IF(AND(#REF!="Diferenciado",$H$4=#REF!),BDI!#REF!,IF(#REF!="ZERO",0))))),"")</f>
        <v>#REF!</v>
      </c>
      <c r="H1616" s="138" t="str">
        <f t="shared" si="100"/>
        <v/>
      </c>
      <c r="I1616" s="136" t="str">
        <f t="shared" si="101"/>
        <v/>
      </c>
    </row>
    <row r="1617" spans="1:9" hidden="1" x14ac:dyDescent="0.25">
      <c r="A1617" s="114" t="s">
        <v>5336</v>
      </c>
      <c r="B1617" s="115" t="s">
        <v>4136</v>
      </c>
      <c r="C1617" s="116" t="s">
        <v>93</v>
      </c>
      <c r="D1617" s="116">
        <v>0</v>
      </c>
      <c r="E1617" s="135" t="s">
        <v>558</v>
      </c>
      <c r="F1617" s="136" t="str">
        <f t="shared" si="99"/>
        <v/>
      </c>
      <c r="G1617" s="137" t="e">
        <f>IF(A1617&lt;&gt;"",IF(AND(#REF!="Padrão",$H$4=#REF!),BDI!$B$17,IF(AND(#REF!="Padrão",$H$4=#REF!),BDI!#REF!,IF(AND(#REF!="Diferenciado",$H$4=#REF!),BDI!$E$17,IF(AND(#REF!="Diferenciado",$H$4=#REF!),BDI!#REF!,IF(#REF!="ZERO",0))))),"")</f>
        <v>#REF!</v>
      </c>
      <c r="H1617" s="138" t="str">
        <f t="shared" si="100"/>
        <v/>
      </c>
      <c r="I1617" s="136" t="str">
        <f t="shared" si="101"/>
        <v/>
      </c>
    </row>
    <row r="1618" spans="1:9" hidden="1" x14ac:dyDescent="0.25">
      <c r="A1618" s="114" t="s">
        <v>5337</v>
      </c>
      <c r="B1618" s="115" t="s">
        <v>4137</v>
      </c>
      <c r="C1618" s="116" t="s">
        <v>93</v>
      </c>
      <c r="D1618" s="116">
        <v>0</v>
      </c>
      <c r="E1618" s="135" t="s">
        <v>558</v>
      </c>
      <c r="F1618" s="136" t="str">
        <f t="shared" si="99"/>
        <v/>
      </c>
      <c r="G1618" s="137" t="e">
        <f>IF(A1618&lt;&gt;"",IF(AND(#REF!="Padrão",$H$4=#REF!),BDI!$B$17,IF(AND(#REF!="Padrão",$H$4=#REF!),BDI!#REF!,IF(AND(#REF!="Diferenciado",$H$4=#REF!),BDI!$E$17,IF(AND(#REF!="Diferenciado",$H$4=#REF!),BDI!#REF!,IF(#REF!="ZERO",0))))),"")</f>
        <v>#REF!</v>
      </c>
      <c r="H1618" s="138" t="str">
        <f t="shared" si="100"/>
        <v/>
      </c>
      <c r="I1618" s="136" t="str">
        <f t="shared" si="101"/>
        <v/>
      </c>
    </row>
    <row r="1619" spans="1:9" hidden="1" x14ac:dyDescent="0.25">
      <c r="A1619" s="114" t="s">
        <v>5338</v>
      </c>
      <c r="B1619" s="115" t="s">
        <v>4138</v>
      </c>
      <c r="C1619" s="116" t="s">
        <v>93</v>
      </c>
      <c r="D1619" s="116">
        <v>0</v>
      </c>
      <c r="E1619" s="135" t="s">
        <v>558</v>
      </c>
      <c r="F1619" s="136" t="str">
        <f t="shared" si="99"/>
        <v/>
      </c>
      <c r="G1619" s="137" t="e">
        <f>IF(A1619&lt;&gt;"",IF(AND(#REF!="Padrão",$H$4=#REF!),BDI!$B$17,IF(AND(#REF!="Padrão",$H$4=#REF!),BDI!#REF!,IF(AND(#REF!="Diferenciado",$H$4=#REF!),BDI!$E$17,IF(AND(#REF!="Diferenciado",$H$4=#REF!),BDI!#REF!,IF(#REF!="ZERO",0))))),"")</f>
        <v>#REF!</v>
      </c>
      <c r="H1619" s="138" t="str">
        <f t="shared" si="100"/>
        <v/>
      </c>
      <c r="I1619" s="136" t="str">
        <f t="shared" si="101"/>
        <v/>
      </c>
    </row>
    <row r="1620" spans="1:9" hidden="1" x14ac:dyDescent="0.25">
      <c r="A1620" s="114" t="s">
        <v>5339</v>
      </c>
      <c r="B1620" s="115" t="s">
        <v>4139</v>
      </c>
      <c r="C1620" s="116" t="s">
        <v>93</v>
      </c>
      <c r="D1620" s="116">
        <v>0</v>
      </c>
      <c r="E1620" s="135" t="s">
        <v>558</v>
      </c>
      <c r="F1620" s="136" t="str">
        <f t="shared" si="99"/>
        <v/>
      </c>
      <c r="G1620" s="137" t="e">
        <f>IF(A1620&lt;&gt;"",IF(AND(#REF!="Padrão",$H$4=#REF!),BDI!$B$17,IF(AND(#REF!="Padrão",$H$4=#REF!),BDI!#REF!,IF(AND(#REF!="Diferenciado",$H$4=#REF!),BDI!$E$17,IF(AND(#REF!="Diferenciado",$H$4=#REF!),BDI!#REF!,IF(#REF!="ZERO",0))))),"")</f>
        <v>#REF!</v>
      </c>
      <c r="H1620" s="138" t="str">
        <f t="shared" si="100"/>
        <v/>
      </c>
      <c r="I1620" s="136" t="str">
        <f t="shared" si="101"/>
        <v/>
      </c>
    </row>
    <row r="1621" spans="1:9" hidden="1" x14ac:dyDescent="0.25">
      <c r="A1621" s="114" t="s">
        <v>5340</v>
      </c>
      <c r="B1621" s="115" t="s">
        <v>4140</v>
      </c>
      <c r="C1621" s="116" t="s">
        <v>93</v>
      </c>
      <c r="D1621" s="116">
        <v>0</v>
      </c>
      <c r="E1621" s="135" t="s">
        <v>558</v>
      </c>
      <c r="F1621" s="136" t="str">
        <f t="shared" si="99"/>
        <v/>
      </c>
      <c r="G1621" s="137" t="e">
        <f>IF(A1621&lt;&gt;"",IF(AND(#REF!="Padrão",$H$4=#REF!),BDI!$B$17,IF(AND(#REF!="Padrão",$H$4=#REF!),BDI!#REF!,IF(AND(#REF!="Diferenciado",$H$4=#REF!),BDI!$E$17,IF(AND(#REF!="Diferenciado",$H$4=#REF!),BDI!#REF!,IF(#REF!="ZERO",0))))),"")</f>
        <v>#REF!</v>
      </c>
      <c r="H1621" s="138" t="str">
        <f t="shared" si="100"/>
        <v/>
      </c>
      <c r="I1621" s="136" t="str">
        <f t="shared" si="101"/>
        <v/>
      </c>
    </row>
    <row r="1622" spans="1:9" hidden="1" x14ac:dyDescent="0.25">
      <c r="A1622" s="114" t="s">
        <v>5341</v>
      </c>
      <c r="B1622" s="115" t="s">
        <v>4141</v>
      </c>
      <c r="C1622" s="116" t="s">
        <v>93</v>
      </c>
      <c r="D1622" s="116">
        <v>0</v>
      </c>
      <c r="E1622" s="135" t="s">
        <v>558</v>
      </c>
      <c r="F1622" s="136" t="str">
        <f t="shared" si="99"/>
        <v/>
      </c>
      <c r="G1622" s="137" t="e">
        <f>IF(A1622&lt;&gt;"",IF(AND(#REF!="Padrão",$H$4=#REF!),BDI!$B$17,IF(AND(#REF!="Padrão",$H$4=#REF!),BDI!#REF!,IF(AND(#REF!="Diferenciado",$H$4=#REF!),BDI!$E$17,IF(AND(#REF!="Diferenciado",$H$4=#REF!),BDI!#REF!,IF(#REF!="ZERO",0))))),"")</f>
        <v>#REF!</v>
      </c>
      <c r="H1622" s="138" t="str">
        <f t="shared" si="100"/>
        <v/>
      </c>
      <c r="I1622" s="136" t="str">
        <f t="shared" si="101"/>
        <v/>
      </c>
    </row>
    <row r="1623" spans="1:9" hidden="1" x14ac:dyDescent="0.25">
      <c r="A1623" s="114" t="s">
        <v>5342</v>
      </c>
      <c r="B1623" s="115" t="s">
        <v>4142</v>
      </c>
      <c r="C1623" s="116" t="s">
        <v>93</v>
      </c>
      <c r="D1623" s="116">
        <v>0</v>
      </c>
      <c r="E1623" s="135" t="s">
        <v>558</v>
      </c>
      <c r="F1623" s="136" t="str">
        <f t="shared" si="99"/>
        <v/>
      </c>
      <c r="G1623" s="137" t="e">
        <f>IF(A1623&lt;&gt;"",IF(AND(#REF!="Padrão",$H$4=#REF!),BDI!$B$17,IF(AND(#REF!="Padrão",$H$4=#REF!),BDI!#REF!,IF(AND(#REF!="Diferenciado",$H$4=#REF!),BDI!$E$17,IF(AND(#REF!="Diferenciado",$H$4=#REF!),BDI!#REF!,IF(#REF!="ZERO",0))))),"")</f>
        <v>#REF!</v>
      </c>
      <c r="H1623" s="138" t="str">
        <f t="shared" si="100"/>
        <v/>
      </c>
      <c r="I1623" s="136" t="str">
        <f t="shared" si="101"/>
        <v/>
      </c>
    </row>
    <row r="1624" spans="1:9" hidden="1" x14ac:dyDescent="0.25">
      <c r="A1624" s="114" t="s">
        <v>5343</v>
      </c>
      <c r="B1624" s="115" t="s">
        <v>4143</v>
      </c>
      <c r="C1624" s="116" t="s">
        <v>93</v>
      </c>
      <c r="D1624" s="116">
        <v>0</v>
      </c>
      <c r="E1624" s="135" t="s">
        <v>558</v>
      </c>
      <c r="F1624" s="136" t="str">
        <f t="shared" si="99"/>
        <v/>
      </c>
      <c r="G1624" s="137" t="e">
        <f>IF(A1624&lt;&gt;"",IF(AND(#REF!="Padrão",$H$4=#REF!),BDI!$B$17,IF(AND(#REF!="Padrão",$H$4=#REF!),BDI!#REF!,IF(AND(#REF!="Diferenciado",$H$4=#REF!),BDI!$E$17,IF(AND(#REF!="Diferenciado",$H$4=#REF!),BDI!#REF!,IF(#REF!="ZERO",0))))),"")</f>
        <v>#REF!</v>
      </c>
      <c r="H1624" s="138" t="str">
        <f t="shared" si="100"/>
        <v/>
      </c>
      <c r="I1624" s="136" t="str">
        <f t="shared" si="101"/>
        <v/>
      </c>
    </row>
    <row r="1625" spans="1:9" hidden="1" x14ac:dyDescent="0.25">
      <c r="A1625" s="114" t="s">
        <v>5344</v>
      </c>
      <c r="B1625" s="115" t="s">
        <v>4144</v>
      </c>
      <c r="C1625" s="116" t="s">
        <v>93</v>
      </c>
      <c r="D1625" s="116">
        <v>0</v>
      </c>
      <c r="E1625" s="135" t="s">
        <v>558</v>
      </c>
      <c r="F1625" s="136" t="str">
        <f t="shared" si="99"/>
        <v/>
      </c>
      <c r="G1625" s="137" t="e">
        <f>IF(A1625&lt;&gt;"",IF(AND(#REF!="Padrão",$H$4=#REF!),BDI!$B$17,IF(AND(#REF!="Padrão",$H$4=#REF!),BDI!#REF!,IF(AND(#REF!="Diferenciado",$H$4=#REF!),BDI!$E$17,IF(AND(#REF!="Diferenciado",$H$4=#REF!),BDI!#REF!,IF(#REF!="ZERO",0))))),"")</f>
        <v>#REF!</v>
      </c>
      <c r="H1625" s="138" t="str">
        <f t="shared" si="100"/>
        <v/>
      </c>
      <c r="I1625" s="136" t="str">
        <f t="shared" si="101"/>
        <v/>
      </c>
    </row>
    <row r="1626" spans="1:9" hidden="1" x14ac:dyDescent="0.25">
      <c r="A1626" s="114" t="s">
        <v>5345</v>
      </c>
      <c r="B1626" s="115" t="s">
        <v>4145</v>
      </c>
      <c r="C1626" s="116" t="s">
        <v>93</v>
      </c>
      <c r="D1626" s="116">
        <v>0</v>
      </c>
      <c r="E1626" s="135" t="s">
        <v>558</v>
      </c>
      <c r="F1626" s="136" t="str">
        <f t="shared" si="99"/>
        <v/>
      </c>
      <c r="G1626" s="137" t="e">
        <f>IF(A1626&lt;&gt;"",IF(AND(#REF!="Padrão",$H$4=#REF!),BDI!$B$17,IF(AND(#REF!="Padrão",$H$4=#REF!),BDI!#REF!,IF(AND(#REF!="Diferenciado",$H$4=#REF!),BDI!$E$17,IF(AND(#REF!="Diferenciado",$H$4=#REF!),BDI!#REF!,IF(#REF!="ZERO",0))))),"")</f>
        <v>#REF!</v>
      </c>
      <c r="H1626" s="138" t="str">
        <f t="shared" si="100"/>
        <v/>
      </c>
      <c r="I1626" s="136" t="str">
        <f t="shared" si="101"/>
        <v/>
      </c>
    </row>
    <row r="1627" spans="1:9" hidden="1" x14ac:dyDescent="0.25">
      <c r="A1627" s="114" t="s">
        <v>5346</v>
      </c>
      <c r="B1627" s="115" t="s">
        <v>4146</v>
      </c>
      <c r="C1627" s="116" t="s">
        <v>93</v>
      </c>
      <c r="D1627" s="116">
        <v>0</v>
      </c>
      <c r="E1627" s="135" t="s">
        <v>558</v>
      </c>
      <c r="F1627" s="136" t="str">
        <f t="shared" si="99"/>
        <v/>
      </c>
      <c r="G1627" s="137" t="e">
        <f>IF(A1627&lt;&gt;"",IF(AND(#REF!="Padrão",$H$4=#REF!),BDI!$B$17,IF(AND(#REF!="Padrão",$H$4=#REF!),BDI!#REF!,IF(AND(#REF!="Diferenciado",$H$4=#REF!),BDI!$E$17,IF(AND(#REF!="Diferenciado",$H$4=#REF!),BDI!#REF!,IF(#REF!="ZERO",0))))),"")</f>
        <v>#REF!</v>
      </c>
      <c r="H1627" s="138" t="str">
        <f t="shared" si="100"/>
        <v/>
      </c>
      <c r="I1627" s="136" t="str">
        <f t="shared" si="101"/>
        <v/>
      </c>
    </row>
    <row r="1628" spans="1:9" hidden="1" x14ac:dyDescent="0.25">
      <c r="A1628" s="114" t="s">
        <v>5347</v>
      </c>
      <c r="B1628" s="115" t="s">
        <v>4147</v>
      </c>
      <c r="C1628" s="116" t="s">
        <v>93</v>
      </c>
      <c r="D1628" s="116">
        <v>0</v>
      </c>
      <c r="E1628" s="135" t="s">
        <v>558</v>
      </c>
      <c r="F1628" s="136" t="str">
        <f t="shared" si="99"/>
        <v/>
      </c>
      <c r="G1628" s="137" t="e">
        <f>IF(A1628&lt;&gt;"",IF(AND(#REF!="Padrão",$H$4=#REF!),BDI!$B$17,IF(AND(#REF!="Padrão",$H$4=#REF!),BDI!#REF!,IF(AND(#REF!="Diferenciado",$H$4=#REF!),BDI!$E$17,IF(AND(#REF!="Diferenciado",$H$4=#REF!),BDI!#REF!,IF(#REF!="ZERO",0))))),"")</f>
        <v>#REF!</v>
      </c>
      <c r="H1628" s="138" t="str">
        <f t="shared" si="100"/>
        <v/>
      </c>
      <c r="I1628" s="136" t="str">
        <f t="shared" si="101"/>
        <v/>
      </c>
    </row>
    <row r="1629" spans="1:9" hidden="1" x14ac:dyDescent="0.25">
      <c r="A1629" s="114" t="s">
        <v>5348</v>
      </c>
      <c r="B1629" s="115" t="s">
        <v>4148</v>
      </c>
      <c r="C1629" s="116" t="s">
        <v>93</v>
      </c>
      <c r="D1629" s="116">
        <v>0</v>
      </c>
      <c r="E1629" s="135" t="s">
        <v>558</v>
      </c>
      <c r="F1629" s="136" t="str">
        <f t="shared" si="99"/>
        <v/>
      </c>
      <c r="G1629" s="137" t="e">
        <f>IF(A1629&lt;&gt;"",IF(AND(#REF!="Padrão",$H$4=#REF!),BDI!$B$17,IF(AND(#REF!="Padrão",$H$4=#REF!),BDI!#REF!,IF(AND(#REF!="Diferenciado",$H$4=#REF!),BDI!$E$17,IF(AND(#REF!="Diferenciado",$H$4=#REF!),BDI!#REF!,IF(#REF!="ZERO",0))))),"")</f>
        <v>#REF!</v>
      </c>
      <c r="H1629" s="138" t="str">
        <f t="shared" si="100"/>
        <v/>
      </c>
      <c r="I1629" s="136" t="str">
        <f t="shared" si="101"/>
        <v/>
      </c>
    </row>
    <row r="1630" spans="1:9" hidden="1" x14ac:dyDescent="0.25">
      <c r="A1630" s="114" t="s">
        <v>5349</v>
      </c>
      <c r="B1630" s="115" t="s">
        <v>4149</v>
      </c>
      <c r="C1630" s="116" t="s">
        <v>20</v>
      </c>
      <c r="D1630" s="116">
        <v>0</v>
      </c>
      <c r="E1630" s="135" t="s">
        <v>558</v>
      </c>
      <c r="F1630" s="136" t="str">
        <f t="shared" si="99"/>
        <v/>
      </c>
      <c r="G1630" s="137" t="e">
        <f>IF(A1630&lt;&gt;"",IF(AND(#REF!="Padrão",$H$4=#REF!),BDI!$B$17,IF(AND(#REF!="Padrão",$H$4=#REF!),BDI!#REF!,IF(AND(#REF!="Diferenciado",$H$4=#REF!),BDI!$E$17,IF(AND(#REF!="Diferenciado",$H$4=#REF!),BDI!#REF!,IF(#REF!="ZERO",0))))),"")</f>
        <v>#REF!</v>
      </c>
      <c r="H1630" s="138" t="str">
        <f t="shared" si="100"/>
        <v/>
      </c>
      <c r="I1630" s="136" t="str">
        <f t="shared" si="101"/>
        <v/>
      </c>
    </row>
    <row r="1631" spans="1:9" hidden="1" x14ac:dyDescent="0.25">
      <c r="A1631" s="114" t="s">
        <v>5350</v>
      </c>
      <c r="B1631" s="115" t="s">
        <v>4150</v>
      </c>
      <c r="C1631" s="116" t="s">
        <v>20</v>
      </c>
      <c r="D1631" s="116">
        <v>0</v>
      </c>
      <c r="E1631" s="135" t="s">
        <v>558</v>
      </c>
      <c r="F1631" s="136" t="str">
        <f t="shared" si="99"/>
        <v/>
      </c>
      <c r="G1631" s="137" t="e">
        <f>IF(A1631&lt;&gt;"",IF(AND(#REF!="Padrão",$H$4=#REF!),BDI!$B$17,IF(AND(#REF!="Padrão",$H$4=#REF!),BDI!#REF!,IF(AND(#REF!="Diferenciado",$H$4=#REF!),BDI!$E$17,IF(AND(#REF!="Diferenciado",$H$4=#REF!),BDI!#REF!,IF(#REF!="ZERO",0))))),"")</f>
        <v>#REF!</v>
      </c>
      <c r="H1631" s="138" t="str">
        <f t="shared" si="100"/>
        <v/>
      </c>
      <c r="I1631" s="136" t="str">
        <f t="shared" si="101"/>
        <v/>
      </c>
    </row>
    <row r="1632" spans="1:9" hidden="1" x14ac:dyDescent="0.25">
      <c r="A1632" s="114" t="s">
        <v>5351</v>
      </c>
      <c r="B1632" s="115" t="s">
        <v>4151</v>
      </c>
      <c r="C1632" s="116" t="s">
        <v>20</v>
      </c>
      <c r="D1632" s="116">
        <v>0</v>
      </c>
      <c r="E1632" s="135" t="s">
        <v>558</v>
      </c>
      <c r="F1632" s="136" t="str">
        <f t="shared" si="99"/>
        <v/>
      </c>
      <c r="G1632" s="137" t="e">
        <f>IF(A1632&lt;&gt;"",IF(AND(#REF!="Padrão",$H$4=#REF!),BDI!$B$17,IF(AND(#REF!="Padrão",$H$4=#REF!),BDI!#REF!,IF(AND(#REF!="Diferenciado",$H$4=#REF!),BDI!$E$17,IF(AND(#REF!="Diferenciado",$H$4=#REF!),BDI!#REF!,IF(#REF!="ZERO",0))))),"")</f>
        <v>#REF!</v>
      </c>
      <c r="H1632" s="138" t="str">
        <f t="shared" si="100"/>
        <v/>
      </c>
      <c r="I1632" s="136" t="str">
        <f t="shared" si="101"/>
        <v/>
      </c>
    </row>
    <row r="1633" spans="1:9" hidden="1" x14ac:dyDescent="0.25">
      <c r="A1633" s="114" t="s">
        <v>5352</v>
      </c>
      <c r="B1633" s="115" t="s">
        <v>4152</v>
      </c>
      <c r="C1633" s="116" t="s">
        <v>20</v>
      </c>
      <c r="D1633" s="116">
        <v>0</v>
      </c>
      <c r="E1633" s="135" t="s">
        <v>558</v>
      </c>
      <c r="F1633" s="136" t="str">
        <f t="shared" si="99"/>
        <v/>
      </c>
      <c r="G1633" s="137" t="e">
        <f>IF(A1633&lt;&gt;"",IF(AND(#REF!="Padrão",$H$4=#REF!),BDI!$B$17,IF(AND(#REF!="Padrão",$H$4=#REF!),BDI!#REF!,IF(AND(#REF!="Diferenciado",$H$4=#REF!),BDI!$E$17,IF(AND(#REF!="Diferenciado",$H$4=#REF!),BDI!#REF!,IF(#REF!="ZERO",0))))),"")</f>
        <v>#REF!</v>
      </c>
      <c r="H1633" s="138" t="str">
        <f t="shared" si="100"/>
        <v/>
      </c>
      <c r="I1633" s="136" t="str">
        <f t="shared" si="101"/>
        <v/>
      </c>
    </row>
    <row r="1634" spans="1:9" hidden="1" x14ac:dyDescent="0.25">
      <c r="A1634" s="114" t="s">
        <v>5353</v>
      </c>
      <c r="B1634" s="115" t="s">
        <v>4153</v>
      </c>
      <c r="C1634" s="116" t="s">
        <v>20</v>
      </c>
      <c r="D1634" s="116">
        <v>0</v>
      </c>
      <c r="E1634" s="135" t="s">
        <v>558</v>
      </c>
      <c r="F1634" s="136" t="str">
        <f t="shared" si="99"/>
        <v/>
      </c>
      <c r="G1634" s="137" t="e">
        <f>IF(A1634&lt;&gt;"",IF(AND(#REF!="Padrão",$H$4=#REF!),BDI!$B$17,IF(AND(#REF!="Padrão",$H$4=#REF!),BDI!#REF!,IF(AND(#REF!="Diferenciado",$H$4=#REF!),BDI!$E$17,IF(AND(#REF!="Diferenciado",$H$4=#REF!),BDI!#REF!,IF(#REF!="ZERO",0))))),"")</f>
        <v>#REF!</v>
      </c>
      <c r="H1634" s="138" t="str">
        <f t="shared" si="100"/>
        <v/>
      </c>
      <c r="I1634" s="136" t="str">
        <f t="shared" si="101"/>
        <v/>
      </c>
    </row>
    <row r="1635" spans="1:9" hidden="1" x14ac:dyDescent="0.25">
      <c r="A1635" s="114" t="s">
        <v>5354</v>
      </c>
      <c r="B1635" s="115" t="s">
        <v>4154</v>
      </c>
      <c r="C1635" s="116" t="s">
        <v>20</v>
      </c>
      <c r="D1635" s="116">
        <v>0</v>
      </c>
      <c r="E1635" s="135" t="s">
        <v>558</v>
      </c>
      <c r="F1635" s="136" t="str">
        <f t="shared" si="99"/>
        <v/>
      </c>
      <c r="G1635" s="137" t="e">
        <f>IF(A1635&lt;&gt;"",IF(AND(#REF!="Padrão",$H$4=#REF!),BDI!$B$17,IF(AND(#REF!="Padrão",$H$4=#REF!),BDI!#REF!,IF(AND(#REF!="Diferenciado",$H$4=#REF!),BDI!$E$17,IF(AND(#REF!="Diferenciado",$H$4=#REF!),BDI!#REF!,IF(#REF!="ZERO",0))))),"")</f>
        <v>#REF!</v>
      </c>
      <c r="H1635" s="138" t="str">
        <f t="shared" si="100"/>
        <v/>
      </c>
      <c r="I1635" s="136" t="str">
        <f t="shared" si="101"/>
        <v/>
      </c>
    </row>
    <row r="1636" spans="1:9" hidden="1" x14ac:dyDescent="0.25">
      <c r="A1636" s="114" t="s">
        <v>5355</v>
      </c>
      <c r="B1636" s="115" t="s">
        <v>4155</v>
      </c>
      <c r="C1636" s="116" t="s">
        <v>20</v>
      </c>
      <c r="D1636" s="116">
        <v>0</v>
      </c>
      <c r="E1636" s="135" t="s">
        <v>558</v>
      </c>
      <c r="F1636" s="136" t="str">
        <f t="shared" si="99"/>
        <v/>
      </c>
      <c r="G1636" s="137" t="e">
        <f>IF(A1636&lt;&gt;"",IF(AND(#REF!="Padrão",$H$4=#REF!),BDI!$B$17,IF(AND(#REF!="Padrão",$H$4=#REF!),BDI!#REF!,IF(AND(#REF!="Diferenciado",$H$4=#REF!),BDI!$E$17,IF(AND(#REF!="Diferenciado",$H$4=#REF!),BDI!#REF!,IF(#REF!="ZERO",0))))),"")</f>
        <v>#REF!</v>
      </c>
      <c r="H1636" s="138" t="str">
        <f t="shared" si="100"/>
        <v/>
      </c>
      <c r="I1636" s="136" t="str">
        <f t="shared" si="101"/>
        <v/>
      </c>
    </row>
    <row r="1637" spans="1:9" hidden="1" x14ac:dyDescent="0.25">
      <c r="A1637" s="114" t="s">
        <v>5356</v>
      </c>
      <c r="B1637" s="115" t="s">
        <v>4156</v>
      </c>
      <c r="C1637" s="116" t="s">
        <v>20</v>
      </c>
      <c r="D1637" s="116">
        <v>0</v>
      </c>
      <c r="E1637" s="135" t="s">
        <v>558</v>
      </c>
      <c r="F1637" s="136" t="str">
        <f t="shared" si="99"/>
        <v/>
      </c>
      <c r="G1637" s="137" t="e">
        <f>IF(A1637&lt;&gt;"",IF(AND(#REF!="Padrão",$H$4=#REF!),BDI!$B$17,IF(AND(#REF!="Padrão",$H$4=#REF!),BDI!#REF!,IF(AND(#REF!="Diferenciado",$H$4=#REF!),BDI!$E$17,IF(AND(#REF!="Diferenciado",$H$4=#REF!),BDI!#REF!,IF(#REF!="ZERO",0))))),"")</f>
        <v>#REF!</v>
      </c>
      <c r="H1637" s="138" t="str">
        <f t="shared" si="100"/>
        <v/>
      </c>
      <c r="I1637" s="136" t="str">
        <f t="shared" si="101"/>
        <v/>
      </c>
    </row>
    <row r="1638" spans="1:9" hidden="1" x14ac:dyDescent="0.25">
      <c r="A1638" s="114" t="s">
        <v>5357</v>
      </c>
      <c r="B1638" s="115" t="s">
        <v>4157</v>
      </c>
      <c r="C1638" s="116" t="s">
        <v>20</v>
      </c>
      <c r="D1638" s="116">
        <v>0</v>
      </c>
      <c r="E1638" s="135" t="s">
        <v>558</v>
      </c>
      <c r="F1638" s="136" t="str">
        <f t="shared" si="99"/>
        <v/>
      </c>
      <c r="G1638" s="137" t="e">
        <f>IF(A1638&lt;&gt;"",IF(AND(#REF!="Padrão",$H$4=#REF!),BDI!$B$17,IF(AND(#REF!="Padrão",$H$4=#REF!),BDI!#REF!,IF(AND(#REF!="Diferenciado",$H$4=#REF!),BDI!$E$17,IF(AND(#REF!="Diferenciado",$H$4=#REF!),BDI!#REF!,IF(#REF!="ZERO",0))))),"")</f>
        <v>#REF!</v>
      </c>
      <c r="H1638" s="138" t="str">
        <f t="shared" si="100"/>
        <v/>
      </c>
      <c r="I1638" s="136" t="str">
        <f t="shared" si="101"/>
        <v/>
      </c>
    </row>
    <row r="1639" spans="1:9" hidden="1" x14ac:dyDescent="0.25">
      <c r="A1639" s="114" t="s">
        <v>5358</v>
      </c>
      <c r="B1639" s="115" t="s">
        <v>4158</v>
      </c>
      <c r="C1639" s="116" t="s">
        <v>20</v>
      </c>
      <c r="D1639" s="116">
        <v>0</v>
      </c>
      <c r="E1639" s="135" t="s">
        <v>558</v>
      </c>
      <c r="F1639" s="136" t="str">
        <f t="shared" si="99"/>
        <v/>
      </c>
      <c r="G1639" s="137" t="e">
        <f>IF(A1639&lt;&gt;"",IF(AND(#REF!="Padrão",$H$4=#REF!),BDI!$B$17,IF(AND(#REF!="Padrão",$H$4=#REF!),BDI!#REF!,IF(AND(#REF!="Diferenciado",$H$4=#REF!),BDI!$E$17,IF(AND(#REF!="Diferenciado",$H$4=#REF!),BDI!#REF!,IF(#REF!="ZERO",0))))),"")</f>
        <v>#REF!</v>
      </c>
      <c r="H1639" s="138" t="str">
        <f t="shared" si="100"/>
        <v/>
      </c>
      <c r="I1639" s="136" t="str">
        <f t="shared" si="101"/>
        <v/>
      </c>
    </row>
    <row r="1640" spans="1:9" hidden="1" x14ac:dyDescent="0.25">
      <c r="A1640" s="114" t="s">
        <v>5359</v>
      </c>
      <c r="B1640" s="115" t="s">
        <v>4159</v>
      </c>
      <c r="C1640" s="116" t="s">
        <v>20</v>
      </c>
      <c r="D1640" s="116">
        <v>0</v>
      </c>
      <c r="E1640" s="135" t="s">
        <v>558</v>
      </c>
      <c r="F1640" s="136" t="str">
        <f t="shared" si="99"/>
        <v/>
      </c>
      <c r="G1640" s="137" t="e">
        <f>IF(A1640&lt;&gt;"",IF(AND(#REF!="Padrão",$H$4=#REF!),BDI!$B$17,IF(AND(#REF!="Padrão",$H$4=#REF!),BDI!#REF!,IF(AND(#REF!="Diferenciado",$H$4=#REF!),BDI!$E$17,IF(AND(#REF!="Diferenciado",$H$4=#REF!),BDI!#REF!,IF(#REF!="ZERO",0))))),"")</f>
        <v>#REF!</v>
      </c>
      <c r="H1640" s="138" t="str">
        <f t="shared" si="100"/>
        <v/>
      </c>
      <c r="I1640" s="136" t="str">
        <f t="shared" si="101"/>
        <v/>
      </c>
    </row>
    <row r="1641" spans="1:9" hidden="1" x14ac:dyDescent="0.25">
      <c r="A1641" s="114" t="s">
        <v>5360</v>
      </c>
      <c r="B1641" s="115" t="s">
        <v>4160</v>
      </c>
      <c r="C1641" s="116" t="s">
        <v>20</v>
      </c>
      <c r="D1641" s="116">
        <v>0</v>
      </c>
      <c r="E1641" s="135" t="s">
        <v>558</v>
      </c>
      <c r="F1641" s="136" t="str">
        <f t="shared" si="99"/>
        <v/>
      </c>
      <c r="G1641" s="137" t="e">
        <f>IF(A1641&lt;&gt;"",IF(AND(#REF!="Padrão",$H$4=#REF!),BDI!$B$17,IF(AND(#REF!="Padrão",$H$4=#REF!),BDI!#REF!,IF(AND(#REF!="Diferenciado",$H$4=#REF!),BDI!$E$17,IF(AND(#REF!="Diferenciado",$H$4=#REF!),BDI!#REF!,IF(#REF!="ZERO",0))))),"")</f>
        <v>#REF!</v>
      </c>
      <c r="H1641" s="138" t="str">
        <f t="shared" si="100"/>
        <v/>
      </c>
      <c r="I1641" s="136" t="str">
        <f t="shared" si="101"/>
        <v/>
      </c>
    </row>
    <row r="1642" spans="1:9" hidden="1" x14ac:dyDescent="0.25">
      <c r="A1642" s="114" t="s">
        <v>5361</v>
      </c>
      <c r="B1642" s="115" t="s">
        <v>4161</v>
      </c>
      <c r="C1642" s="116" t="s">
        <v>20</v>
      </c>
      <c r="D1642" s="116">
        <v>0</v>
      </c>
      <c r="E1642" s="135" t="s">
        <v>558</v>
      </c>
      <c r="F1642" s="136" t="str">
        <f t="shared" si="99"/>
        <v/>
      </c>
      <c r="G1642" s="137" t="e">
        <f>IF(A1642&lt;&gt;"",IF(AND(#REF!="Padrão",$H$4=#REF!),BDI!$B$17,IF(AND(#REF!="Padrão",$H$4=#REF!),BDI!#REF!,IF(AND(#REF!="Diferenciado",$H$4=#REF!),BDI!$E$17,IF(AND(#REF!="Diferenciado",$H$4=#REF!),BDI!#REF!,IF(#REF!="ZERO",0))))),"")</f>
        <v>#REF!</v>
      </c>
      <c r="H1642" s="138" t="str">
        <f t="shared" si="100"/>
        <v/>
      </c>
      <c r="I1642" s="136" t="str">
        <f t="shared" si="101"/>
        <v/>
      </c>
    </row>
    <row r="1643" spans="1:9" hidden="1" x14ac:dyDescent="0.25">
      <c r="A1643" s="114" t="s">
        <v>5362</v>
      </c>
      <c r="B1643" s="115" t="s">
        <v>4162</v>
      </c>
      <c r="C1643" s="116" t="s">
        <v>20</v>
      </c>
      <c r="D1643" s="116">
        <v>0</v>
      </c>
      <c r="E1643" s="135" t="s">
        <v>558</v>
      </c>
      <c r="F1643" s="136" t="str">
        <f t="shared" si="99"/>
        <v/>
      </c>
      <c r="G1643" s="137" t="e">
        <f>IF(A1643&lt;&gt;"",IF(AND(#REF!="Padrão",$H$4=#REF!),BDI!$B$17,IF(AND(#REF!="Padrão",$H$4=#REF!),BDI!#REF!,IF(AND(#REF!="Diferenciado",$H$4=#REF!),BDI!$E$17,IF(AND(#REF!="Diferenciado",$H$4=#REF!),BDI!#REF!,IF(#REF!="ZERO",0))))),"")</f>
        <v>#REF!</v>
      </c>
      <c r="H1643" s="138" t="str">
        <f t="shared" si="100"/>
        <v/>
      </c>
      <c r="I1643" s="136" t="str">
        <f t="shared" si="101"/>
        <v/>
      </c>
    </row>
    <row r="1644" spans="1:9" hidden="1" x14ac:dyDescent="0.25">
      <c r="A1644" s="114" t="s">
        <v>5363</v>
      </c>
      <c r="B1644" s="115" t="s">
        <v>4163</v>
      </c>
      <c r="C1644" s="116" t="s">
        <v>20</v>
      </c>
      <c r="D1644" s="116">
        <v>0</v>
      </c>
      <c r="E1644" s="135" t="s">
        <v>558</v>
      </c>
      <c r="F1644" s="136" t="str">
        <f t="shared" si="99"/>
        <v/>
      </c>
      <c r="G1644" s="137" t="e">
        <f>IF(A1644&lt;&gt;"",IF(AND(#REF!="Padrão",$H$4=#REF!),BDI!$B$17,IF(AND(#REF!="Padrão",$H$4=#REF!),BDI!#REF!,IF(AND(#REF!="Diferenciado",$H$4=#REF!),BDI!$E$17,IF(AND(#REF!="Diferenciado",$H$4=#REF!),BDI!#REF!,IF(#REF!="ZERO",0))))),"")</f>
        <v>#REF!</v>
      </c>
      <c r="H1644" s="138" t="str">
        <f t="shared" si="100"/>
        <v/>
      </c>
      <c r="I1644" s="136" t="str">
        <f t="shared" si="101"/>
        <v/>
      </c>
    </row>
    <row r="1645" spans="1:9" hidden="1" x14ac:dyDescent="0.25">
      <c r="A1645" s="114" t="s">
        <v>5364</v>
      </c>
      <c r="B1645" s="115" t="s">
        <v>4164</v>
      </c>
      <c r="C1645" s="116" t="s">
        <v>20</v>
      </c>
      <c r="D1645" s="116">
        <v>0</v>
      </c>
      <c r="E1645" s="135" t="s">
        <v>558</v>
      </c>
      <c r="F1645" s="136" t="str">
        <f t="shared" ref="F1645:F1708" si="102">IF(ISNUMBER(E1645),D1645*E1645,"")</f>
        <v/>
      </c>
      <c r="G1645" s="137" t="e">
        <f>IF(A1645&lt;&gt;"",IF(AND(#REF!="Padrão",$H$4=#REF!),BDI!$B$17,IF(AND(#REF!="Padrão",$H$4=#REF!),BDI!#REF!,IF(AND(#REF!="Diferenciado",$H$4=#REF!),BDI!$E$17,IF(AND(#REF!="Diferenciado",$H$4=#REF!),BDI!#REF!,IF(#REF!="ZERO",0))))),"")</f>
        <v>#REF!</v>
      </c>
      <c r="H1645" s="138" t="str">
        <f t="shared" ref="H1645:H1708" si="103">IF(ISNUMBER(E1645),ROUND(E1645*(1+G1645),2),"")</f>
        <v/>
      </c>
      <c r="I1645" s="136" t="str">
        <f t="shared" ref="I1645:I1708" si="104">IF(ISNUMBER(E1645),ROUND(H1645*D1645,2),"")</f>
        <v/>
      </c>
    </row>
    <row r="1646" spans="1:9" hidden="1" x14ac:dyDescent="0.25">
      <c r="A1646" s="114" t="s">
        <v>5365</v>
      </c>
      <c r="B1646" s="115" t="s">
        <v>4165</v>
      </c>
      <c r="C1646" s="116" t="s">
        <v>20</v>
      </c>
      <c r="D1646" s="116">
        <v>0</v>
      </c>
      <c r="E1646" s="135" t="s">
        <v>558</v>
      </c>
      <c r="F1646" s="136" t="str">
        <f t="shared" si="102"/>
        <v/>
      </c>
      <c r="G1646" s="137" t="e">
        <f>IF(A1646&lt;&gt;"",IF(AND(#REF!="Padrão",$H$4=#REF!),BDI!$B$17,IF(AND(#REF!="Padrão",$H$4=#REF!),BDI!#REF!,IF(AND(#REF!="Diferenciado",$H$4=#REF!),BDI!$E$17,IF(AND(#REF!="Diferenciado",$H$4=#REF!),BDI!#REF!,IF(#REF!="ZERO",0))))),"")</f>
        <v>#REF!</v>
      </c>
      <c r="H1646" s="138" t="str">
        <f t="shared" si="103"/>
        <v/>
      </c>
      <c r="I1646" s="136" t="str">
        <f t="shared" si="104"/>
        <v/>
      </c>
    </row>
    <row r="1647" spans="1:9" hidden="1" x14ac:dyDescent="0.25">
      <c r="A1647" s="114" t="s">
        <v>5366</v>
      </c>
      <c r="B1647" s="115" t="s">
        <v>4166</v>
      </c>
      <c r="C1647" s="116" t="s">
        <v>20</v>
      </c>
      <c r="D1647" s="116">
        <v>0</v>
      </c>
      <c r="E1647" s="135" t="s">
        <v>558</v>
      </c>
      <c r="F1647" s="136" t="str">
        <f t="shared" si="102"/>
        <v/>
      </c>
      <c r="G1647" s="137" t="e">
        <f>IF(A1647&lt;&gt;"",IF(AND(#REF!="Padrão",$H$4=#REF!),BDI!$B$17,IF(AND(#REF!="Padrão",$H$4=#REF!),BDI!#REF!,IF(AND(#REF!="Diferenciado",$H$4=#REF!),BDI!$E$17,IF(AND(#REF!="Diferenciado",$H$4=#REF!),BDI!#REF!,IF(#REF!="ZERO",0))))),"")</f>
        <v>#REF!</v>
      </c>
      <c r="H1647" s="138" t="str">
        <f t="shared" si="103"/>
        <v/>
      </c>
      <c r="I1647" s="136" t="str">
        <f t="shared" si="104"/>
        <v/>
      </c>
    </row>
    <row r="1648" spans="1:9" hidden="1" x14ac:dyDescent="0.25">
      <c r="A1648" s="114" t="s">
        <v>5367</v>
      </c>
      <c r="B1648" s="115" t="s">
        <v>4167</v>
      </c>
      <c r="C1648" s="116" t="s">
        <v>20</v>
      </c>
      <c r="D1648" s="116">
        <v>0</v>
      </c>
      <c r="E1648" s="135" t="s">
        <v>558</v>
      </c>
      <c r="F1648" s="136" t="str">
        <f t="shared" si="102"/>
        <v/>
      </c>
      <c r="G1648" s="137" t="e">
        <f>IF(A1648&lt;&gt;"",IF(AND(#REF!="Padrão",$H$4=#REF!),BDI!$B$17,IF(AND(#REF!="Padrão",$H$4=#REF!),BDI!#REF!,IF(AND(#REF!="Diferenciado",$H$4=#REF!),BDI!$E$17,IF(AND(#REF!="Diferenciado",$H$4=#REF!),BDI!#REF!,IF(#REF!="ZERO",0))))),"")</f>
        <v>#REF!</v>
      </c>
      <c r="H1648" s="138" t="str">
        <f t="shared" si="103"/>
        <v/>
      </c>
      <c r="I1648" s="136" t="str">
        <f t="shared" si="104"/>
        <v/>
      </c>
    </row>
    <row r="1649" spans="1:9" hidden="1" x14ac:dyDescent="0.25">
      <c r="A1649" s="114" t="s">
        <v>5368</v>
      </c>
      <c r="B1649" s="115" t="s">
        <v>4168</v>
      </c>
      <c r="C1649" s="116" t="s">
        <v>20</v>
      </c>
      <c r="D1649" s="116">
        <v>0</v>
      </c>
      <c r="E1649" s="135" t="s">
        <v>558</v>
      </c>
      <c r="F1649" s="136" t="str">
        <f t="shared" si="102"/>
        <v/>
      </c>
      <c r="G1649" s="137" t="e">
        <f>IF(A1649&lt;&gt;"",IF(AND(#REF!="Padrão",$H$4=#REF!),BDI!$B$17,IF(AND(#REF!="Padrão",$H$4=#REF!),BDI!#REF!,IF(AND(#REF!="Diferenciado",$H$4=#REF!),BDI!$E$17,IF(AND(#REF!="Diferenciado",$H$4=#REF!),BDI!#REF!,IF(#REF!="ZERO",0))))),"")</f>
        <v>#REF!</v>
      </c>
      <c r="H1649" s="138" t="str">
        <f t="shared" si="103"/>
        <v/>
      </c>
      <c r="I1649" s="136" t="str">
        <f t="shared" si="104"/>
        <v/>
      </c>
    </row>
    <row r="1650" spans="1:9" hidden="1" x14ac:dyDescent="0.25">
      <c r="A1650" s="114" t="s">
        <v>5369</v>
      </c>
      <c r="B1650" s="115" t="s">
        <v>4169</v>
      </c>
      <c r="C1650" s="116" t="s">
        <v>20</v>
      </c>
      <c r="D1650" s="116">
        <v>0</v>
      </c>
      <c r="E1650" s="135" t="s">
        <v>558</v>
      </c>
      <c r="F1650" s="136" t="str">
        <f t="shared" si="102"/>
        <v/>
      </c>
      <c r="G1650" s="137" t="e">
        <f>IF(A1650&lt;&gt;"",IF(AND(#REF!="Padrão",$H$4=#REF!),BDI!$B$17,IF(AND(#REF!="Padrão",$H$4=#REF!),BDI!#REF!,IF(AND(#REF!="Diferenciado",$H$4=#REF!),BDI!$E$17,IF(AND(#REF!="Diferenciado",$H$4=#REF!),BDI!#REF!,IF(#REF!="ZERO",0))))),"")</f>
        <v>#REF!</v>
      </c>
      <c r="H1650" s="138" t="str">
        <f t="shared" si="103"/>
        <v/>
      </c>
      <c r="I1650" s="136" t="str">
        <f t="shared" si="104"/>
        <v/>
      </c>
    </row>
    <row r="1651" spans="1:9" hidden="1" x14ac:dyDescent="0.25">
      <c r="A1651" s="114" t="s">
        <v>5370</v>
      </c>
      <c r="B1651" s="115" t="s">
        <v>4170</v>
      </c>
      <c r="C1651" s="116" t="s">
        <v>20</v>
      </c>
      <c r="D1651" s="116">
        <v>0</v>
      </c>
      <c r="E1651" s="135" t="s">
        <v>558</v>
      </c>
      <c r="F1651" s="136" t="str">
        <f t="shared" si="102"/>
        <v/>
      </c>
      <c r="G1651" s="137" t="e">
        <f>IF(A1651&lt;&gt;"",IF(AND(#REF!="Padrão",$H$4=#REF!),BDI!$B$17,IF(AND(#REF!="Padrão",$H$4=#REF!),BDI!#REF!,IF(AND(#REF!="Diferenciado",$H$4=#REF!),BDI!$E$17,IF(AND(#REF!="Diferenciado",$H$4=#REF!),BDI!#REF!,IF(#REF!="ZERO",0))))),"")</f>
        <v>#REF!</v>
      </c>
      <c r="H1651" s="138" t="str">
        <f t="shared" si="103"/>
        <v/>
      </c>
      <c r="I1651" s="136" t="str">
        <f t="shared" si="104"/>
        <v/>
      </c>
    </row>
    <row r="1652" spans="1:9" hidden="1" x14ac:dyDescent="0.25">
      <c r="A1652" s="114" t="s">
        <v>5371</v>
      </c>
      <c r="B1652" s="115" t="s">
        <v>4171</v>
      </c>
      <c r="C1652" s="116" t="s">
        <v>20</v>
      </c>
      <c r="D1652" s="116">
        <v>0</v>
      </c>
      <c r="E1652" s="135" t="s">
        <v>558</v>
      </c>
      <c r="F1652" s="136" t="str">
        <f t="shared" si="102"/>
        <v/>
      </c>
      <c r="G1652" s="137" t="e">
        <f>IF(A1652&lt;&gt;"",IF(AND(#REF!="Padrão",$H$4=#REF!),BDI!$B$17,IF(AND(#REF!="Padrão",$H$4=#REF!),BDI!#REF!,IF(AND(#REF!="Diferenciado",$H$4=#REF!),BDI!$E$17,IF(AND(#REF!="Diferenciado",$H$4=#REF!),BDI!#REF!,IF(#REF!="ZERO",0))))),"")</f>
        <v>#REF!</v>
      </c>
      <c r="H1652" s="138" t="str">
        <f t="shared" si="103"/>
        <v/>
      </c>
      <c r="I1652" s="136" t="str">
        <f t="shared" si="104"/>
        <v/>
      </c>
    </row>
    <row r="1653" spans="1:9" hidden="1" x14ac:dyDescent="0.25">
      <c r="A1653" s="114" t="s">
        <v>5372</v>
      </c>
      <c r="B1653" s="115" t="s">
        <v>4172</v>
      </c>
      <c r="C1653" s="116" t="s">
        <v>20</v>
      </c>
      <c r="D1653" s="116">
        <v>0</v>
      </c>
      <c r="E1653" s="135" t="s">
        <v>558</v>
      </c>
      <c r="F1653" s="136" t="str">
        <f t="shared" si="102"/>
        <v/>
      </c>
      <c r="G1653" s="137" t="e">
        <f>IF(A1653&lt;&gt;"",IF(AND(#REF!="Padrão",$H$4=#REF!),BDI!$B$17,IF(AND(#REF!="Padrão",$H$4=#REF!),BDI!#REF!,IF(AND(#REF!="Diferenciado",$H$4=#REF!),BDI!$E$17,IF(AND(#REF!="Diferenciado",$H$4=#REF!),BDI!#REF!,IF(#REF!="ZERO",0))))),"")</f>
        <v>#REF!</v>
      </c>
      <c r="H1653" s="138" t="str">
        <f t="shared" si="103"/>
        <v/>
      </c>
      <c r="I1653" s="136" t="str">
        <f t="shared" si="104"/>
        <v/>
      </c>
    </row>
    <row r="1654" spans="1:9" hidden="1" x14ac:dyDescent="0.25">
      <c r="A1654" s="114" t="s">
        <v>5373</v>
      </c>
      <c r="B1654" s="115" t="s">
        <v>4173</v>
      </c>
      <c r="C1654" s="116" t="s">
        <v>20</v>
      </c>
      <c r="D1654" s="116">
        <v>0</v>
      </c>
      <c r="E1654" s="135" t="s">
        <v>558</v>
      </c>
      <c r="F1654" s="136" t="str">
        <f t="shared" si="102"/>
        <v/>
      </c>
      <c r="G1654" s="137" t="e">
        <f>IF(A1654&lt;&gt;"",IF(AND(#REF!="Padrão",$H$4=#REF!),BDI!$B$17,IF(AND(#REF!="Padrão",$H$4=#REF!),BDI!#REF!,IF(AND(#REF!="Diferenciado",$H$4=#REF!),BDI!$E$17,IF(AND(#REF!="Diferenciado",$H$4=#REF!),BDI!#REF!,IF(#REF!="ZERO",0))))),"")</f>
        <v>#REF!</v>
      </c>
      <c r="H1654" s="138" t="str">
        <f t="shared" si="103"/>
        <v/>
      </c>
      <c r="I1654" s="136" t="str">
        <f t="shared" si="104"/>
        <v/>
      </c>
    </row>
    <row r="1655" spans="1:9" hidden="1" x14ac:dyDescent="0.25">
      <c r="A1655" s="114" t="s">
        <v>5374</v>
      </c>
      <c r="B1655" s="115" t="s">
        <v>4174</v>
      </c>
      <c r="C1655" s="116" t="s">
        <v>20</v>
      </c>
      <c r="D1655" s="116">
        <v>0</v>
      </c>
      <c r="E1655" s="135" t="s">
        <v>558</v>
      </c>
      <c r="F1655" s="136" t="str">
        <f t="shared" si="102"/>
        <v/>
      </c>
      <c r="G1655" s="137" t="e">
        <f>IF(A1655&lt;&gt;"",IF(AND(#REF!="Padrão",$H$4=#REF!),BDI!$B$17,IF(AND(#REF!="Padrão",$H$4=#REF!),BDI!#REF!,IF(AND(#REF!="Diferenciado",$H$4=#REF!),BDI!$E$17,IF(AND(#REF!="Diferenciado",$H$4=#REF!),BDI!#REF!,IF(#REF!="ZERO",0))))),"")</f>
        <v>#REF!</v>
      </c>
      <c r="H1655" s="138" t="str">
        <f t="shared" si="103"/>
        <v/>
      </c>
      <c r="I1655" s="136" t="str">
        <f t="shared" si="104"/>
        <v/>
      </c>
    </row>
    <row r="1656" spans="1:9" hidden="1" x14ac:dyDescent="0.25">
      <c r="A1656" s="114" t="s">
        <v>5375</v>
      </c>
      <c r="B1656" s="115" t="s">
        <v>4175</v>
      </c>
      <c r="C1656" s="116" t="s">
        <v>20</v>
      </c>
      <c r="D1656" s="116">
        <v>0</v>
      </c>
      <c r="E1656" s="135" t="s">
        <v>558</v>
      </c>
      <c r="F1656" s="136" t="str">
        <f t="shared" si="102"/>
        <v/>
      </c>
      <c r="G1656" s="137" t="e">
        <f>IF(A1656&lt;&gt;"",IF(AND(#REF!="Padrão",$H$4=#REF!),BDI!$B$17,IF(AND(#REF!="Padrão",$H$4=#REF!),BDI!#REF!,IF(AND(#REF!="Diferenciado",$H$4=#REF!),BDI!$E$17,IF(AND(#REF!="Diferenciado",$H$4=#REF!),BDI!#REF!,IF(#REF!="ZERO",0))))),"")</f>
        <v>#REF!</v>
      </c>
      <c r="H1656" s="138" t="str">
        <f t="shared" si="103"/>
        <v/>
      </c>
      <c r="I1656" s="136" t="str">
        <f t="shared" si="104"/>
        <v/>
      </c>
    </row>
    <row r="1657" spans="1:9" hidden="1" x14ac:dyDescent="0.25">
      <c r="A1657" s="114" t="s">
        <v>5376</v>
      </c>
      <c r="B1657" s="115" t="s">
        <v>4176</v>
      </c>
      <c r="C1657" s="116" t="s">
        <v>20</v>
      </c>
      <c r="D1657" s="116">
        <v>0</v>
      </c>
      <c r="E1657" s="135" t="s">
        <v>558</v>
      </c>
      <c r="F1657" s="136" t="str">
        <f t="shared" si="102"/>
        <v/>
      </c>
      <c r="G1657" s="137" t="e">
        <f>IF(A1657&lt;&gt;"",IF(AND(#REF!="Padrão",$H$4=#REF!),BDI!$B$17,IF(AND(#REF!="Padrão",$H$4=#REF!),BDI!#REF!,IF(AND(#REF!="Diferenciado",$H$4=#REF!),BDI!$E$17,IF(AND(#REF!="Diferenciado",$H$4=#REF!),BDI!#REF!,IF(#REF!="ZERO",0))))),"")</f>
        <v>#REF!</v>
      </c>
      <c r="H1657" s="138" t="str">
        <f t="shared" si="103"/>
        <v/>
      </c>
      <c r="I1657" s="136" t="str">
        <f t="shared" si="104"/>
        <v/>
      </c>
    </row>
    <row r="1658" spans="1:9" hidden="1" x14ac:dyDescent="0.25">
      <c r="A1658" s="114" t="s">
        <v>5377</v>
      </c>
      <c r="B1658" s="115" t="s">
        <v>4177</v>
      </c>
      <c r="C1658" s="116" t="s">
        <v>20</v>
      </c>
      <c r="D1658" s="116">
        <v>0</v>
      </c>
      <c r="E1658" s="135" t="s">
        <v>558</v>
      </c>
      <c r="F1658" s="136" t="str">
        <f t="shared" si="102"/>
        <v/>
      </c>
      <c r="G1658" s="137" t="e">
        <f>IF(A1658&lt;&gt;"",IF(AND(#REF!="Padrão",$H$4=#REF!),BDI!$B$17,IF(AND(#REF!="Padrão",$H$4=#REF!),BDI!#REF!,IF(AND(#REF!="Diferenciado",$H$4=#REF!),BDI!$E$17,IF(AND(#REF!="Diferenciado",$H$4=#REF!),BDI!#REF!,IF(#REF!="ZERO",0))))),"")</f>
        <v>#REF!</v>
      </c>
      <c r="H1658" s="138" t="str">
        <f t="shared" si="103"/>
        <v/>
      </c>
      <c r="I1658" s="136" t="str">
        <f t="shared" si="104"/>
        <v/>
      </c>
    </row>
    <row r="1659" spans="1:9" hidden="1" x14ac:dyDescent="0.25">
      <c r="A1659" s="114" t="s">
        <v>5378</v>
      </c>
      <c r="B1659" s="115" t="s">
        <v>4178</v>
      </c>
      <c r="C1659" s="116" t="s">
        <v>20</v>
      </c>
      <c r="D1659" s="116">
        <v>0</v>
      </c>
      <c r="E1659" s="135" t="s">
        <v>558</v>
      </c>
      <c r="F1659" s="136" t="str">
        <f t="shared" si="102"/>
        <v/>
      </c>
      <c r="G1659" s="137" t="e">
        <f>IF(A1659&lt;&gt;"",IF(AND(#REF!="Padrão",$H$4=#REF!),BDI!$B$17,IF(AND(#REF!="Padrão",$H$4=#REF!),BDI!#REF!,IF(AND(#REF!="Diferenciado",$H$4=#REF!),BDI!$E$17,IF(AND(#REF!="Diferenciado",$H$4=#REF!),BDI!#REF!,IF(#REF!="ZERO",0))))),"")</f>
        <v>#REF!</v>
      </c>
      <c r="H1659" s="138" t="str">
        <f t="shared" si="103"/>
        <v/>
      </c>
      <c r="I1659" s="136" t="str">
        <f t="shared" si="104"/>
        <v/>
      </c>
    </row>
    <row r="1660" spans="1:9" hidden="1" x14ac:dyDescent="0.25">
      <c r="A1660" s="114" t="s">
        <v>5379</v>
      </c>
      <c r="B1660" s="115" t="s">
        <v>4179</v>
      </c>
      <c r="C1660" s="116" t="s">
        <v>20</v>
      </c>
      <c r="D1660" s="116">
        <v>0</v>
      </c>
      <c r="E1660" s="135" t="s">
        <v>558</v>
      </c>
      <c r="F1660" s="136" t="str">
        <f t="shared" si="102"/>
        <v/>
      </c>
      <c r="G1660" s="137" t="e">
        <f>IF(A1660&lt;&gt;"",IF(AND(#REF!="Padrão",$H$4=#REF!),BDI!$B$17,IF(AND(#REF!="Padrão",$H$4=#REF!),BDI!#REF!,IF(AND(#REF!="Diferenciado",$H$4=#REF!),BDI!$E$17,IF(AND(#REF!="Diferenciado",$H$4=#REF!),BDI!#REF!,IF(#REF!="ZERO",0))))),"")</f>
        <v>#REF!</v>
      </c>
      <c r="H1660" s="138" t="str">
        <f t="shared" si="103"/>
        <v/>
      </c>
      <c r="I1660" s="136" t="str">
        <f t="shared" si="104"/>
        <v/>
      </c>
    </row>
    <row r="1661" spans="1:9" hidden="1" x14ac:dyDescent="0.25">
      <c r="A1661" s="114" t="s">
        <v>5380</v>
      </c>
      <c r="B1661" s="115" t="s">
        <v>4180</v>
      </c>
      <c r="C1661" s="116" t="s">
        <v>20</v>
      </c>
      <c r="D1661" s="116">
        <v>0</v>
      </c>
      <c r="E1661" s="135" t="s">
        <v>558</v>
      </c>
      <c r="F1661" s="136" t="str">
        <f t="shared" si="102"/>
        <v/>
      </c>
      <c r="G1661" s="137" t="e">
        <f>IF(A1661&lt;&gt;"",IF(AND(#REF!="Padrão",$H$4=#REF!),BDI!$B$17,IF(AND(#REF!="Padrão",$H$4=#REF!),BDI!#REF!,IF(AND(#REF!="Diferenciado",$H$4=#REF!),BDI!$E$17,IF(AND(#REF!="Diferenciado",$H$4=#REF!),BDI!#REF!,IF(#REF!="ZERO",0))))),"")</f>
        <v>#REF!</v>
      </c>
      <c r="H1661" s="138" t="str">
        <f t="shared" si="103"/>
        <v/>
      </c>
      <c r="I1661" s="136" t="str">
        <f t="shared" si="104"/>
        <v/>
      </c>
    </row>
    <row r="1662" spans="1:9" hidden="1" x14ac:dyDescent="0.25">
      <c r="A1662" s="114" t="s">
        <v>5381</v>
      </c>
      <c r="B1662" s="115" t="s">
        <v>4181</v>
      </c>
      <c r="C1662" s="116" t="s">
        <v>20</v>
      </c>
      <c r="D1662" s="116">
        <v>0</v>
      </c>
      <c r="E1662" s="135" t="s">
        <v>558</v>
      </c>
      <c r="F1662" s="136" t="str">
        <f t="shared" si="102"/>
        <v/>
      </c>
      <c r="G1662" s="137" t="e">
        <f>IF(A1662&lt;&gt;"",IF(AND(#REF!="Padrão",$H$4=#REF!),BDI!$B$17,IF(AND(#REF!="Padrão",$H$4=#REF!),BDI!#REF!,IF(AND(#REF!="Diferenciado",$H$4=#REF!),BDI!$E$17,IF(AND(#REF!="Diferenciado",$H$4=#REF!),BDI!#REF!,IF(#REF!="ZERO",0))))),"")</f>
        <v>#REF!</v>
      </c>
      <c r="H1662" s="138" t="str">
        <f t="shared" si="103"/>
        <v/>
      </c>
      <c r="I1662" s="136" t="str">
        <f t="shared" si="104"/>
        <v/>
      </c>
    </row>
    <row r="1663" spans="1:9" hidden="1" x14ac:dyDescent="0.25">
      <c r="A1663" s="114" t="s">
        <v>5382</v>
      </c>
      <c r="B1663" s="115" t="s">
        <v>4182</v>
      </c>
      <c r="C1663" s="116" t="s">
        <v>20</v>
      </c>
      <c r="D1663" s="116">
        <v>0</v>
      </c>
      <c r="E1663" s="135" t="s">
        <v>558</v>
      </c>
      <c r="F1663" s="136" t="str">
        <f t="shared" si="102"/>
        <v/>
      </c>
      <c r="G1663" s="137" t="e">
        <f>IF(A1663&lt;&gt;"",IF(AND(#REF!="Padrão",$H$4=#REF!),BDI!$B$17,IF(AND(#REF!="Padrão",$H$4=#REF!),BDI!#REF!,IF(AND(#REF!="Diferenciado",$H$4=#REF!),BDI!$E$17,IF(AND(#REF!="Diferenciado",$H$4=#REF!),BDI!#REF!,IF(#REF!="ZERO",0))))),"")</f>
        <v>#REF!</v>
      </c>
      <c r="H1663" s="138" t="str">
        <f t="shared" si="103"/>
        <v/>
      </c>
      <c r="I1663" s="136" t="str">
        <f t="shared" si="104"/>
        <v/>
      </c>
    </row>
    <row r="1664" spans="1:9" hidden="1" x14ac:dyDescent="0.25">
      <c r="A1664" s="114" t="s">
        <v>5383</v>
      </c>
      <c r="B1664" s="115" t="s">
        <v>4183</v>
      </c>
      <c r="C1664" s="116" t="s">
        <v>20</v>
      </c>
      <c r="D1664" s="116">
        <v>0</v>
      </c>
      <c r="E1664" s="135" t="s">
        <v>558</v>
      </c>
      <c r="F1664" s="136" t="str">
        <f t="shared" si="102"/>
        <v/>
      </c>
      <c r="G1664" s="137" t="e">
        <f>IF(A1664&lt;&gt;"",IF(AND(#REF!="Padrão",$H$4=#REF!),BDI!$B$17,IF(AND(#REF!="Padrão",$H$4=#REF!),BDI!#REF!,IF(AND(#REF!="Diferenciado",$H$4=#REF!),BDI!$E$17,IF(AND(#REF!="Diferenciado",$H$4=#REF!),BDI!#REF!,IF(#REF!="ZERO",0))))),"")</f>
        <v>#REF!</v>
      </c>
      <c r="H1664" s="138" t="str">
        <f t="shared" si="103"/>
        <v/>
      </c>
      <c r="I1664" s="136" t="str">
        <f t="shared" si="104"/>
        <v/>
      </c>
    </row>
    <row r="1665" spans="1:9" hidden="1" x14ac:dyDescent="0.25">
      <c r="A1665" s="114" t="s">
        <v>5384</v>
      </c>
      <c r="B1665" s="115" t="s">
        <v>4184</v>
      </c>
      <c r="C1665" s="116" t="s">
        <v>20</v>
      </c>
      <c r="D1665" s="116">
        <v>0</v>
      </c>
      <c r="E1665" s="135" t="s">
        <v>558</v>
      </c>
      <c r="F1665" s="136" t="str">
        <f t="shared" si="102"/>
        <v/>
      </c>
      <c r="G1665" s="137" t="e">
        <f>IF(A1665&lt;&gt;"",IF(AND(#REF!="Padrão",$H$4=#REF!),BDI!$B$17,IF(AND(#REF!="Padrão",$H$4=#REF!),BDI!#REF!,IF(AND(#REF!="Diferenciado",$H$4=#REF!),BDI!$E$17,IF(AND(#REF!="Diferenciado",$H$4=#REF!),BDI!#REF!,IF(#REF!="ZERO",0))))),"")</f>
        <v>#REF!</v>
      </c>
      <c r="H1665" s="138" t="str">
        <f t="shared" si="103"/>
        <v/>
      </c>
      <c r="I1665" s="136" t="str">
        <f t="shared" si="104"/>
        <v/>
      </c>
    </row>
    <row r="1666" spans="1:9" hidden="1" x14ac:dyDescent="0.25">
      <c r="A1666" s="114" t="s">
        <v>5385</v>
      </c>
      <c r="B1666" s="115" t="s">
        <v>4185</v>
      </c>
      <c r="C1666" s="116" t="s">
        <v>20</v>
      </c>
      <c r="D1666" s="116">
        <v>0</v>
      </c>
      <c r="E1666" s="135" t="s">
        <v>558</v>
      </c>
      <c r="F1666" s="136" t="str">
        <f t="shared" si="102"/>
        <v/>
      </c>
      <c r="G1666" s="137" t="e">
        <f>IF(A1666&lt;&gt;"",IF(AND(#REF!="Padrão",$H$4=#REF!),BDI!$B$17,IF(AND(#REF!="Padrão",$H$4=#REF!),BDI!#REF!,IF(AND(#REF!="Diferenciado",$H$4=#REF!),BDI!$E$17,IF(AND(#REF!="Diferenciado",$H$4=#REF!),BDI!#REF!,IF(#REF!="ZERO",0))))),"")</f>
        <v>#REF!</v>
      </c>
      <c r="H1666" s="138" t="str">
        <f t="shared" si="103"/>
        <v/>
      </c>
      <c r="I1666" s="136" t="str">
        <f t="shared" si="104"/>
        <v/>
      </c>
    </row>
    <row r="1667" spans="1:9" hidden="1" x14ac:dyDescent="0.25">
      <c r="A1667" s="114" t="s">
        <v>5386</v>
      </c>
      <c r="B1667" s="115" t="s">
        <v>4186</v>
      </c>
      <c r="C1667" s="116" t="s">
        <v>20</v>
      </c>
      <c r="D1667" s="116">
        <v>0</v>
      </c>
      <c r="E1667" s="135" t="s">
        <v>558</v>
      </c>
      <c r="F1667" s="136" t="str">
        <f t="shared" si="102"/>
        <v/>
      </c>
      <c r="G1667" s="137" t="e">
        <f>IF(A1667&lt;&gt;"",IF(AND(#REF!="Padrão",$H$4=#REF!),BDI!$B$17,IF(AND(#REF!="Padrão",$H$4=#REF!),BDI!#REF!,IF(AND(#REF!="Diferenciado",$H$4=#REF!),BDI!$E$17,IF(AND(#REF!="Diferenciado",$H$4=#REF!),BDI!#REF!,IF(#REF!="ZERO",0))))),"")</f>
        <v>#REF!</v>
      </c>
      <c r="H1667" s="138" t="str">
        <f t="shared" si="103"/>
        <v/>
      </c>
      <c r="I1667" s="136" t="str">
        <f t="shared" si="104"/>
        <v/>
      </c>
    </row>
    <row r="1668" spans="1:9" hidden="1" x14ac:dyDescent="0.25">
      <c r="A1668" s="114" t="s">
        <v>5387</v>
      </c>
      <c r="B1668" s="115" t="s">
        <v>4187</v>
      </c>
      <c r="C1668" s="116" t="s">
        <v>20</v>
      </c>
      <c r="D1668" s="116">
        <v>0</v>
      </c>
      <c r="E1668" s="135" t="s">
        <v>558</v>
      </c>
      <c r="F1668" s="136" t="str">
        <f t="shared" si="102"/>
        <v/>
      </c>
      <c r="G1668" s="137" t="e">
        <f>IF(A1668&lt;&gt;"",IF(AND(#REF!="Padrão",$H$4=#REF!),BDI!$B$17,IF(AND(#REF!="Padrão",$H$4=#REF!),BDI!#REF!,IF(AND(#REF!="Diferenciado",$H$4=#REF!),BDI!$E$17,IF(AND(#REF!="Diferenciado",$H$4=#REF!),BDI!#REF!,IF(#REF!="ZERO",0))))),"")</f>
        <v>#REF!</v>
      </c>
      <c r="H1668" s="138" t="str">
        <f t="shared" si="103"/>
        <v/>
      </c>
      <c r="I1668" s="136" t="str">
        <f t="shared" si="104"/>
        <v/>
      </c>
    </row>
    <row r="1669" spans="1:9" hidden="1" x14ac:dyDescent="0.25">
      <c r="A1669" s="114" t="s">
        <v>5388</v>
      </c>
      <c r="B1669" s="115" t="s">
        <v>4188</v>
      </c>
      <c r="C1669" s="116" t="s">
        <v>20</v>
      </c>
      <c r="D1669" s="116">
        <v>0</v>
      </c>
      <c r="E1669" s="135" t="s">
        <v>558</v>
      </c>
      <c r="F1669" s="136" t="str">
        <f t="shared" si="102"/>
        <v/>
      </c>
      <c r="G1669" s="137" t="e">
        <f>IF(A1669&lt;&gt;"",IF(AND(#REF!="Padrão",$H$4=#REF!),BDI!$B$17,IF(AND(#REF!="Padrão",$H$4=#REF!),BDI!#REF!,IF(AND(#REF!="Diferenciado",$H$4=#REF!),BDI!$E$17,IF(AND(#REF!="Diferenciado",$H$4=#REF!),BDI!#REF!,IF(#REF!="ZERO",0))))),"")</f>
        <v>#REF!</v>
      </c>
      <c r="H1669" s="138" t="str">
        <f t="shared" si="103"/>
        <v/>
      </c>
      <c r="I1669" s="136" t="str">
        <f t="shared" si="104"/>
        <v/>
      </c>
    </row>
    <row r="1670" spans="1:9" hidden="1" x14ac:dyDescent="0.25">
      <c r="A1670" s="114" t="s">
        <v>5389</v>
      </c>
      <c r="B1670" s="115" t="s">
        <v>4189</v>
      </c>
      <c r="C1670" s="116" t="s">
        <v>20</v>
      </c>
      <c r="D1670" s="116">
        <v>0</v>
      </c>
      <c r="E1670" s="135" t="s">
        <v>558</v>
      </c>
      <c r="F1670" s="136" t="str">
        <f t="shared" si="102"/>
        <v/>
      </c>
      <c r="G1670" s="137" t="e">
        <f>IF(A1670&lt;&gt;"",IF(AND(#REF!="Padrão",$H$4=#REF!),BDI!$B$17,IF(AND(#REF!="Padrão",$H$4=#REF!),BDI!#REF!,IF(AND(#REF!="Diferenciado",$H$4=#REF!),BDI!$E$17,IF(AND(#REF!="Diferenciado",$H$4=#REF!),BDI!#REF!,IF(#REF!="ZERO",0))))),"")</f>
        <v>#REF!</v>
      </c>
      <c r="H1670" s="138" t="str">
        <f t="shared" si="103"/>
        <v/>
      </c>
      <c r="I1670" s="136" t="str">
        <f t="shared" si="104"/>
        <v/>
      </c>
    </row>
    <row r="1671" spans="1:9" hidden="1" x14ac:dyDescent="0.25">
      <c r="A1671" s="114" t="s">
        <v>5390</v>
      </c>
      <c r="B1671" s="115" t="s">
        <v>4190</v>
      </c>
      <c r="C1671" s="116" t="s">
        <v>20</v>
      </c>
      <c r="D1671" s="116">
        <v>0</v>
      </c>
      <c r="E1671" s="135" t="s">
        <v>558</v>
      </c>
      <c r="F1671" s="136" t="str">
        <f t="shared" si="102"/>
        <v/>
      </c>
      <c r="G1671" s="137" t="e">
        <f>IF(A1671&lt;&gt;"",IF(AND(#REF!="Padrão",$H$4=#REF!),BDI!$B$17,IF(AND(#REF!="Padrão",$H$4=#REF!),BDI!#REF!,IF(AND(#REF!="Diferenciado",$H$4=#REF!),BDI!$E$17,IF(AND(#REF!="Diferenciado",$H$4=#REF!),BDI!#REF!,IF(#REF!="ZERO",0))))),"")</f>
        <v>#REF!</v>
      </c>
      <c r="H1671" s="138" t="str">
        <f t="shared" si="103"/>
        <v/>
      </c>
      <c r="I1671" s="136" t="str">
        <f t="shared" si="104"/>
        <v/>
      </c>
    </row>
    <row r="1672" spans="1:9" hidden="1" x14ac:dyDescent="0.25">
      <c r="A1672" s="114" t="s">
        <v>5391</v>
      </c>
      <c r="B1672" s="115" t="s">
        <v>4191</v>
      </c>
      <c r="C1672" s="116" t="s">
        <v>20</v>
      </c>
      <c r="D1672" s="116">
        <v>0</v>
      </c>
      <c r="E1672" s="135" t="s">
        <v>558</v>
      </c>
      <c r="F1672" s="136" t="str">
        <f t="shared" si="102"/>
        <v/>
      </c>
      <c r="G1672" s="137" t="e">
        <f>IF(A1672&lt;&gt;"",IF(AND(#REF!="Padrão",$H$4=#REF!),BDI!$B$17,IF(AND(#REF!="Padrão",$H$4=#REF!),BDI!#REF!,IF(AND(#REF!="Diferenciado",$H$4=#REF!),BDI!$E$17,IF(AND(#REF!="Diferenciado",$H$4=#REF!),BDI!#REF!,IF(#REF!="ZERO",0))))),"")</f>
        <v>#REF!</v>
      </c>
      <c r="H1672" s="138" t="str">
        <f t="shared" si="103"/>
        <v/>
      </c>
      <c r="I1672" s="136" t="str">
        <f t="shared" si="104"/>
        <v/>
      </c>
    </row>
    <row r="1673" spans="1:9" hidden="1" x14ac:dyDescent="0.25">
      <c r="A1673" s="114" t="s">
        <v>5392</v>
      </c>
      <c r="B1673" s="115" t="s">
        <v>4192</v>
      </c>
      <c r="C1673" s="116" t="s">
        <v>20</v>
      </c>
      <c r="D1673" s="116">
        <v>0</v>
      </c>
      <c r="E1673" s="135" t="s">
        <v>558</v>
      </c>
      <c r="F1673" s="136" t="str">
        <f t="shared" si="102"/>
        <v/>
      </c>
      <c r="G1673" s="137" t="e">
        <f>IF(A1673&lt;&gt;"",IF(AND(#REF!="Padrão",$H$4=#REF!),BDI!$B$17,IF(AND(#REF!="Padrão",$H$4=#REF!),BDI!#REF!,IF(AND(#REF!="Diferenciado",$H$4=#REF!),BDI!$E$17,IF(AND(#REF!="Diferenciado",$H$4=#REF!),BDI!#REF!,IF(#REF!="ZERO",0))))),"")</f>
        <v>#REF!</v>
      </c>
      <c r="H1673" s="138" t="str">
        <f t="shared" si="103"/>
        <v/>
      </c>
      <c r="I1673" s="136" t="str">
        <f t="shared" si="104"/>
        <v/>
      </c>
    </row>
    <row r="1674" spans="1:9" hidden="1" x14ac:dyDescent="0.25">
      <c r="A1674" s="114" t="s">
        <v>5393</v>
      </c>
      <c r="B1674" s="115" t="s">
        <v>4193</v>
      </c>
      <c r="C1674" s="116" t="s">
        <v>20</v>
      </c>
      <c r="D1674" s="116">
        <v>0</v>
      </c>
      <c r="E1674" s="135" t="s">
        <v>558</v>
      </c>
      <c r="F1674" s="136" t="str">
        <f t="shared" si="102"/>
        <v/>
      </c>
      <c r="G1674" s="137" t="e">
        <f>IF(A1674&lt;&gt;"",IF(AND(#REF!="Padrão",$H$4=#REF!),BDI!$B$17,IF(AND(#REF!="Padrão",$H$4=#REF!),BDI!#REF!,IF(AND(#REF!="Diferenciado",$H$4=#REF!),BDI!$E$17,IF(AND(#REF!="Diferenciado",$H$4=#REF!),BDI!#REF!,IF(#REF!="ZERO",0))))),"")</f>
        <v>#REF!</v>
      </c>
      <c r="H1674" s="138" t="str">
        <f t="shared" si="103"/>
        <v/>
      </c>
      <c r="I1674" s="136" t="str">
        <f t="shared" si="104"/>
        <v/>
      </c>
    </row>
    <row r="1675" spans="1:9" hidden="1" x14ac:dyDescent="0.25">
      <c r="A1675" s="114" t="s">
        <v>5394</v>
      </c>
      <c r="B1675" s="115" t="s">
        <v>4194</v>
      </c>
      <c r="C1675" s="116" t="s">
        <v>20</v>
      </c>
      <c r="D1675" s="116">
        <v>0</v>
      </c>
      <c r="E1675" s="135" t="s">
        <v>558</v>
      </c>
      <c r="F1675" s="136" t="str">
        <f t="shared" si="102"/>
        <v/>
      </c>
      <c r="G1675" s="137" t="e">
        <f>IF(A1675&lt;&gt;"",IF(AND(#REF!="Padrão",$H$4=#REF!),BDI!$B$17,IF(AND(#REF!="Padrão",$H$4=#REF!),BDI!#REF!,IF(AND(#REF!="Diferenciado",$H$4=#REF!),BDI!$E$17,IF(AND(#REF!="Diferenciado",$H$4=#REF!),BDI!#REF!,IF(#REF!="ZERO",0))))),"")</f>
        <v>#REF!</v>
      </c>
      <c r="H1675" s="138" t="str">
        <f t="shared" si="103"/>
        <v/>
      </c>
      <c r="I1675" s="136" t="str">
        <f t="shared" si="104"/>
        <v/>
      </c>
    </row>
    <row r="1676" spans="1:9" hidden="1" x14ac:dyDescent="0.25">
      <c r="A1676" s="114" t="s">
        <v>5395</v>
      </c>
      <c r="B1676" s="115" t="s">
        <v>4195</v>
      </c>
      <c r="C1676" s="116" t="s">
        <v>20</v>
      </c>
      <c r="D1676" s="116">
        <v>0</v>
      </c>
      <c r="E1676" s="135" t="s">
        <v>558</v>
      </c>
      <c r="F1676" s="136" t="str">
        <f t="shared" si="102"/>
        <v/>
      </c>
      <c r="G1676" s="137" t="e">
        <f>IF(A1676&lt;&gt;"",IF(AND(#REF!="Padrão",$H$4=#REF!),BDI!$B$17,IF(AND(#REF!="Padrão",$H$4=#REF!),BDI!#REF!,IF(AND(#REF!="Diferenciado",$H$4=#REF!),BDI!$E$17,IF(AND(#REF!="Diferenciado",$H$4=#REF!),BDI!#REF!,IF(#REF!="ZERO",0))))),"")</f>
        <v>#REF!</v>
      </c>
      <c r="H1676" s="138" t="str">
        <f t="shared" si="103"/>
        <v/>
      </c>
      <c r="I1676" s="136" t="str">
        <f t="shared" si="104"/>
        <v/>
      </c>
    </row>
    <row r="1677" spans="1:9" hidden="1" x14ac:dyDescent="0.25">
      <c r="A1677" s="114" t="s">
        <v>5396</v>
      </c>
      <c r="B1677" s="115" t="s">
        <v>4196</v>
      </c>
      <c r="C1677" s="116" t="s">
        <v>20</v>
      </c>
      <c r="D1677" s="116">
        <v>0</v>
      </c>
      <c r="E1677" s="135" t="s">
        <v>558</v>
      </c>
      <c r="F1677" s="136" t="str">
        <f t="shared" si="102"/>
        <v/>
      </c>
      <c r="G1677" s="137" t="e">
        <f>IF(A1677&lt;&gt;"",IF(AND(#REF!="Padrão",$H$4=#REF!),BDI!$B$17,IF(AND(#REF!="Padrão",$H$4=#REF!),BDI!#REF!,IF(AND(#REF!="Diferenciado",$H$4=#REF!),BDI!$E$17,IF(AND(#REF!="Diferenciado",$H$4=#REF!),BDI!#REF!,IF(#REF!="ZERO",0))))),"")</f>
        <v>#REF!</v>
      </c>
      <c r="H1677" s="138" t="str">
        <f t="shared" si="103"/>
        <v/>
      </c>
      <c r="I1677" s="136" t="str">
        <f t="shared" si="104"/>
        <v/>
      </c>
    </row>
    <row r="1678" spans="1:9" hidden="1" x14ac:dyDescent="0.25">
      <c r="A1678" s="114" t="s">
        <v>5397</v>
      </c>
      <c r="B1678" s="115" t="s">
        <v>4197</v>
      </c>
      <c r="C1678" s="116" t="s">
        <v>20</v>
      </c>
      <c r="D1678" s="116">
        <v>0</v>
      </c>
      <c r="E1678" s="135" t="s">
        <v>558</v>
      </c>
      <c r="F1678" s="136" t="str">
        <f t="shared" si="102"/>
        <v/>
      </c>
      <c r="G1678" s="137" t="e">
        <f>IF(A1678&lt;&gt;"",IF(AND(#REF!="Padrão",$H$4=#REF!),BDI!$B$17,IF(AND(#REF!="Padrão",$H$4=#REF!),BDI!#REF!,IF(AND(#REF!="Diferenciado",$H$4=#REF!),BDI!$E$17,IF(AND(#REF!="Diferenciado",$H$4=#REF!),BDI!#REF!,IF(#REF!="ZERO",0))))),"")</f>
        <v>#REF!</v>
      </c>
      <c r="H1678" s="138" t="str">
        <f t="shared" si="103"/>
        <v/>
      </c>
      <c r="I1678" s="136" t="str">
        <f t="shared" si="104"/>
        <v/>
      </c>
    </row>
    <row r="1679" spans="1:9" hidden="1" x14ac:dyDescent="0.25">
      <c r="A1679" s="114" t="s">
        <v>5398</v>
      </c>
      <c r="B1679" s="115" t="s">
        <v>4198</v>
      </c>
      <c r="C1679" s="116" t="s">
        <v>20</v>
      </c>
      <c r="D1679" s="116">
        <v>0</v>
      </c>
      <c r="E1679" s="135" t="s">
        <v>558</v>
      </c>
      <c r="F1679" s="136" t="str">
        <f t="shared" si="102"/>
        <v/>
      </c>
      <c r="G1679" s="137" t="e">
        <f>IF(A1679&lt;&gt;"",IF(AND(#REF!="Padrão",$H$4=#REF!),BDI!$B$17,IF(AND(#REF!="Padrão",$H$4=#REF!),BDI!#REF!,IF(AND(#REF!="Diferenciado",$H$4=#REF!),BDI!$E$17,IF(AND(#REF!="Diferenciado",$H$4=#REF!),BDI!#REF!,IF(#REF!="ZERO",0))))),"")</f>
        <v>#REF!</v>
      </c>
      <c r="H1679" s="138" t="str">
        <f t="shared" si="103"/>
        <v/>
      </c>
      <c r="I1679" s="136" t="str">
        <f t="shared" si="104"/>
        <v/>
      </c>
    </row>
    <row r="1680" spans="1:9" hidden="1" x14ac:dyDescent="0.25">
      <c r="A1680" s="114" t="s">
        <v>5399</v>
      </c>
      <c r="B1680" s="115" t="s">
        <v>4199</v>
      </c>
      <c r="C1680" s="116" t="s">
        <v>20</v>
      </c>
      <c r="D1680" s="116">
        <v>0</v>
      </c>
      <c r="E1680" s="135" t="s">
        <v>558</v>
      </c>
      <c r="F1680" s="136" t="str">
        <f t="shared" si="102"/>
        <v/>
      </c>
      <c r="G1680" s="137" t="e">
        <f>IF(A1680&lt;&gt;"",IF(AND(#REF!="Padrão",$H$4=#REF!),BDI!$B$17,IF(AND(#REF!="Padrão",$H$4=#REF!),BDI!#REF!,IF(AND(#REF!="Diferenciado",$H$4=#REF!),BDI!$E$17,IF(AND(#REF!="Diferenciado",$H$4=#REF!),BDI!#REF!,IF(#REF!="ZERO",0))))),"")</f>
        <v>#REF!</v>
      </c>
      <c r="H1680" s="138" t="str">
        <f t="shared" si="103"/>
        <v/>
      </c>
      <c r="I1680" s="136" t="str">
        <f t="shared" si="104"/>
        <v/>
      </c>
    </row>
    <row r="1681" spans="1:9" hidden="1" x14ac:dyDescent="0.25">
      <c r="A1681" s="114" t="s">
        <v>5400</v>
      </c>
      <c r="B1681" s="115" t="s">
        <v>4200</v>
      </c>
      <c r="C1681" s="116" t="s">
        <v>20</v>
      </c>
      <c r="D1681" s="116">
        <v>0</v>
      </c>
      <c r="E1681" s="135" t="s">
        <v>558</v>
      </c>
      <c r="F1681" s="136" t="str">
        <f t="shared" si="102"/>
        <v/>
      </c>
      <c r="G1681" s="137" t="e">
        <f>IF(A1681&lt;&gt;"",IF(AND(#REF!="Padrão",$H$4=#REF!),BDI!$B$17,IF(AND(#REF!="Padrão",$H$4=#REF!),BDI!#REF!,IF(AND(#REF!="Diferenciado",$H$4=#REF!),BDI!$E$17,IF(AND(#REF!="Diferenciado",$H$4=#REF!),BDI!#REF!,IF(#REF!="ZERO",0))))),"")</f>
        <v>#REF!</v>
      </c>
      <c r="H1681" s="138" t="str">
        <f t="shared" si="103"/>
        <v/>
      </c>
      <c r="I1681" s="136" t="str">
        <f t="shared" si="104"/>
        <v/>
      </c>
    </row>
    <row r="1682" spans="1:9" hidden="1" x14ac:dyDescent="0.25">
      <c r="A1682" s="114" t="s">
        <v>5401</v>
      </c>
      <c r="B1682" s="115" t="s">
        <v>4201</v>
      </c>
      <c r="C1682" s="116" t="s">
        <v>20</v>
      </c>
      <c r="D1682" s="116">
        <v>0</v>
      </c>
      <c r="E1682" s="135" t="s">
        <v>558</v>
      </c>
      <c r="F1682" s="136" t="str">
        <f t="shared" si="102"/>
        <v/>
      </c>
      <c r="G1682" s="137" t="e">
        <f>IF(A1682&lt;&gt;"",IF(AND(#REF!="Padrão",$H$4=#REF!),BDI!$B$17,IF(AND(#REF!="Padrão",$H$4=#REF!),BDI!#REF!,IF(AND(#REF!="Diferenciado",$H$4=#REF!),BDI!$E$17,IF(AND(#REF!="Diferenciado",$H$4=#REF!),BDI!#REF!,IF(#REF!="ZERO",0))))),"")</f>
        <v>#REF!</v>
      </c>
      <c r="H1682" s="138" t="str">
        <f t="shared" si="103"/>
        <v/>
      </c>
      <c r="I1682" s="136" t="str">
        <f t="shared" si="104"/>
        <v/>
      </c>
    </row>
    <row r="1683" spans="1:9" hidden="1" x14ac:dyDescent="0.25">
      <c r="A1683" s="114" t="s">
        <v>5402</v>
      </c>
      <c r="B1683" s="115" t="s">
        <v>4202</v>
      </c>
      <c r="C1683" s="116" t="s">
        <v>20</v>
      </c>
      <c r="D1683" s="116">
        <v>0</v>
      </c>
      <c r="E1683" s="135" t="s">
        <v>558</v>
      </c>
      <c r="F1683" s="136" t="str">
        <f t="shared" si="102"/>
        <v/>
      </c>
      <c r="G1683" s="137" t="e">
        <f>IF(A1683&lt;&gt;"",IF(AND(#REF!="Padrão",$H$4=#REF!),BDI!$B$17,IF(AND(#REF!="Padrão",$H$4=#REF!),BDI!#REF!,IF(AND(#REF!="Diferenciado",$H$4=#REF!),BDI!$E$17,IF(AND(#REF!="Diferenciado",$H$4=#REF!),BDI!#REF!,IF(#REF!="ZERO",0))))),"")</f>
        <v>#REF!</v>
      </c>
      <c r="H1683" s="138" t="str">
        <f t="shared" si="103"/>
        <v/>
      </c>
      <c r="I1683" s="136" t="str">
        <f t="shared" si="104"/>
        <v/>
      </c>
    </row>
    <row r="1684" spans="1:9" hidden="1" x14ac:dyDescent="0.25">
      <c r="A1684" s="114" t="s">
        <v>5403</v>
      </c>
      <c r="B1684" s="115" t="s">
        <v>4203</v>
      </c>
      <c r="C1684" s="116" t="s">
        <v>20</v>
      </c>
      <c r="D1684" s="116">
        <v>0</v>
      </c>
      <c r="E1684" s="135" t="s">
        <v>558</v>
      </c>
      <c r="F1684" s="136" t="str">
        <f t="shared" si="102"/>
        <v/>
      </c>
      <c r="G1684" s="137" t="e">
        <f>IF(A1684&lt;&gt;"",IF(AND(#REF!="Padrão",$H$4=#REF!),BDI!$B$17,IF(AND(#REF!="Padrão",$H$4=#REF!),BDI!#REF!,IF(AND(#REF!="Diferenciado",$H$4=#REF!),BDI!$E$17,IF(AND(#REF!="Diferenciado",$H$4=#REF!),BDI!#REF!,IF(#REF!="ZERO",0))))),"")</f>
        <v>#REF!</v>
      </c>
      <c r="H1684" s="138" t="str">
        <f t="shared" si="103"/>
        <v/>
      </c>
      <c r="I1684" s="136" t="str">
        <f t="shared" si="104"/>
        <v/>
      </c>
    </row>
    <row r="1685" spans="1:9" hidden="1" x14ac:dyDescent="0.25">
      <c r="A1685" s="114" t="s">
        <v>5404</v>
      </c>
      <c r="B1685" s="115" t="s">
        <v>4204</v>
      </c>
      <c r="C1685" s="116" t="s">
        <v>20</v>
      </c>
      <c r="D1685" s="116">
        <v>0</v>
      </c>
      <c r="E1685" s="135" t="s">
        <v>558</v>
      </c>
      <c r="F1685" s="136" t="str">
        <f t="shared" si="102"/>
        <v/>
      </c>
      <c r="G1685" s="137" t="e">
        <f>IF(A1685&lt;&gt;"",IF(AND(#REF!="Padrão",$H$4=#REF!),BDI!$B$17,IF(AND(#REF!="Padrão",$H$4=#REF!),BDI!#REF!,IF(AND(#REF!="Diferenciado",$H$4=#REF!),BDI!$E$17,IF(AND(#REF!="Diferenciado",$H$4=#REF!),BDI!#REF!,IF(#REF!="ZERO",0))))),"")</f>
        <v>#REF!</v>
      </c>
      <c r="H1685" s="138" t="str">
        <f t="shared" si="103"/>
        <v/>
      </c>
      <c r="I1685" s="136" t="str">
        <f t="shared" si="104"/>
        <v/>
      </c>
    </row>
    <row r="1686" spans="1:9" hidden="1" x14ac:dyDescent="0.25">
      <c r="A1686" s="114" t="s">
        <v>5405</v>
      </c>
      <c r="B1686" s="115" t="s">
        <v>4205</v>
      </c>
      <c r="C1686" s="116" t="s">
        <v>20</v>
      </c>
      <c r="D1686" s="116">
        <v>0</v>
      </c>
      <c r="E1686" s="135" t="s">
        <v>558</v>
      </c>
      <c r="F1686" s="136" t="str">
        <f t="shared" si="102"/>
        <v/>
      </c>
      <c r="G1686" s="137" t="e">
        <f>IF(A1686&lt;&gt;"",IF(AND(#REF!="Padrão",$H$4=#REF!),BDI!$B$17,IF(AND(#REF!="Padrão",$H$4=#REF!),BDI!#REF!,IF(AND(#REF!="Diferenciado",$H$4=#REF!),BDI!$E$17,IF(AND(#REF!="Diferenciado",$H$4=#REF!),BDI!#REF!,IF(#REF!="ZERO",0))))),"")</f>
        <v>#REF!</v>
      </c>
      <c r="H1686" s="138" t="str">
        <f t="shared" si="103"/>
        <v/>
      </c>
      <c r="I1686" s="136" t="str">
        <f t="shared" si="104"/>
        <v/>
      </c>
    </row>
    <row r="1687" spans="1:9" hidden="1" x14ac:dyDescent="0.25">
      <c r="A1687" s="114" t="s">
        <v>5406</v>
      </c>
      <c r="B1687" s="115" t="s">
        <v>4206</v>
      </c>
      <c r="C1687" s="116" t="s">
        <v>20</v>
      </c>
      <c r="D1687" s="116">
        <v>0</v>
      </c>
      <c r="E1687" s="135" t="s">
        <v>558</v>
      </c>
      <c r="F1687" s="136" t="str">
        <f t="shared" si="102"/>
        <v/>
      </c>
      <c r="G1687" s="137" t="e">
        <f>IF(A1687&lt;&gt;"",IF(AND(#REF!="Padrão",$H$4=#REF!),BDI!$B$17,IF(AND(#REF!="Padrão",$H$4=#REF!),BDI!#REF!,IF(AND(#REF!="Diferenciado",$H$4=#REF!),BDI!$E$17,IF(AND(#REF!="Diferenciado",$H$4=#REF!),BDI!#REF!,IF(#REF!="ZERO",0))))),"")</f>
        <v>#REF!</v>
      </c>
      <c r="H1687" s="138" t="str">
        <f t="shared" si="103"/>
        <v/>
      </c>
      <c r="I1687" s="136" t="str">
        <f t="shared" si="104"/>
        <v/>
      </c>
    </row>
    <row r="1688" spans="1:9" hidden="1" x14ac:dyDescent="0.25">
      <c r="A1688" s="114" t="s">
        <v>5407</v>
      </c>
      <c r="B1688" s="115" t="s">
        <v>4207</v>
      </c>
      <c r="C1688" s="116" t="s">
        <v>20</v>
      </c>
      <c r="D1688" s="116">
        <v>0</v>
      </c>
      <c r="E1688" s="135" t="s">
        <v>558</v>
      </c>
      <c r="F1688" s="136" t="str">
        <f t="shared" si="102"/>
        <v/>
      </c>
      <c r="G1688" s="137" t="e">
        <f>IF(A1688&lt;&gt;"",IF(AND(#REF!="Padrão",$H$4=#REF!),BDI!$B$17,IF(AND(#REF!="Padrão",$H$4=#REF!),BDI!#REF!,IF(AND(#REF!="Diferenciado",$H$4=#REF!),BDI!$E$17,IF(AND(#REF!="Diferenciado",$H$4=#REF!),BDI!#REF!,IF(#REF!="ZERO",0))))),"")</f>
        <v>#REF!</v>
      </c>
      <c r="H1688" s="138" t="str">
        <f t="shared" si="103"/>
        <v/>
      </c>
      <c r="I1688" s="136" t="str">
        <f t="shared" si="104"/>
        <v/>
      </c>
    </row>
    <row r="1689" spans="1:9" hidden="1" x14ac:dyDescent="0.25">
      <c r="A1689" s="114" t="s">
        <v>5408</v>
      </c>
      <c r="B1689" s="115" t="s">
        <v>4208</v>
      </c>
      <c r="C1689" s="116" t="s">
        <v>20</v>
      </c>
      <c r="D1689" s="116">
        <v>0</v>
      </c>
      <c r="E1689" s="135" t="s">
        <v>558</v>
      </c>
      <c r="F1689" s="136" t="str">
        <f t="shared" si="102"/>
        <v/>
      </c>
      <c r="G1689" s="137" t="e">
        <f>IF(A1689&lt;&gt;"",IF(AND(#REF!="Padrão",$H$4=#REF!),BDI!$B$17,IF(AND(#REF!="Padrão",$H$4=#REF!),BDI!#REF!,IF(AND(#REF!="Diferenciado",$H$4=#REF!),BDI!$E$17,IF(AND(#REF!="Diferenciado",$H$4=#REF!),BDI!#REF!,IF(#REF!="ZERO",0))))),"")</f>
        <v>#REF!</v>
      </c>
      <c r="H1689" s="138" t="str">
        <f t="shared" si="103"/>
        <v/>
      </c>
      <c r="I1689" s="136" t="str">
        <f t="shared" si="104"/>
        <v/>
      </c>
    </row>
    <row r="1690" spans="1:9" hidden="1" x14ac:dyDescent="0.25">
      <c r="A1690" s="114" t="s">
        <v>5409</v>
      </c>
      <c r="B1690" s="115" t="s">
        <v>4209</v>
      </c>
      <c r="C1690" s="116" t="s">
        <v>20</v>
      </c>
      <c r="D1690" s="116">
        <v>0</v>
      </c>
      <c r="E1690" s="135" t="s">
        <v>558</v>
      </c>
      <c r="F1690" s="136" t="str">
        <f t="shared" si="102"/>
        <v/>
      </c>
      <c r="G1690" s="137" t="e">
        <f>IF(A1690&lt;&gt;"",IF(AND(#REF!="Padrão",$H$4=#REF!),BDI!$B$17,IF(AND(#REF!="Padrão",$H$4=#REF!),BDI!#REF!,IF(AND(#REF!="Diferenciado",$H$4=#REF!),BDI!$E$17,IF(AND(#REF!="Diferenciado",$H$4=#REF!),BDI!#REF!,IF(#REF!="ZERO",0))))),"")</f>
        <v>#REF!</v>
      </c>
      <c r="H1690" s="138" t="str">
        <f t="shared" si="103"/>
        <v/>
      </c>
      <c r="I1690" s="136" t="str">
        <f t="shared" si="104"/>
        <v/>
      </c>
    </row>
    <row r="1691" spans="1:9" hidden="1" x14ac:dyDescent="0.25">
      <c r="A1691" s="114" t="s">
        <v>5410</v>
      </c>
      <c r="B1691" s="115" t="s">
        <v>4210</v>
      </c>
      <c r="C1691" s="116" t="s">
        <v>20</v>
      </c>
      <c r="D1691" s="116">
        <v>0</v>
      </c>
      <c r="E1691" s="135" t="s">
        <v>558</v>
      </c>
      <c r="F1691" s="136" t="str">
        <f t="shared" si="102"/>
        <v/>
      </c>
      <c r="G1691" s="137" t="e">
        <f>IF(A1691&lt;&gt;"",IF(AND(#REF!="Padrão",$H$4=#REF!),BDI!$B$17,IF(AND(#REF!="Padrão",$H$4=#REF!),BDI!#REF!,IF(AND(#REF!="Diferenciado",$H$4=#REF!),BDI!$E$17,IF(AND(#REF!="Diferenciado",$H$4=#REF!),BDI!#REF!,IF(#REF!="ZERO",0))))),"")</f>
        <v>#REF!</v>
      </c>
      <c r="H1691" s="138" t="str">
        <f t="shared" si="103"/>
        <v/>
      </c>
      <c r="I1691" s="136" t="str">
        <f t="shared" si="104"/>
        <v/>
      </c>
    </row>
    <row r="1692" spans="1:9" hidden="1" x14ac:dyDescent="0.25">
      <c r="A1692" s="114" t="s">
        <v>5411</v>
      </c>
      <c r="B1692" s="115" t="s">
        <v>4211</v>
      </c>
      <c r="C1692" s="116" t="s">
        <v>20</v>
      </c>
      <c r="D1692" s="116">
        <v>0</v>
      </c>
      <c r="E1692" s="135" t="s">
        <v>558</v>
      </c>
      <c r="F1692" s="136" t="str">
        <f t="shared" si="102"/>
        <v/>
      </c>
      <c r="G1692" s="137" t="e">
        <f>IF(A1692&lt;&gt;"",IF(AND(#REF!="Padrão",$H$4=#REF!),BDI!$B$17,IF(AND(#REF!="Padrão",$H$4=#REF!),BDI!#REF!,IF(AND(#REF!="Diferenciado",$H$4=#REF!),BDI!$E$17,IF(AND(#REF!="Diferenciado",$H$4=#REF!),BDI!#REF!,IF(#REF!="ZERO",0))))),"")</f>
        <v>#REF!</v>
      </c>
      <c r="H1692" s="138" t="str">
        <f t="shared" si="103"/>
        <v/>
      </c>
      <c r="I1692" s="136" t="str">
        <f t="shared" si="104"/>
        <v/>
      </c>
    </row>
    <row r="1693" spans="1:9" hidden="1" x14ac:dyDescent="0.25">
      <c r="A1693" s="114" t="s">
        <v>5412</v>
      </c>
      <c r="B1693" s="115" t="s">
        <v>4212</v>
      </c>
      <c r="C1693" s="116" t="s">
        <v>20</v>
      </c>
      <c r="D1693" s="116">
        <v>0</v>
      </c>
      <c r="E1693" s="135" t="s">
        <v>558</v>
      </c>
      <c r="F1693" s="136" t="str">
        <f t="shared" si="102"/>
        <v/>
      </c>
      <c r="G1693" s="137" t="e">
        <f>IF(A1693&lt;&gt;"",IF(AND(#REF!="Padrão",$H$4=#REF!),BDI!$B$17,IF(AND(#REF!="Padrão",$H$4=#REF!),BDI!#REF!,IF(AND(#REF!="Diferenciado",$H$4=#REF!),BDI!$E$17,IF(AND(#REF!="Diferenciado",$H$4=#REF!),BDI!#REF!,IF(#REF!="ZERO",0))))),"")</f>
        <v>#REF!</v>
      </c>
      <c r="H1693" s="138" t="str">
        <f t="shared" si="103"/>
        <v/>
      </c>
      <c r="I1693" s="136" t="str">
        <f t="shared" si="104"/>
        <v/>
      </c>
    </row>
    <row r="1694" spans="1:9" hidden="1" x14ac:dyDescent="0.25">
      <c r="A1694" s="114" t="s">
        <v>5413</v>
      </c>
      <c r="B1694" s="115" t="s">
        <v>4213</v>
      </c>
      <c r="C1694" s="116" t="s">
        <v>20</v>
      </c>
      <c r="D1694" s="116">
        <v>0</v>
      </c>
      <c r="E1694" s="135" t="s">
        <v>558</v>
      </c>
      <c r="F1694" s="136" t="str">
        <f t="shared" si="102"/>
        <v/>
      </c>
      <c r="G1694" s="137" t="e">
        <f>IF(A1694&lt;&gt;"",IF(AND(#REF!="Padrão",$H$4=#REF!),BDI!$B$17,IF(AND(#REF!="Padrão",$H$4=#REF!),BDI!#REF!,IF(AND(#REF!="Diferenciado",$H$4=#REF!),BDI!$E$17,IF(AND(#REF!="Diferenciado",$H$4=#REF!),BDI!#REF!,IF(#REF!="ZERO",0))))),"")</f>
        <v>#REF!</v>
      </c>
      <c r="H1694" s="138" t="str">
        <f t="shared" si="103"/>
        <v/>
      </c>
      <c r="I1694" s="136" t="str">
        <f t="shared" si="104"/>
        <v/>
      </c>
    </row>
    <row r="1695" spans="1:9" hidden="1" x14ac:dyDescent="0.25">
      <c r="A1695" s="114" t="s">
        <v>5414</v>
      </c>
      <c r="B1695" s="115" t="s">
        <v>4214</v>
      </c>
      <c r="C1695" s="116" t="s">
        <v>20</v>
      </c>
      <c r="D1695" s="116">
        <v>0</v>
      </c>
      <c r="E1695" s="135" t="s">
        <v>558</v>
      </c>
      <c r="F1695" s="136" t="str">
        <f t="shared" si="102"/>
        <v/>
      </c>
      <c r="G1695" s="137" t="e">
        <f>IF(A1695&lt;&gt;"",IF(AND(#REF!="Padrão",$H$4=#REF!),BDI!$B$17,IF(AND(#REF!="Padrão",$H$4=#REF!),BDI!#REF!,IF(AND(#REF!="Diferenciado",$H$4=#REF!),BDI!$E$17,IF(AND(#REF!="Diferenciado",$H$4=#REF!),BDI!#REF!,IF(#REF!="ZERO",0))))),"")</f>
        <v>#REF!</v>
      </c>
      <c r="H1695" s="138" t="str">
        <f t="shared" si="103"/>
        <v/>
      </c>
      <c r="I1695" s="136" t="str">
        <f t="shared" si="104"/>
        <v/>
      </c>
    </row>
    <row r="1696" spans="1:9" hidden="1" x14ac:dyDescent="0.25">
      <c r="A1696" s="114" t="s">
        <v>5415</v>
      </c>
      <c r="B1696" s="115" t="s">
        <v>4215</v>
      </c>
      <c r="C1696" s="116" t="s">
        <v>20</v>
      </c>
      <c r="D1696" s="116">
        <v>0</v>
      </c>
      <c r="E1696" s="135" t="s">
        <v>558</v>
      </c>
      <c r="F1696" s="136" t="str">
        <f t="shared" si="102"/>
        <v/>
      </c>
      <c r="G1696" s="137" t="e">
        <f>IF(A1696&lt;&gt;"",IF(AND(#REF!="Padrão",$H$4=#REF!),BDI!$B$17,IF(AND(#REF!="Padrão",$H$4=#REF!),BDI!#REF!,IF(AND(#REF!="Diferenciado",$H$4=#REF!),BDI!$E$17,IF(AND(#REF!="Diferenciado",$H$4=#REF!),BDI!#REF!,IF(#REF!="ZERO",0))))),"")</f>
        <v>#REF!</v>
      </c>
      <c r="H1696" s="138" t="str">
        <f t="shared" si="103"/>
        <v/>
      </c>
      <c r="I1696" s="136" t="str">
        <f t="shared" si="104"/>
        <v/>
      </c>
    </row>
    <row r="1697" spans="1:9" hidden="1" x14ac:dyDescent="0.25">
      <c r="A1697" s="114" t="s">
        <v>5416</v>
      </c>
      <c r="B1697" s="115" t="s">
        <v>4216</v>
      </c>
      <c r="C1697" s="116" t="s">
        <v>20</v>
      </c>
      <c r="D1697" s="116">
        <v>0</v>
      </c>
      <c r="E1697" s="135" t="s">
        <v>558</v>
      </c>
      <c r="F1697" s="136" t="str">
        <f t="shared" si="102"/>
        <v/>
      </c>
      <c r="G1697" s="137" t="e">
        <f>IF(A1697&lt;&gt;"",IF(AND(#REF!="Padrão",$H$4=#REF!),BDI!$B$17,IF(AND(#REF!="Padrão",$H$4=#REF!),BDI!#REF!,IF(AND(#REF!="Diferenciado",$H$4=#REF!),BDI!$E$17,IF(AND(#REF!="Diferenciado",$H$4=#REF!),BDI!#REF!,IF(#REF!="ZERO",0))))),"")</f>
        <v>#REF!</v>
      </c>
      <c r="H1697" s="138" t="str">
        <f t="shared" si="103"/>
        <v/>
      </c>
      <c r="I1697" s="136" t="str">
        <f t="shared" si="104"/>
        <v/>
      </c>
    </row>
    <row r="1698" spans="1:9" hidden="1" x14ac:dyDescent="0.25">
      <c r="A1698" s="114" t="s">
        <v>5417</v>
      </c>
      <c r="B1698" s="115" t="s">
        <v>4217</v>
      </c>
      <c r="C1698" s="116" t="s">
        <v>20</v>
      </c>
      <c r="D1698" s="116">
        <v>0</v>
      </c>
      <c r="E1698" s="135" t="s">
        <v>558</v>
      </c>
      <c r="F1698" s="136" t="str">
        <f t="shared" si="102"/>
        <v/>
      </c>
      <c r="G1698" s="137" t="e">
        <f>IF(A1698&lt;&gt;"",IF(AND(#REF!="Padrão",$H$4=#REF!),BDI!$B$17,IF(AND(#REF!="Padrão",$H$4=#REF!),BDI!#REF!,IF(AND(#REF!="Diferenciado",$H$4=#REF!),BDI!$E$17,IF(AND(#REF!="Diferenciado",$H$4=#REF!),BDI!#REF!,IF(#REF!="ZERO",0))))),"")</f>
        <v>#REF!</v>
      </c>
      <c r="H1698" s="138" t="str">
        <f t="shared" si="103"/>
        <v/>
      </c>
      <c r="I1698" s="136" t="str">
        <f t="shared" si="104"/>
        <v/>
      </c>
    </row>
    <row r="1699" spans="1:9" hidden="1" x14ac:dyDescent="0.25">
      <c r="A1699" s="114" t="s">
        <v>5418</v>
      </c>
      <c r="B1699" s="115" t="s">
        <v>4218</v>
      </c>
      <c r="C1699" s="116" t="s">
        <v>20</v>
      </c>
      <c r="D1699" s="116">
        <v>0</v>
      </c>
      <c r="E1699" s="135" t="s">
        <v>558</v>
      </c>
      <c r="F1699" s="136" t="str">
        <f t="shared" si="102"/>
        <v/>
      </c>
      <c r="G1699" s="137" t="e">
        <f>IF(A1699&lt;&gt;"",IF(AND(#REF!="Padrão",$H$4=#REF!),BDI!$B$17,IF(AND(#REF!="Padrão",$H$4=#REF!),BDI!#REF!,IF(AND(#REF!="Diferenciado",$H$4=#REF!),BDI!$E$17,IF(AND(#REF!="Diferenciado",$H$4=#REF!),BDI!#REF!,IF(#REF!="ZERO",0))))),"")</f>
        <v>#REF!</v>
      </c>
      <c r="H1699" s="138" t="str">
        <f t="shared" si="103"/>
        <v/>
      </c>
      <c r="I1699" s="136" t="str">
        <f t="shared" si="104"/>
        <v/>
      </c>
    </row>
    <row r="1700" spans="1:9" hidden="1" x14ac:dyDescent="0.25">
      <c r="A1700" s="114" t="s">
        <v>5419</v>
      </c>
      <c r="B1700" s="115" t="s">
        <v>4219</v>
      </c>
      <c r="C1700" s="116" t="s">
        <v>20</v>
      </c>
      <c r="D1700" s="116">
        <v>0</v>
      </c>
      <c r="E1700" s="135" t="s">
        <v>558</v>
      </c>
      <c r="F1700" s="136" t="str">
        <f t="shared" si="102"/>
        <v/>
      </c>
      <c r="G1700" s="137" t="e">
        <f>IF(A1700&lt;&gt;"",IF(AND(#REF!="Padrão",$H$4=#REF!),BDI!$B$17,IF(AND(#REF!="Padrão",$H$4=#REF!),BDI!#REF!,IF(AND(#REF!="Diferenciado",$H$4=#REF!),BDI!$E$17,IF(AND(#REF!="Diferenciado",$H$4=#REF!),BDI!#REF!,IF(#REF!="ZERO",0))))),"")</f>
        <v>#REF!</v>
      </c>
      <c r="H1700" s="138" t="str">
        <f t="shared" si="103"/>
        <v/>
      </c>
      <c r="I1700" s="136" t="str">
        <f t="shared" si="104"/>
        <v/>
      </c>
    </row>
    <row r="1701" spans="1:9" hidden="1" x14ac:dyDescent="0.25">
      <c r="A1701" s="114" t="s">
        <v>5420</v>
      </c>
      <c r="B1701" s="115" t="s">
        <v>4220</v>
      </c>
      <c r="C1701" s="116" t="s">
        <v>20</v>
      </c>
      <c r="D1701" s="116">
        <v>0</v>
      </c>
      <c r="E1701" s="135" t="s">
        <v>558</v>
      </c>
      <c r="F1701" s="136" t="str">
        <f t="shared" si="102"/>
        <v/>
      </c>
      <c r="G1701" s="137" t="e">
        <f>IF(A1701&lt;&gt;"",IF(AND(#REF!="Padrão",$H$4=#REF!),BDI!$B$17,IF(AND(#REF!="Padrão",$H$4=#REF!),BDI!#REF!,IF(AND(#REF!="Diferenciado",$H$4=#REF!),BDI!$E$17,IF(AND(#REF!="Diferenciado",$H$4=#REF!),BDI!#REF!,IF(#REF!="ZERO",0))))),"")</f>
        <v>#REF!</v>
      </c>
      <c r="H1701" s="138" t="str">
        <f t="shared" si="103"/>
        <v/>
      </c>
      <c r="I1701" s="136" t="str">
        <f t="shared" si="104"/>
        <v/>
      </c>
    </row>
    <row r="1702" spans="1:9" hidden="1" x14ac:dyDescent="0.25">
      <c r="A1702" s="114" t="s">
        <v>5421</v>
      </c>
      <c r="B1702" s="115" t="s">
        <v>4221</v>
      </c>
      <c r="C1702" s="116" t="s">
        <v>20</v>
      </c>
      <c r="D1702" s="116">
        <v>0</v>
      </c>
      <c r="E1702" s="135" t="s">
        <v>558</v>
      </c>
      <c r="F1702" s="136" t="str">
        <f t="shared" si="102"/>
        <v/>
      </c>
      <c r="G1702" s="137" t="e">
        <f>IF(A1702&lt;&gt;"",IF(AND(#REF!="Padrão",$H$4=#REF!),BDI!$B$17,IF(AND(#REF!="Padrão",$H$4=#REF!),BDI!#REF!,IF(AND(#REF!="Diferenciado",$H$4=#REF!),BDI!$E$17,IF(AND(#REF!="Diferenciado",$H$4=#REF!),BDI!#REF!,IF(#REF!="ZERO",0))))),"")</f>
        <v>#REF!</v>
      </c>
      <c r="H1702" s="138" t="str">
        <f t="shared" si="103"/>
        <v/>
      </c>
      <c r="I1702" s="136" t="str">
        <f t="shared" si="104"/>
        <v/>
      </c>
    </row>
    <row r="1703" spans="1:9" hidden="1" x14ac:dyDescent="0.25">
      <c r="A1703" s="114" t="s">
        <v>5422</v>
      </c>
      <c r="B1703" s="115" t="s">
        <v>4222</v>
      </c>
      <c r="C1703" s="116" t="s">
        <v>20</v>
      </c>
      <c r="D1703" s="116">
        <v>0</v>
      </c>
      <c r="E1703" s="135" t="s">
        <v>558</v>
      </c>
      <c r="F1703" s="136" t="str">
        <f t="shared" si="102"/>
        <v/>
      </c>
      <c r="G1703" s="137" t="e">
        <f>IF(A1703&lt;&gt;"",IF(AND(#REF!="Padrão",$H$4=#REF!),BDI!$B$17,IF(AND(#REF!="Padrão",$H$4=#REF!),BDI!#REF!,IF(AND(#REF!="Diferenciado",$H$4=#REF!),BDI!$E$17,IF(AND(#REF!="Diferenciado",$H$4=#REF!),BDI!#REF!,IF(#REF!="ZERO",0))))),"")</f>
        <v>#REF!</v>
      </c>
      <c r="H1703" s="138" t="str">
        <f t="shared" si="103"/>
        <v/>
      </c>
      <c r="I1703" s="136" t="str">
        <f t="shared" si="104"/>
        <v/>
      </c>
    </row>
    <row r="1704" spans="1:9" hidden="1" x14ac:dyDescent="0.25">
      <c r="A1704" s="114" t="s">
        <v>5423</v>
      </c>
      <c r="B1704" s="115" t="s">
        <v>4223</v>
      </c>
      <c r="C1704" s="116" t="s">
        <v>20</v>
      </c>
      <c r="D1704" s="116">
        <v>0</v>
      </c>
      <c r="E1704" s="135" t="s">
        <v>558</v>
      </c>
      <c r="F1704" s="136" t="str">
        <f t="shared" si="102"/>
        <v/>
      </c>
      <c r="G1704" s="137" t="e">
        <f>IF(A1704&lt;&gt;"",IF(AND(#REF!="Padrão",$H$4=#REF!),BDI!$B$17,IF(AND(#REF!="Padrão",$H$4=#REF!),BDI!#REF!,IF(AND(#REF!="Diferenciado",$H$4=#REF!),BDI!$E$17,IF(AND(#REF!="Diferenciado",$H$4=#REF!),BDI!#REF!,IF(#REF!="ZERO",0))))),"")</f>
        <v>#REF!</v>
      </c>
      <c r="H1704" s="138" t="str">
        <f t="shared" si="103"/>
        <v/>
      </c>
      <c r="I1704" s="136" t="str">
        <f t="shared" si="104"/>
        <v/>
      </c>
    </row>
    <row r="1705" spans="1:9" hidden="1" x14ac:dyDescent="0.25">
      <c r="A1705" s="114" t="s">
        <v>5424</v>
      </c>
      <c r="B1705" s="115" t="s">
        <v>4224</v>
      </c>
      <c r="C1705" s="116" t="s">
        <v>20</v>
      </c>
      <c r="D1705" s="116">
        <v>0</v>
      </c>
      <c r="E1705" s="135" t="s">
        <v>558</v>
      </c>
      <c r="F1705" s="136" t="str">
        <f t="shared" si="102"/>
        <v/>
      </c>
      <c r="G1705" s="137" t="e">
        <f>IF(A1705&lt;&gt;"",IF(AND(#REF!="Padrão",$H$4=#REF!),BDI!$B$17,IF(AND(#REF!="Padrão",$H$4=#REF!),BDI!#REF!,IF(AND(#REF!="Diferenciado",$H$4=#REF!),BDI!$E$17,IF(AND(#REF!="Diferenciado",$H$4=#REF!),BDI!#REF!,IF(#REF!="ZERO",0))))),"")</f>
        <v>#REF!</v>
      </c>
      <c r="H1705" s="138" t="str">
        <f t="shared" si="103"/>
        <v/>
      </c>
      <c r="I1705" s="136" t="str">
        <f t="shared" si="104"/>
        <v/>
      </c>
    </row>
    <row r="1706" spans="1:9" hidden="1" x14ac:dyDescent="0.25">
      <c r="A1706" s="114" t="s">
        <v>5425</v>
      </c>
      <c r="B1706" s="115" t="s">
        <v>4225</v>
      </c>
      <c r="C1706" s="116" t="s">
        <v>20</v>
      </c>
      <c r="D1706" s="116">
        <v>0</v>
      </c>
      <c r="E1706" s="135" t="s">
        <v>558</v>
      </c>
      <c r="F1706" s="136" t="str">
        <f t="shared" si="102"/>
        <v/>
      </c>
      <c r="G1706" s="137" t="e">
        <f>IF(A1706&lt;&gt;"",IF(AND(#REF!="Padrão",$H$4=#REF!),BDI!$B$17,IF(AND(#REF!="Padrão",$H$4=#REF!),BDI!#REF!,IF(AND(#REF!="Diferenciado",$H$4=#REF!),BDI!$E$17,IF(AND(#REF!="Diferenciado",$H$4=#REF!),BDI!#REF!,IF(#REF!="ZERO",0))))),"")</f>
        <v>#REF!</v>
      </c>
      <c r="H1706" s="138" t="str">
        <f t="shared" si="103"/>
        <v/>
      </c>
      <c r="I1706" s="136" t="str">
        <f t="shared" si="104"/>
        <v/>
      </c>
    </row>
    <row r="1707" spans="1:9" hidden="1" x14ac:dyDescent="0.25">
      <c r="A1707" s="114" t="s">
        <v>5426</v>
      </c>
      <c r="B1707" s="115" t="s">
        <v>4226</v>
      </c>
      <c r="C1707" s="116" t="s">
        <v>20</v>
      </c>
      <c r="D1707" s="116">
        <v>0</v>
      </c>
      <c r="E1707" s="135" t="s">
        <v>558</v>
      </c>
      <c r="F1707" s="136" t="str">
        <f t="shared" si="102"/>
        <v/>
      </c>
      <c r="G1707" s="137" t="e">
        <f>IF(A1707&lt;&gt;"",IF(AND(#REF!="Padrão",$H$4=#REF!),BDI!$B$17,IF(AND(#REF!="Padrão",$H$4=#REF!),BDI!#REF!,IF(AND(#REF!="Diferenciado",$H$4=#REF!),BDI!$E$17,IF(AND(#REF!="Diferenciado",$H$4=#REF!),BDI!#REF!,IF(#REF!="ZERO",0))))),"")</f>
        <v>#REF!</v>
      </c>
      <c r="H1707" s="138" t="str">
        <f t="shared" si="103"/>
        <v/>
      </c>
      <c r="I1707" s="136" t="str">
        <f t="shared" si="104"/>
        <v/>
      </c>
    </row>
    <row r="1708" spans="1:9" hidden="1" x14ac:dyDescent="0.25">
      <c r="A1708" s="114" t="s">
        <v>5427</v>
      </c>
      <c r="B1708" s="115" t="s">
        <v>4227</v>
      </c>
      <c r="C1708" s="116" t="s">
        <v>20</v>
      </c>
      <c r="D1708" s="116">
        <v>0</v>
      </c>
      <c r="E1708" s="135" t="s">
        <v>558</v>
      </c>
      <c r="F1708" s="136" t="str">
        <f t="shared" si="102"/>
        <v/>
      </c>
      <c r="G1708" s="137" t="e">
        <f>IF(A1708&lt;&gt;"",IF(AND(#REF!="Padrão",$H$4=#REF!),BDI!$B$17,IF(AND(#REF!="Padrão",$H$4=#REF!),BDI!#REF!,IF(AND(#REF!="Diferenciado",$H$4=#REF!),BDI!$E$17,IF(AND(#REF!="Diferenciado",$H$4=#REF!),BDI!#REF!,IF(#REF!="ZERO",0))))),"")</f>
        <v>#REF!</v>
      </c>
      <c r="H1708" s="138" t="str">
        <f t="shared" si="103"/>
        <v/>
      </c>
      <c r="I1708" s="136" t="str">
        <f t="shared" si="104"/>
        <v/>
      </c>
    </row>
    <row r="1709" spans="1:9" hidden="1" x14ac:dyDescent="0.25">
      <c r="A1709" s="114" t="s">
        <v>5428</v>
      </c>
      <c r="B1709" s="115" t="s">
        <v>4228</v>
      </c>
      <c r="C1709" s="116" t="s">
        <v>20</v>
      </c>
      <c r="D1709" s="116">
        <v>0</v>
      </c>
      <c r="E1709" s="135" t="s">
        <v>558</v>
      </c>
      <c r="F1709" s="136" t="str">
        <f t="shared" ref="F1709:F1772" si="105">IF(ISNUMBER(E1709),D1709*E1709,"")</f>
        <v/>
      </c>
      <c r="G1709" s="137" t="e">
        <f>IF(A1709&lt;&gt;"",IF(AND(#REF!="Padrão",$H$4=#REF!),BDI!$B$17,IF(AND(#REF!="Padrão",$H$4=#REF!),BDI!#REF!,IF(AND(#REF!="Diferenciado",$H$4=#REF!),BDI!$E$17,IF(AND(#REF!="Diferenciado",$H$4=#REF!),BDI!#REF!,IF(#REF!="ZERO",0))))),"")</f>
        <v>#REF!</v>
      </c>
      <c r="H1709" s="138" t="str">
        <f t="shared" ref="H1709:H1772" si="106">IF(ISNUMBER(E1709),ROUND(E1709*(1+G1709),2),"")</f>
        <v/>
      </c>
      <c r="I1709" s="136" t="str">
        <f t="shared" ref="I1709:I1772" si="107">IF(ISNUMBER(E1709),ROUND(H1709*D1709,2),"")</f>
        <v/>
      </c>
    </row>
    <row r="1710" spans="1:9" hidden="1" x14ac:dyDescent="0.25">
      <c r="A1710" s="114" t="s">
        <v>5429</v>
      </c>
      <c r="B1710" s="115" t="s">
        <v>4229</v>
      </c>
      <c r="C1710" s="116" t="s">
        <v>20</v>
      </c>
      <c r="D1710" s="116">
        <v>0</v>
      </c>
      <c r="E1710" s="135" t="s">
        <v>558</v>
      </c>
      <c r="F1710" s="136" t="str">
        <f t="shared" si="105"/>
        <v/>
      </c>
      <c r="G1710" s="137" t="e">
        <f>IF(A1710&lt;&gt;"",IF(AND(#REF!="Padrão",$H$4=#REF!),BDI!$B$17,IF(AND(#REF!="Padrão",$H$4=#REF!),BDI!#REF!,IF(AND(#REF!="Diferenciado",$H$4=#REF!),BDI!$E$17,IF(AND(#REF!="Diferenciado",$H$4=#REF!),BDI!#REF!,IF(#REF!="ZERO",0))))),"")</f>
        <v>#REF!</v>
      </c>
      <c r="H1710" s="138" t="str">
        <f t="shared" si="106"/>
        <v/>
      </c>
      <c r="I1710" s="136" t="str">
        <f t="shared" si="107"/>
        <v/>
      </c>
    </row>
    <row r="1711" spans="1:9" hidden="1" x14ac:dyDescent="0.25">
      <c r="A1711" s="114" t="s">
        <v>5430</v>
      </c>
      <c r="B1711" s="115" t="s">
        <v>4230</v>
      </c>
      <c r="C1711" s="116" t="s">
        <v>20</v>
      </c>
      <c r="D1711" s="116">
        <v>0</v>
      </c>
      <c r="E1711" s="135" t="s">
        <v>558</v>
      </c>
      <c r="F1711" s="136" t="str">
        <f t="shared" si="105"/>
        <v/>
      </c>
      <c r="G1711" s="137" t="e">
        <f>IF(A1711&lt;&gt;"",IF(AND(#REF!="Padrão",$H$4=#REF!),BDI!$B$17,IF(AND(#REF!="Padrão",$H$4=#REF!),BDI!#REF!,IF(AND(#REF!="Diferenciado",$H$4=#REF!),BDI!$E$17,IF(AND(#REF!="Diferenciado",$H$4=#REF!),BDI!#REF!,IF(#REF!="ZERO",0))))),"")</f>
        <v>#REF!</v>
      </c>
      <c r="H1711" s="138" t="str">
        <f t="shared" si="106"/>
        <v/>
      </c>
      <c r="I1711" s="136" t="str">
        <f t="shared" si="107"/>
        <v/>
      </c>
    </row>
    <row r="1712" spans="1:9" hidden="1" x14ac:dyDescent="0.25">
      <c r="A1712" s="114" t="s">
        <v>5431</v>
      </c>
      <c r="B1712" s="115" t="s">
        <v>4231</v>
      </c>
      <c r="C1712" s="116" t="s">
        <v>20</v>
      </c>
      <c r="D1712" s="116">
        <v>0</v>
      </c>
      <c r="E1712" s="135" t="s">
        <v>558</v>
      </c>
      <c r="F1712" s="136" t="str">
        <f t="shared" si="105"/>
        <v/>
      </c>
      <c r="G1712" s="137" t="e">
        <f>IF(A1712&lt;&gt;"",IF(AND(#REF!="Padrão",$H$4=#REF!),BDI!$B$17,IF(AND(#REF!="Padrão",$H$4=#REF!),BDI!#REF!,IF(AND(#REF!="Diferenciado",$H$4=#REF!),BDI!$E$17,IF(AND(#REF!="Diferenciado",$H$4=#REF!),BDI!#REF!,IF(#REF!="ZERO",0))))),"")</f>
        <v>#REF!</v>
      </c>
      <c r="H1712" s="138" t="str">
        <f t="shared" si="106"/>
        <v/>
      </c>
      <c r="I1712" s="136" t="str">
        <f t="shared" si="107"/>
        <v/>
      </c>
    </row>
    <row r="1713" spans="1:9" hidden="1" x14ac:dyDescent="0.25">
      <c r="A1713" s="114" t="s">
        <v>5432</v>
      </c>
      <c r="B1713" s="115" t="s">
        <v>4232</v>
      </c>
      <c r="C1713" s="116" t="s">
        <v>20</v>
      </c>
      <c r="D1713" s="116">
        <v>0</v>
      </c>
      <c r="E1713" s="135" t="s">
        <v>558</v>
      </c>
      <c r="F1713" s="136" t="str">
        <f t="shared" si="105"/>
        <v/>
      </c>
      <c r="G1713" s="137" t="e">
        <f>IF(A1713&lt;&gt;"",IF(AND(#REF!="Padrão",$H$4=#REF!),BDI!$B$17,IF(AND(#REF!="Padrão",$H$4=#REF!),BDI!#REF!,IF(AND(#REF!="Diferenciado",$H$4=#REF!),BDI!$E$17,IF(AND(#REF!="Diferenciado",$H$4=#REF!),BDI!#REF!,IF(#REF!="ZERO",0))))),"")</f>
        <v>#REF!</v>
      </c>
      <c r="H1713" s="138" t="str">
        <f t="shared" si="106"/>
        <v/>
      </c>
      <c r="I1713" s="136" t="str">
        <f t="shared" si="107"/>
        <v/>
      </c>
    </row>
    <row r="1714" spans="1:9" hidden="1" x14ac:dyDescent="0.25">
      <c r="A1714" s="114" t="s">
        <v>5433</v>
      </c>
      <c r="B1714" s="115" t="s">
        <v>4233</v>
      </c>
      <c r="C1714" s="116" t="s">
        <v>20</v>
      </c>
      <c r="D1714" s="116">
        <v>0</v>
      </c>
      <c r="E1714" s="135" t="s">
        <v>558</v>
      </c>
      <c r="F1714" s="136" t="str">
        <f t="shared" si="105"/>
        <v/>
      </c>
      <c r="G1714" s="137" t="e">
        <f>IF(A1714&lt;&gt;"",IF(AND(#REF!="Padrão",$H$4=#REF!),BDI!$B$17,IF(AND(#REF!="Padrão",$H$4=#REF!),BDI!#REF!,IF(AND(#REF!="Diferenciado",$H$4=#REF!),BDI!$E$17,IF(AND(#REF!="Diferenciado",$H$4=#REF!),BDI!#REF!,IF(#REF!="ZERO",0))))),"")</f>
        <v>#REF!</v>
      </c>
      <c r="H1714" s="138" t="str">
        <f t="shared" si="106"/>
        <v/>
      </c>
      <c r="I1714" s="136" t="str">
        <f t="shared" si="107"/>
        <v/>
      </c>
    </row>
    <row r="1715" spans="1:9" hidden="1" x14ac:dyDescent="0.25">
      <c r="A1715" s="114" t="s">
        <v>5434</v>
      </c>
      <c r="B1715" s="115" t="s">
        <v>4234</v>
      </c>
      <c r="C1715" s="116" t="s">
        <v>20</v>
      </c>
      <c r="D1715" s="116">
        <v>0</v>
      </c>
      <c r="E1715" s="135" t="s">
        <v>558</v>
      </c>
      <c r="F1715" s="136" t="str">
        <f t="shared" si="105"/>
        <v/>
      </c>
      <c r="G1715" s="137" t="e">
        <f>IF(A1715&lt;&gt;"",IF(AND(#REF!="Padrão",$H$4=#REF!),BDI!$B$17,IF(AND(#REF!="Padrão",$H$4=#REF!),BDI!#REF!,IF(AND(#REF!="Diferenciado",$H$4=#REF!),BDI!$E$17,IF(AND(#REF!="Diferenciado",$H$4=#REF!),BDI!#REF!,IF(#REF!="ZERO",0))))),"")</f>
        <v>#REF!</v>
      </c>
      <c r="H1715" s="138" t="str">
        <f t="shared" si="106"/>
        <v/>
      </c>
      <c r="I1715" s="136" t="str">
        <f t="shared" si="107"/>
        <v/>
      </c>
    </row>
    <row r="1716" spans="1:9" hidden="1" x14ac:dyDescent="0.25">
      <c r="A1716" s="114" t="s">
        <v>5435</v>
      </c>
      <c r="B1716" s="115" t="s">
        <v>4235</v>
      </c>
      <c r="C1716" s="116" t="s">
        <v>20</v>
      </c>
      <c r="D1716" s="116">
        <v>0</v>
      </c>
      <c r="E1716" s="135" t="s">
        <v>558</v>
      </c>
      <c r="F1716" s="136" t="str">
        <f t="shared" si="105"/>
        <v/>
      </c>
      <c r="G1716" s="137" t="e">
        <f>IF(A1716&lt;&gt;"",IF(AND(#REF!="Padrão",$H$4=#REF!),BDI!$B$17,IF(AND(#REF!="Padrão",$H$4=#REF!),BDI!#REF!,IF(AND(#REF!="Diferenciado",$H$4=#REF!),BDI!$E$17,IF(AND(#REF!="Diferenciado",$H$4=#REF!),BDI!#REF!,IF(#REF!="ZERO",0))))),"")</f>
        <v>#REF!</v>
      </c>
      <c r="H1716" s="138" t="str">
        <f t="shared" si="106"/>
        <v/>
      </c>
      <c r="I1716" s="136" t="str">
        <f t="shared" si="107"/>
        <v/>
      </c>
    </row>
    <row r="1717" spans="1:9" hidden="1" x14ac:dyDescent="0.25">
      <c r="A1717" s="114" t="s">
        <v>5436</v>
      </c>
      <c r="B1717" s="115" t="s">
        <v>4236</v>
      </c>
      <c r="C1717" s="116" t="s">
        <v>20</v>
      </c>
      <c r="D1717" s="116">
        <v>0</v>
      </c>
      <c r="E1717" s="135" t="s">
        <v>558</v>
      </c>
      <c r="F1717" s="136" t="str">
        <f t="shared" si="105"/>
        <v/>
      </c>
      <c r="G1717" s="137" t="e">
        <f>IF(A1717&lt;&gt;"",IF(AND(#REF!="Padrão",$H$4=#REF!),BDI!$B$17,IF(AND(#REF!="Padrão",$H$4=#REF!),BDI!#REF!,IF(AND(#REF!="Diferenciado",$H$4=#REF!),BDI!$E$17,IF(AND(#REF!="Diferenciado",$H$4=#REF!),BDI!#REF!,IF(#REF!="ZERO",0))))),"")</f>
        <v>#REF!</v>
      </c>
      <c r="H1717" s="138" t="str">
        <f t="shared" si="106"/>
        <v/>
      </c>
      <c r="I1717" s="136" t="str">
        <f t="shared" si="107"/>
        <v/>
      </c>
    </row>
    <row r="1718" spans="1:9" hidden="1" x14ac:dyDescent="0.25">
      <c r="A1718" s="114" t="s">
        <v>5437</v>
      </c>
      <c r="B1718" s="115" t="s">
        <v>4237</v>
      </c>
      <c r="C1718" s="116" t="s">
        <v>20</v>
      </c>
      <c r="D1718" s="116">
        <v>0</v>
      </c>
      <c r="E1718" s="135" t="s">
        <v>558</v>
      </c>
      <c r="F1718" s="136" t="str">
        <f t="shared" si="105"/>
        <v/>
      </c>
      <c r="G1718" s="137" t="e">
        <f>IF(A1718&lt;&gt;"",IF(AND(#REF!="Padrão",$H$4=#REF!),BDI!$B$17,IF(AND(#REF!="Padrão",$H$4=#REF!),BDI!#REF!,IF(AND(#REF!="Diferenciado",$H$4=#REF!),BDI!$E$17,IF(AND(#REF!="Diferenciado",$H$4=#REF!),BDI!#REF!,IF(#REF!="ZERO",0))))),"")</f>
        <v>#REF!</v>
      </c>
      <c r="H1718" s="138" t="str">
        <f t="shared" si="106"/>
        <v/>
      </c>
      <c r="I1718" s="136" t="str">
        <f t="shared" si="107"/>
        <v/>
      </c>
    </row>
    <row r="1719" spans="1:9" hidden="1" x14ac:dyDescent="0.25">
      <c r="A1719" s="114" t="s">
        <v>5438</v>
      </c>
      <c r="B1719" s="115" t="s">
        <v>4238</v>
      </c>
      <c r="C1719" s="116" t="s">
        <v>20</v>
      </c>
      <c r="D1719" s="116">
        <v>0</v>
      </c>
      <c r="E1719" s="135" t="s">
        <v>558</v>
      </c>
      <c r="F1719" s="136" t="str">
        <f t="shared" si="105"/>
        <v/>
      </c>
      <c r="G1719" s="137" t="e">
        <f>IF(A1719&lt;&gt;"",IF(AND(#REF!="Padrão",$H$4=#REF!),BDI!$B$17,IF(AND(#REF!="Padrão",$H$4=#REF!),BDI!#REF!,IF(AND(#REF!="Diferenciado",$H$4=#REF!),BDI!$E$17,IF(AND(#REF!="Diferenciado",$H$4=#REF!),BDI!#REF!,IF(#REF!="ZERO",0))))),"")</f>
        <v>#REF!</v>
      </c>
      <c r="H1719" s="138" t="str">
        <f t="shared" si="106"/>
        <v/>
      </c>
      <c r="I1719" s="136" t="str">
        <f t="shared" si="107"/>
        <v/>
      </c>
    </row>
    <row r="1720" spans="1:9" hidden="1" x14ac:dyDescent="0.25">
      <c r="A1720" s="114" t="s">
        <v>5439</v>
      </c>
      <c r="B1720" s="115" t="s">
        <v>4239</v>
      </c>
      <c r="C1720" s="116" t="s">
        <v>20</v>
      </c>
      <c r="D1720" s="116">
        <v>0</v>
      </c>
      <c r="E1720" s="135" t="s">
        <v>558</v>
      </c>
      <c r="F1720" s="136" t="str">
        <f t="shared" si="105"/>
        <v/>
      </c>
      <c r="G1720" s="137" t="e">
        <f>IF(A1720&lt;&gt;"",IF(AND(#REF!="Padrão",$H$4=#REF!),BDI!$B$17,IF(AND(#REF!="Padrão",$H$4=#REF!),BDI!#REF!,IF(AND(#REF!="Diferenciado",$H$4=#REF!),BDI!$E$17,IF(AND(#REF!="Diferenciado",$H$4=#REF!),BDI!#REF!,IF(#REF!="ZERO",0))))),"")</f>
        <v>#REF!</v>
      </c>
      <c r="H1720" s="138" t="str">
        <f t="shared" si="106"/>
        <v/>
      </c>
      <c r="I1720" s="136" t="str">
        <f t="shared" si="107"/>
        <v/>
      </c>
    </row>
    <row r="1721" spans="1:9" hidden="1" x14ac:dyDescent="0.25">
      <c r="A1721" s="114" t="s">
        <v>5440</v>
      </c>
      <c r="B1721" s="115" t="s">
        <v>4240</v>
      </c>
      <c r="C1721" s="116" t="s">
        <v>20</v>
      </c>
      <c r="D1721" s="116">
        <v>0</v>
      </c>
      <c r="E1721" s="135" t="s">
        <v>558</v>
      </c>
      <c r="F1721" s="136" t="str">
        <f t="shared" si="105"/>
        <v/>
      </c>
      <c r="G1721" s="137" t="e">
        <f>IF(A1721&lt;&gt;"",IF(AND(#REF!="Padrão",$H$4=#REF!),BDI!$B$17,IF(AND(#REF!="Padrão",$H$4=#REF!),BDI!#REF!,IF(AND(#REF!="Diferenciado",$H$4=#REF!),BDI!$E$17,IF(AND(#REF!="Diferenciado",$H$4=#REF!),BDI!#REF!,IF(#REF!="ZERO",0))))),"")</f>
        <v>#REF!</v>
      </c>
      <c r="H1721" s="138" t="str">
        <f t="shared" si="106"/>
        <v/>
      </c>
      <c r="I1721" s="136" t="str">
        <f t="shared" si="107"/>
        <v/>
      </c>
    </row>
    <row r="1722" spans="1:9" hidden="1" x14ac:dyDescent="0.25">
      <c r="A1722" s="114" t="s">
        <v>5441</v>
      </c>
      <c r="B1722" s="115" t="s">
        <v>4241</v>
      </c>
      <c r="C1722" s="116" t="s">
        <v>20</v>
      </c>
      <c r="D1722" s="116">
        <v>0</v>
      </c>
      <c r="E1722" s="135" t="s">
        <v>558</v>
      </c>
      <c r="F1722" s="136" t="str">
        <f t="shared" si="105"/>
        <v/>
      </c>
      <c r="G1722" s="137" t="e">
        <f>IF(A1722&lt;&gt;"",IF(AND(#REF!="Padrão",$H$4=#REF!),BDI!$B$17,IF(AND(#REF!="Padrão",$H$4=#REF!),BDI!#REF!,IF(AND(#REF!="Diferenciado",$H$4=#REF!),BDI!$E$17,IF(AND(#REF!="Diferenciado",$H$4=#REF!),BDI!#REF!,IF(#REF!="ZERO",0))))),"")</f>
        <v>#REF!</v>
      </c>
      <c r="H1722" s="138" t="str">
        <f t="shared" si="106"/>
        <v/>
      </c>
      <c r="I1722" s="136" t="str">
        <f t="shared" si="107"/>
        <v/>
      </c>
    </row>
    <row r="1723" spans="1:9" hidden="1" x14ac:dyDescent="0.25">
      <c r="A1723" s="114" t="s">
        <v>5442</v>
      </c>
      <c r="B1723" s="115" t="s">
        <v>4242</v>
      </c>
      <c r="C1723" s="116" t="s">
        <v>20</v>
      </c>
      <c r="D1723" s="116">
        <v>0</v>
      </c>
      <c r="E1723" s="135" t="s">
        <v>558</v>
      </c>
      <c r="F1723" s="136" t="str">
        <f t="shared" si="105"/>
        <v/>
      </c>
      <c r="G1723" s="137" t="e">
        <f>IF(A1723&lt;&gt;"",IF(AND(#REF!="Padrão",$H$4=#REF!),BDI!$B$17,IF(AND(#REF!="Padrão",$H$4=#REF!),BDI!#REF!,IF(AND(#REF!="Diferenciado",$H$4=#REF!),BDI!$E$17,IF(AND(#REF!="Diferenciado",$H$4=#REF!),BDI!#REF!,IF(#REF!="ZERO",0))))),"")</f>
        <v>#REF!</v>
      </c>
      <c r="H1723" s="138" t="str">
        <f t="shared" si="106"/>
        <v/>
      </c>
      <c r="I1723" s="136" t="str">
        <f t="shared" si="107"/>
        <v/>
      </c>
    </row>
    <row r="1724" spans="1:9" hidden="1" x14ac:dyDescent="0.25">
      <c r="A1724" s="114" t="s">
        <v>5443</v>
      </c>
      <c r="B1724" s="115" t="s">
        <v>4243</v>
      </c>
      <c r="C1724" s="116" t="s">
        <v>20</v>
      </c>
      <c r="D1724" s="116">
        <v>0</v>
      </c>
      <c r="E1724" s="135" t="s">
        <v>558</v>
      </c>
      <c r="F1724" s="136" t="str">
        <f t="shared" si="105"/>
        <v/>
      </c>
      <c r="G1724" s="137" t="e">
        <f>IF(A1724&lt;&gt;"",IF(AND(#REF!="Padrão",$H$4=#REF!),BDI!$B$17,IF(AND(#REF!="Padrão",$H$4=#REF!),BDI!#REF!,IF(AND(#REF!="Diferenciado",$H$4=#REF!),BDI!$E$17,IF(AND(#REF!="Diferenciado",$H$4=#REF!),BDI!#REF!,IF(#REF!="ZERO",0))))),"")</f>
        <v>#REF!</v>
      </c>
      <c r="H1724" s="138" t="str">
        <f t="shared" si="106"/>
        <v/>
      </c>
      <c r="I1724" s="136" t="str">
        <f t="shared" si="107"/>
        <v/>
      </c>
    </row>
    <row r="1725" spans="1:9" hidden="1" x14ac:dyDescent="0.25">
      <c r="A1725" s="114" t="s">
        <v>5444</v>
      </c>
      <c r="B1725" s="115" t="s">
        <v>4244</v>
      </c>
      <c r="C1725" s="116" t="s">
        <v>20</v>
      </c>
      <c r="D1725" s="116">
        <v>0</v>
      </c>
      <c r="E1725" s="135" t="s">
        <v>558</v>
      </c>
      <c r="F1725" s="136" t="str">
        <f t="shared" si="105"/>
        <v/>
      </c>
      <c r="G1725" s="137" t="e">
        <f>IF(A1725&lt;&gt;"",IF(AND(#REF!="Padrão",$H$4=#REF!),BDI!$B$17,IF(AND(#REF!="Padrão",$H$4=#REF!),BDI!#REF!,IF(AND(#REF!="Diferenciado",$H$4=#REF!),BDI!$E$17,IF(AND(#REF!="Diferenciado",$H$4=#REF!),BDI!#REF!,IF(#REF!="ZERO",0))))),"")</f>
        <v>#REF!</v>
      </c>
      <c r="H1725" s="138" t="str">
        <f t="shared" si="106"/>
        <v/>
      </c>
      <c r="I1725" s="136" t="str">
        <f t="shared" si="107"/>
        <v/>
      </c>
    </row>
    <row r="1726" spans="1:9" hidden="1" x14ac:dyDescent="0.25">
      <c r="A1726" s="114" t="s">
        <v>5445</v>
      </c>
      <c r="B1726" s="115" t="s">
        <v>4245</v>
      </c>
      <c r="C1726" s="116" t="s">
        <v>20</v>
      </c>
      <c r="D1726" s="116">
        <v>0</v>
      </c>
      <c r="E1726" s="135" t="s">
        <v>558</v>
      </c>
      <c r="F1726" s="136" t="str">
        <f t="shared" si="105"/>
        <v/>
      </c>
      <c r="G1726" s="137" t="e">
        <f>IF(A1726&lt;&gt;"",IF(AND(#REF!="Padrão",$H$4=#REF!),BDI!$B$17,IF(AND(#REF!="Padrão",$H$4=#REF!),BDI!#REF!,IF(AND(#REF!="Diferenciado",$H$4=#REF!),BDI!$E$17,IF(AND(#REF!="Diferenciado",$H$4=#REF!),BDI!#REF!,IF(#REF!="ZERO",0))))),"")</f>
        <v>#REF!</v>
      </c>
      <c r="H1726" s="138" t="str">
        <f t="shared" si="106"/>
        <v/>
      </c>
      <c r="I1726" s="136" t="str">
        <f t="shared" si="107"/>
        <v/>
      </c>
    </row>
    <row r="1727" spans="1:9" hidden="1" x14ac:dyDescent="0.25">
      <c r="A1727" s="114" t="s">
        <v>5446</v>
      </c>
      <c r="B1727" s="115" t="s">
        <v>4246</v>
      </c>
      <c r="C1727" s="116" t="s">
        <v>20</v>
      </c>
      <c r="D1727" s="116">
        <v>0</v>
      </c>
      <c r="E1727" s="135" t="s">
        <v>558</v>
      </c>
      <c r="F1727" s="136" t="str">
        <f t="shared" si="105"/>
        <v/>
      </c>
      <c r="G1727" s="137" t="e">
        <f>IF(A1727&lt;&gt;"",IF(AND(#REF!="Padrão",$H$4=#REF!),BDI!$B$17,IF(AND(#REF!="Padrão",$H$4=#REF!),BDI!#REF!,IF(AND(#REF!="Diferenciado",$H$4=#REF!),BDI!$E$17,IF(AND(#REF!="Diferenciado",$H$4=#REF!),BDI!#REF!,IF(#REF!="ZERO",0))))),"")</f>
        <v>#REF!</v>
      </c>
      <c r="H1727" s="138" t="str">
        <f t="shared" si="106"/>
        <v/>
      </c>
      <c r="I1727" s="136" t="str">
        <f t="shared" si="107"/>
        <v/>
      </c>
    </row>
    <row r="1728" spans="1:9" hidden="1" x14ac:dyDescent="0.25">
      <c r="A1728" s="114" t="s">
        <v>5447</v>
      </c>
      <c r="B1728" s="115" t="s">
        <v>4247</v>
      </c>
      <c r="C1728" s="116" t="s">
        <v>20</v>
      </c>
      <c r="D1728" s="116">
        <v>0</v>
      </c>
      <c r="E1728" s="135" t="s">
        <v>558</v>
      </c>
      <c r="F1728" s="136" t="str">
        <f t="shared" si="105"/>
        <v/>
      </c>
      <c r="G1728" s="137" t="e">
        <f>IF(A1728&lt;&gt;"",IF(AND(#REF!="Padrão",$H$4=#REF!),BDI!$B$17,IF(AND(#REF!="Padrão",$H$4=#REF!),BDI!#REF!,IF(AND(#REF!="Diferenciado",$H$4=#REF!),BDI!$E$17,IF(AND(#REF!="Diferenciado",$H$4=#REF!),BDI!#REF!,IF(#REF!="ZERO",0))))),"")</f>
        <v>#REF!</v>
      </c>
      <c r="H1728" s="138" t="str">
        <f t="shared" si="106"/>
        <v/>
      </c>
      <c r="I1728" s="136" t="str">
        <f t="shared" si="107"/>
        <v/>
      </c>
    </row>
    <row r="1729" spans="1:9" hidden="1" x14ac:dyDescent="0.25">
      <c r="A1729" s="114" t="s">
        <v>5448</v>
      </c>
      <c r="B1729" s="115" t="s">
        <v>4248</v>
      </c>
      <c r="C1729" s="116" t="s">
        <v>20</v>
      </c>
      <c r="D1729" s="116">
        <v>0</v>
      </c>
      <c r="E1729" s="135" t="s">
        <v>558</v>
      </c>
      <c r="F1729" s="136" t="str">
        <f t="shared" si="105"/>
        <v/>
      </c>
      <c r="G1729" s="137" t="e">
        <f>IF(A1729&lt;&gt;"",IF(AND(#REF!="Padrão",$H$4=#REF!),BDI!$B$17,IF(AND(#REF!="Padrão",$H$4=#REF!),BDI!#REF!,IF(AND(#REF!="Diferenciado",$H$4=#REF!),BDI!$E$17,IF(AND(#REF!="Diferenciado",$H$4=#REF!),BDI!#REF!,IF(#REF!="ZERO",0))))),"")</f>
        <v>#REF!</v>
      </c>
      <c r="H1729" s="138" t="str">
        <f t="shared" si="106"/>
        <v/>
      </c>
      <c r="I1729" s="136" t="str">
        <f t="shared" si="107"/>
        <v/>
      </c>
    </row>
    <row r="1730" spans="1:9" hidden="1" x14ac:dyDescent="0.25">
      <c r="A1730" s="114" t="s">
        <v>5449</v>
      </c>
      <c r="B1730" s="115" t="s">
        <v>4249</v>
      </c>
      <c r="C1730" s="116" t="s">
        <v>20</v>
      </c>
      <c r="D1730" s="116">
        <v>0</v>
      </c>
      <c r="E1730" s="135" t="s">
        <v>558</v>
      </c>
      <c r="F1730" s="136" t="str">
        <f t="shared" si="105"/>
        <v/>
      </c>
      <c r="G1730" s="137" t="e">
        <f>IF(A1730&lt;&gt;"",IF(AND(#REF!="Padrão",$H$4=#REF!),BDI!$B$17,IF(AND(#REF!="Padrão",$H$4=#REF!),BDI!#REF!,IF(AND(#REF!="Diferenciado",$H$4=#REF!),BDI!$E$17,IF(AND(#REF!="Diferenciado",$H$4=#REF!),BDI!#REF!,IF(#REF!="ZERO",0))))),"")</f>
        <v>#REF!</v>
      </c>
      <c r="H1730" s="138" t="str">
        <f t="shared" si="106"/>
        <v/>
      </c>
      <c r="I1730" s="136" t="str">
        <f t="shared" si="107"/>
        <v/>
      </c>
    </row>
    <row r="1731" spans="1:9" hidden="1" x14ac:dyDescent="0.25">
      <c r="A1731" s="114" t="s">
        <v>5450</v>
      </c>
      <c r="B1731" s="115" t="s">
        <v>4250</v>
      </c>
      <c r="C1731" s="116" t="s">
        <v>20</v>
      </c>
      <c r="D1731" s="116">
        <v>0</v>
      </c>
      <c r="E1731" s="135" t="s">
        <v>558</v>
      </c>
      <c r="F1731" s="136" t="str">
        <f t="shared" si="105"/>
        <v/>
      </c>
      <c r="G1731" s="137" t="e">
        <f>IF(A1731&lt;&gt;"",IF(AND(#REF!="Padrão",$H$4=#REF!),BDI!$B$17,IF(AND(#REF!="Padrão",$H$4=#REF!),BDI!#REF!,IF(AND(#REF!="Diferenciado",$H$4=#REF!),BDI!$E$17,IF(AND(#REF!="Diferenciado",$H$4=#REF!),BDI!#REF!,IF(#REF!="ZERO",0))))),"")</f>
        <v>#REF!</v>
      </c>
      <c r="H1731" s="138" t="str">
        <f t="shared" si="106"/>
        <v/>
      </c>
      <c r="I1731" s="136" t="str">
        <f t="shared" si="107"/>
        <v/>
      </c>
    </row>
    <row r="1732" spans="1:9" hidden="1" x14ac:dyDescent="0.25">
      <c r="A1732" s="114" t="s">
        <v>5451</v>
      </c>
      <c r="B1732" s="115" t="s">
        <v>4251</v>
      </c>
      <c r="C1732" s="116" t="s">
        <v>20</v>
      </c>
      <c r="D1732" s="116">
        <v>0</v>
      </c>
      <c r="E1732" s="135" t="s">
        <v>558</v>
      </c>
      <c r="F1732" s="136" t="str">
        <f t="shared" si="105"/>
        <v/>
      </c>
      <c r="G1732" s="137" t="e">
        <f>IF(A1732&lt;&gt;"",IF(AND(#REF!="Padrão",$H$4=#REF!),BDI!$B$17,IF(AND(#REF!="Padrão",$H$4=#REF!),BDI!#REF!,IF(AND(#REF!="Diferenciado",$H$4=#REF!),BDI!$E$17,IF(AND(#REF!="Diferenciado",$H$4=#REF!),BDI!#REF!,IF(#REF!="ZERO",0))))),"")</f>
        <v>#REF!</v>
      </c>
      <c r="H1732" s="138" t="str">
        <f t="shared" si="106"/>
        <v/>
      </c>
      <c r="I1732" s="136" t="str">
        <f t="shared" si="107"/>
        <v/>
      </c>
    </row>
    <row r="1733" spans="1:9" hidden="1" x14ac:dyDescent="0.25">
      <c r="A1733" s="114" t="s">
        <v>5452</v>
      </c>
      <c r="B1733" s="115" t="s">
        <v>4252</v>
      </c>
      <c r="C1733" s="116" t="s">
        <v>20</v>
      </c>
      <c r="D1733" s="116">
        <v>0</v>
      </c>
      <c r="E1733" s="135" t="s">
        <v>558</v>
      </c>
      <c r="F1733" s="136" t="str">
        <f t="shared" si="105"/>
        <v/>
      </c>
      <c r="G1733" s="137" t="e">
        <f>IF(A1733&lt;&gt;"",IF(AND(#REF!="Padrão",$H$4=#REF!),BDI!$B$17,IF(AND(#REF!="Padrão",$H$4=#REF!),BDI!#REF!,IF(AND(#REF!="Diferenciado",$H$4=#REF!),BDI!$E$17,IF(AND(#REF!="Diferenciado",$H$4=#REF!),BDI!#REF!,IF(#REF!="ZERO",0))))),"")</f>
        <v>#REF!</v>
      </c>
      <c r="H1733" s="138" t="str">
        <f t="shared" si="106"/>
        <v/>
      </c>
      <c r="I1733" s="136" t="str">
        <f t="shared" si="107"/>
        <v/>
      </c>
    </row>
    <row r="1734" spans="1:9" hidden="1" x14ac:dyDescent="0.25">
      <c r="A1734" s="114" t="s">
        <v>5453</v>
      </c>
      <c r="B1734" s="115" t="s">
        <v>4253</v>
      </c>
      <c r="C1734" s="116" t="s">
        <v>20</v>
      </c>
      <c r="D1734" s="116">
        <v>0</v>
      </c>
      <c r="E1734" s="135" t="s">
        <v>558</v>
      </c>
      <c r="F1734" s="136" t="str">
        <f t="shared" si="105"/>
        <v/>
      </c>
      <c r="G1734" s="137" t="e">
        <f>IF(A1734&lt;&gt;"",IF(AND(#REF!="Padrão",$H$4=#REF!),BDI!$B$17,IF(AND(#REF!="Padrão",$H$4=#REF!),BDI!#REF!,IF(AND(#REF!="Diferenciado",$H$4=#REF!),BDI!$E$17,IF(AND(#REF!="Diferenciado",$H$4=#REF!),BDI!#REF!,IF(#REF!="ZERO",0))))),"")</f>
        <v>#REF!</v>
      </c>
      <c r="H1734" s="138" t="str">
        <f t="shared" si="106"/>
        <v/>
      </c>
      <c r="I1734" s="136" t="str">
        <f t="shared" si="107"/>
        <v/>
      </c>
    </row>
    <row r="1735" spans="1:9" hidden="1" x14ac:dyDescent="0.25">
      <c r="A1735" s="114" t="s">
        <v>5454</v>
      </c>
      <c r="B1735" s="115" t="s">
        <v>4254</v>
      </c>
      <c r="C1735" s="116" t="s">
        <v>20</v>
      </c>
      <c r="D1735" s="116">
        <v>0</v>
      </c>
      <c r="E1735" s="135" t="s">
        <v>558</v>
      </c>
      <c r="F1735" s="136" t="str">
        <f t="shared" si="105"/>
        <v/>
      </c>
      <c r="G1735" s="137" t="e">
        <f>IF(A1735&lt;&gt;"",IF(AND(#REF!="Padrão",$H$4=#REF!),BDI!$B$17,IF(AND(#REF!="Padrão",$H$4=#REF!),BDI!#REF!,IF(AND(#REF!="Diferenciado",$H$4=#REF!),BDI!$E$17,IF(AND(#REF!="Diferenciado",$H$4=#REF!),BDI!#REF!,IF(#REF!="ZERO",0))))),"")</f>
        <v>#REF!</v>
      </c>
      <c r="H1735" s="138" t="str">
        <f t="shared" si="106"/>
        <v/>
      </c>
      <c r="I1735" s="136" t="str">
        <f t="shared" si="107"/>
        <v/>
      </c>
    </row>
    <row r="1736" spans="1:9" hidden="1" x14ac:dyDescent="0.25">
      <c r="A1736" s="114" t="s">
        <v>5455</v>
      </c>
      <c r="B1736" s="115" t="s">
        <v>4255</v>
      </c>
      <c r="C1736" s="116" t="s">
        <v>20</v>
      </c>
      <c r="D1736" s="116">
        <v>0</v>
      </c>
      <c r="E1736" s="135" t="s">
        <v>558</v>
      </c>
      <c r="F1736" s="136" t="str">
        <f t="shared" si="105"/>
        <v/>
      </c>
      <c r="G1736" s="137" t="e">
        <f>IF(A1736&lt;&gt;"",IF(AND(#REF!="Padrão",$H$4=#REF!),BDI!$B$17,IF(AND(#REF!="Padrão",$H$4=#REF!),BDI!#REF!,IF(AND(#REF!="Diferenciado",$H$4=#REF!),BDI!$E$17,IF(AND(#REF!="Diferenciado",$H$4=#REF!),BDI!#REF!,IF(#REF!="ZERO",0))))),"")</f>
        <v>#REF!</v>
      </c>
      <c r="H1736" s="138" t="str">
        <f t="shared" si="106"/>
        <v/>
      </c>
      <c r="I1736" s="136" t="str">
        <f t="shared" si="107"/>
        <v/>
      </c>
    </row>
    <row r="1737" spans="1:9" hidden="1" x14ac:dyDescent="0.25">
      <c r="A1737" s="114" t="s">
        <v>5456</v>
      </c>
      <c r="B1737" s="115" t="s">
        <v>4256</v>
      </c>
      <c r="C1737" s="116" t="s">
        <v>20</v>
      </c>
      <c r="D1737" s="116">
        <v>0</v>
      </c>
      <c r="E1737" s="135" t="s">
        <v>558</v>
      </c>
      <c r="F1737" s="136" t="str">
        <f t="shared" si="105"/>
        <v/>
      </c>
      <c r="G1737" s="137" t="e">
        <f>IF(A1737&lt;&gt;"",IF(AND(#REF!="Padrão",$H$4=#REF!),BDI!$B$17,IF(AND(#REF!="Padrão",$H$4=#REF!),BDI!#REF!,IF(AND(#REF!="Diferenciado",$H$4=#REF!),BDI!$E$17,IF(AND(#REF!="Diferenciado",$H$4=#REF!),BDI!#REF!,IF(#REF!="ZERO",0))))),"")</f>
        <v>#REF!</v>
      </c>
      <c r="H1737" s="138" t="str">
        <f t="shared" si="106"/>
        <v/>
      </c>
      <c r="I1737" s="136" t="str">
        <f t="shared" si="107"/>
        <v/>
      </c>
    </row>
    <row r="1738" spans="1:9" hidden="1" x14ac:dyDescent="0.25">
      <c r="A1738" s="114" t="s">
        <v>5457</v>
      </c>
      <c r="B1738" s="115" t="s">
        <v>6553</v>
      </c>
      <c r="C1738" s="116" t="s">
        <v>93</v>
      </c>
      <c r="D1738" s="116">
        <v>0</v>
      </c>
      <c r="E1738" s="135" t="s">
        <v>558</v>
      </c>
      <c r="F1738" s="136" t="str">
        <f t="shared" si="105"/>
        <v/>
      </c>
      <c r="G1738" s="137" t="e">
        <f>IF(A1738&lt;&gt;"",IF(AND(#REF!="Padrão",$H$4=#REF!),BDI!$B$17,IF(AND(#REF!="Padrão",$H$4=#REF!),BDI!#REF!,IF(AND(#REF!="Diferenciado",$H$4=#REF!),BDI!$E$17,IF(AND(#REF!="Diferenciado",$H$4=#REF!),BDI!#REF!,IF(#REF!="ZERO",0))))),"")</f>
        <v>#REF!</v>
      </c>
      <c r="H1738" s="138" t="str">
        <f t="shared" si="106"/>
        <v/>
      </c>
      <c r="I1738" s="136" t="str">
        <f t="shared" si="107"/>
        <v/>
      </c>
    </row>
    <row r="1739" spans="1:9" hidden="1" x14ac:dyDescent="0.25">
      <c r="A1739" s="114" t="s">
        <v>5458</v>
      </c>
      <c r="B1739" s="115" t="s">
        <v>6554</v>
      </c>
      <c r="C1739" s="116" t="s">
        <v>93</v>
      </c>
      <c r="D1739" s="116">
        <v>0</v>
      </c>
      <c r="E1739" s="135" t="s">
        <v>558</v>
      </c>
      <c r="F1739" s="136" t="str">
        <f t="shared" si="105"/>
        <v/>
      </c>
      <c r="G1739" s="137" t="e">
        <f>IF(A1739&lt;&gt;"",IF(AND(#REF!="Padrão",$H$4=#REF!),BDI!$B$17,IF(AND(#REF!="Padrão",$H$4=#REF!),BDI!#REF!,IF(AND(#REF!="Diferenciado",$H$4=#REF!),BDI!$E$17,IF(AND(#REF!="Diferenciado",$H$4=#REF!),BDI!#REF!,IF(#REF!="ZERO",0))))),"")</f>
        <v>#REF!</v>
      </c>
      <c r="H1739" s="138" t="str">
        <f t="shared" si="106"/>
        <v/>
      </c>
      <c r="I1739" s="136" t="str">
        <f t="shared" si="107"/>
        <v/>
      </c>
    </row>
    <row r="1740" spans="1:9" hidden="1" x14ac:dyDescent="0.25">
      <c r="A1740" s="114" t="s">
        <v>5459</v>
      </c>
      <c r="B1740" s="115" t="s">
        <v>4257</v>
      </c>
      <c r="C1740" s="116" t="s">
        <v>93</v>
      </c>
      <c r="D1740" s="116">
        <v>0</v>
      </c>
      <c r="E1740" s="135" t="s">
        <v>558</v>
      </c>
      <c r="F1740" s="136" t="str">
        <f t="shared" si="105"/>
        <v/>
      </c>
      <c r="G1740" s="137" t="e">
        <f>IF(A1740&lt;&gt;"",IF(AND(#REF!="Padrão",$H$4=#REF!),BDI!$B$17,IF(AND(#REF!="Padrão",$H$4=#REF!),BDI!#REF!,IF(AND(#REF!="Diferenciado",$H$4=#REF!),BDI!$E$17,IF(AND(#REF!="Diferenciado",$H$4=#REF!),BDI!#REF!,IF(#REF!="ZERO",0))))),"")</f>
        <v>#REF!</v>
      </c>
      <c r="H1740" s="138" t="str">
        <f t="shared" si="106"/>
        <v/>
      </c>
      <c r="I1740" s="136" t="str">
        <f t="shared" si="107"/>
        <v/>
      </c>
    </row>
    <row r="1741" spans="1:9" hidden="1" x14ac:dyDescent="0.25">
      <c r="A1741" s="114" t="s">
        <v>5460</v>
      </c>
      <c r="B1741" s="115" t="s">
        <v>6555</v>
      </c>
      <c r="C1741" s="116" t="s">
        <v>93</v>
      </c>
      <c r="D1741" s="116">
        <v>0</v>
      </c>
      <c r="E1741" s="135" t="s">
        <v>558</v>
      </c>
      <c r="F1741" s="136" t="str">
        <f t="shared" si="105"/>
        <v/>
      </c>
      <c r="G1741" s="137" t="e">
        <f>IF(A1741&lt;&gt;"",IF(AND(#REF!="Padrão",$H$4=#REF!),BDI!$B$17,IF(AND(#REF!="Padrão",$H$4=#REF!),BDI!#REF!,IF(AND(#REF!="Diferenciado",$H$4=#REF!),BDI!$E$17,IF(AND(#REF!="Diferenciado",$H$4=#REF!),BDI!#REF!,IF(#REF!="ZERO",0))))),"")</f>
        <v>#REF!</v>
      </c>
      <c r="H1741" s="138" t="str">
        <f t="shared" si="106"/>
        <v/>
      </c>
      <c r="I1741" s="136" t="str">
        <f t="shared" si="107"/>
        <v/>
      </c>
    </row>
    <row r="1742" spans="1:9" hidden="1" x14ac:dyDescent="0.25">
      <c r="A1742" s="114" t="s">
        <v>5461</v>
      </c>
      <c r="B1742" s="115" t="s">
        <v>6556</v>
      </c>
      <c r="C1742" s="116" t="s">
        <v>93</v>
      </c>
      <c r="D1742" s="116">
        <v>0</v>
      </c>
      <c r="E1742" s="135" t="s">
        <v>558</v>
      </c>
      <c r="F1742" s="136" t="str">
        <f t="shared" si="105"/>
        <v/>
      </c>
      <c r="G1742" s="137" t="e">
        <f>IF(A1742&lt;&gt;"",IF(AND(#REF!="Padrão",$H$4=#REF!),BDI!$B$17,IF(AND(#REF!="Padrão",$H$4=#REF!),BDI!#REF!,IF(AND(#REF!="Diferenciado",$H$4=#REF!),BDI!$E$17,IF(AND(#REF!="Diferenciado",$H$4=#REF!),BDI!#REF!,IF(#REF!="ZERO",0))))),"")</f>
        <v>#REF!</v>
      </c>
      <c r="H1742" s="138" t="str">
        <f t="shared" si="106"/>
        <v/>
      </c>
      <c r="I1742" s="136" t="str">
        <f t="shared" si="107"/>
        <v/>
      </c>
    </row>
    <row r="1743" spans="1:9" hidden="1" x14ac:dyDescent="0.25">
      <c r="A1743" s="114" t="s">
        <v>5462</v>
      </c>
      <c r="B1743" s="115" t="s">
        <v>6557</v>
      </c>
      <c r="C1743" s="116" t="s">
        <v>93</v>
      </c>
      <c r="D1743" s="116">
        <v>0</v>
      </c>
      <c r="E1743" s="135" t="s">
        <v>558</v>
      </c>
      <c r="F1743" s="136" t="str">
        <f t="shared" si="105"/>
        <v/>
      </c>
      <c r="G1743" s="137" t="e">
        <f>IF(A1743&lt;&gt;"",IF(AND(#REF!="Padrão",$H$4=#REF!),BDI!$B$17,IF(AND(#REF!="Padrão",$H$4=#REF!),BDI!#REF!,IF(AND(#REF!="Diferenciado",$H$4=#REF!),BDI!$E$17,IF(AND(#REF!="Diferenciado",$H$4=#REF!),BDI!#REF!,IF(#REF!="ZERO",0))))),"")</f>
        <v>#REF!</v>
      </c>
      <c r="H1743" s="138" t="str">
        <f t="shared" si="106"/>
        <v/>
      </c>
      <c r="I1743" s="136" t="str">
        <f t="shared" si="107"/>
        <v/>
      </c>
    </row>
    <row r="1744" spans="1:9" hidden="1" x14ac:dyDescent="0.25">
      <c r="A1744" s="114" t="s">
        <v>5463</v>
      </c>
      <c r="B1744" s="115" t="s">
        <v>6558</v>
      </c>
      <c r="C1744" s="116" t="s">
        <v>93</v>
      </c>
      <c r="D1744" s="116">
        <v>0</v>
      </c>
      <c r="E1744" s="135" t="s">
        <v>558</v>
      </c>
      <c r="F1744" s="136" t="str">
        <f t="shared" si="105"/>
        <v/>
      </c>
      <c r="G1744" s="137" t="e">
        <f>IF(A1744&lt;&gt;"",IF(AND(#REF!="Padrão",$H$4=#REF!),BDI!$B$17,IF(AND(#REF!="Padrão",$H$4=#REF!),BDI!#REF!,IF(AND(#REF!="Diferenciado",$H$4=#REF!),BDI!$E$17,IF(AND(#REF!="Diferenciado",$H$4=#REF!),BDI!#REF!,IF(#REF!="ZERO",0))))),"")</f>
        <v>#REF!</v>
      </c>
      <c r="H1744" s="138" t="str">
        <f t="shared" si="106"/>
        <v/>
      </c>
      <c r="I1744" s="136" t="str">
        <f t="shared" si="107"/>
        <v/>
      </c>
    </row>
    <row r="1745" spans="1:9" hidden="1" x14ac:dyDescent="0.25">
      <c r="A1745" s="114" t="s">
        <v>5464</v>
      </c>
      <c r="B1745" s="115" t="s">
        <v>6559</v>
      </c>
      <c r="C1745" s="116" t="s">
        <v>93</v>
      </c>
      <c r="D1745" s="116">
        <v>0</v>
      </c>
      <c r="E1745" s="135" t="s">
        <v>558</v>
      </c>
      <c r="F1745" s="136" t="str">
        <f t="shared" si="105"/>
        <v/>
      </c>
      <c r="G1745" s="137" t="e">
        <f>IF(A1745&lt;&gt;"",IF(AND(#REF!="Padrão",$H$4=#REF!),BDI!$B$17,IF(AND(#REF!="Padrão",$H$4=#REF!),BDI!#REF!,IF(AND(#REF!="Diferenciado",$H$4=#REF!),BDI!$E$17,IF(AND(#REF!="Diferenciado",$H$4=#REF!),BDI!#REF!,IF(#REF!="ZERO",0))))),"")</f>
        <v>#REF!</v>
      </c>
      <c r="H1745" s="138" t="str">
        <f t="shared" si="106"/>
        <v/>
      </c>
      <c r="I1745" s="136" t="str">
        <f t="shared" si="107"/>
        <v/>
      </c>
    </row>
    <row r="1746" spans="1:9" hidden="1" x14ac:dyDescent="0.25">
      <c r="A1746" s="114" t="s">
        <v>5465</v>
      </c>
      <c r="B1746" s="115" t="s">
        <v>4258</v>
      </c>
      <c r="C1746" s="116" t="s">
        <v>93</v>
      </c>
      <c r="D1746" s="116">
        <v>0</v>
      </c>
      <c r="E1746" s="135" t="s">
        <v>558</v>
      </c>
      <c r="F1746" s="136" t="str">
        <f t="shared" si="105"/>
        <v/>
      </c>
      <c r="G1746" s="137" t="e">
        <f>IF(A1746&lt;&gt;"",IF(AND(#REF!="Padrão",$H$4=#REF!),BDI!$B$17,IF(AND(#REF!="Padrão",$H$4=#REF!),BDI!#REF!,IF(AND(#REF!="Diferenciado",$H$4=#REF!),BDI!$E$17,IF(AND(#REF!="Diferenciado",$H$4=#REF!),BDI!#REF!,IF(#REF!="ZERO",0))))),"")</f>
        <v>#REF!</v>
      </c>
      <c r="H1746" s="138" t="str">
        <f t="shared" si="106"/>
        <v/>
      </c>
      <c r="I1746" s="136" t="str">
        <f t="shared" si="107"/>
        <v/>
      </c>
    </row>
    <row r="1747" spans="1:9" hidden="1" x14ac:dyDescent="0.25">
      <c r="A1747" s="114" t="s">
        <v>5466</v>
      </c>
      <c r="B1747" s="115" t="s">
        <v>4259</v>
      </c>
      <c r="C1747" s="116" t="s">
        <v>93</v>
      </c>
      <c r="D1747" s="116">
        <v>0</v>
      </c>
      <c r="E1747" s="135" t="s">
        <v>558</v>
      </c>
      <c r="F1747" s="136" t="str">
        <f t="shared" si="105"/>
        <v/>
      </c>
      <c r="G1747" s="137" t="e">
        <f>IF(A1747&lt;&gt;"",IF(AND(#REF!="Padrão",$H$4=#REF!),BDI!$B$17,IF(AND(#REF!="Padrão",$H$4=#REF!),BDI!#REF!,IF(AND(#REF!="Diferenciado",$H$4=#REF!),BDI!$E$17,IF(AND(#REF!="Diferenciado",$H$4=#REF!),BDI!#REF!,IF(#REF!="ZERO",0))))),"")</f>
        <v>#REF!</v>
      </c>
      <c r="H1747" s="138" t="str">
        <f t="shared" si="106"/>
        <v/>
      </c>
      <c r="I1747" s="136" t="str">
        <f t="shared" si="107"/>
        <v/>
      </c>
    </row>
    <row r="1748" spans="1:9" hidden="1" x14ac:dyDescent="0.25">
      <c r="A1748" s="114" t="s">
        <v>5467</v>
      </c>
      <c r="B1748" s="115" t="s">
        <v>4260</v>
      </c>
      <c r="C1748" s="116" t="s">
        <v>93</v>
      </c>
      <c r="D1748" s="116">
        <v>0</v>
      </c>
      <c r="E1748" s="135" t="s">
        <v>558</v>
      </c>
      <c r="F1748" s="136" t="str">
        <f t="shared" si="105"/>
        <v/>
      </c>
      <c r="G1748" s="137" t="e">
        <f>IF(A1748&lt;&gt;"",IF(AND(#REF!="Padrão",$H$4=#REF!),BDI!$B$17,IF(AND(#REF!="Padrão",$H$4=#REF!),BDI!#REF!,IF(AND(#REF!="Diferenciado",$H$4=#REF!),BDI!$E$17,IF(AND(#REF!="Diferenciado",$H$4=#REF!),BDI!#REF!,IF(#REF!="ZERO",0))))),"")</f>
        <v>#REF!</v>
      </c>
      <c r="H1748" s="138" t="str">
        <f t="shared" si="106"/>
        <v/>
      </c>
      <c r="I1748" s="136" t="str">
        <f t="shared" si="107"/>
        <v/>
      </c>
    </row>
    <row r="1749" spans="1:9" hidden="1" x14ac:dyDescent="0.25">
      <c r="A1749" s="114" t="s">
        <v>5468</v>
      </c>
      <c r="B1749" s="115" t="s">
        <v>4261</v>
      </c>
      <c r="C1749" s="116" t="s">
        <v>93</v>
      </c>
      <c r="D1749" s="116">
        <v>0</v>
      </c>
      <c r="E1749" s="135" t="s">
        <v>558</v>
      </c>
      <c r="F1749" s="136" t="str">
        <f t="shared" si="105"/>
        <v/>
      </c>
      <c r="G1749" s="137" t="e">
        <f>IF(A1749&lt;&gt;"",IF(AND(#REF!="Padrão",$H$4=#REF!),BDI!$B$17,IF(AND(#REF!="Padrão",$H$4=#REF!),BDI!#REF!,IF(AND(#REF!="Diferenciado",$H$4=#REF!),BDI!$E$17,IF(AND(#REF!="Diferenciado",$H$4=#REF!),BDI!#REF!,IF(#REF!="ZERO",0))))),"")</f>
        <v>#REF!</v>
      </c>
      <c r="H1749" s="138" t="str">
        <f t="shared" si="106"/>
        <v/>
      </c>
      <c r="I1749" s="136" t="str">
        <f t="shared" si="107"/>
        <v/>
      </c>
    </row>
    <row r="1750" spans="1:9" hidden="1" x14ac:dyDescent="0.25">
      <c r="A1750" s="114" t="s">
        <v>5469</v>
      </c>
      <c r="B1750" s="115" t="s">
        <v>4262</v>
      </c>
      <c r="C1750" s="116" t="s">
        <v>93</v>
      </c>
      <c r="D1750" s="116">
        <v>0</v>
      </c>
      <c r="E1750" s="135" t="s">
        <v>558</v>
      </c>
      <c r="F1750" s="136" t="str">
        <f t="shared" si="105"/>
        <v/>
      </c>
      <c r="G1750" s="137" t="e">
        <f>IF(A1750&lt;&gt;"",IF(AND(#REF!="Padrão",$H$4=#REF!),BDI!$B$17,IF(AND(#REF!="Padrão",$H$4=#REF!),BDI!#REF!,IF(AND(#REF!="Diferenciado",$H$4=#REF!),BDI!$E$17,IF(AND(#REF!="Diferenciado",$H$4=#REF!),BDI!#REF!,IF(#REF!="ZERO",0))))),"")</f>
        <v>#REF!</v>
      </c>
      <c r="H1750" s="138" t="str">
        <f t="shared" si="106"/>
        <v/>
      </c>
      <c r="I1750" s="136" t="str">
        <f t="shared" si="107"/>
        <v/>
      </c>
    </row>
    <row r="1751" spans="1:9" hidden="1" x14ac:dyDescent="0.25">
      <c r="A1751" s="114" t="s">
        <v>5470</v>
      </c>
      <c r="B1751" s="115" t="s">
        <v>4263</v>
      </c>
      <c r="C1751" s="116" t="s">
        <v>93</v>
      </c>
      <c r="D1751" s="116">
        <v>0</v>
      </c>
      <c r="E1751" s="135" t="s">
        <v>558</v>
      </c>
      <c r="F1751" s="136" t="str">
        <f t="shared" si="105"/>
        <v/>
      </c>
      <c r="G1751" s="137" t="e">
        <f>IF(A1751&lt;&gt;"",IF(AND(#REF!="Padrão",$H$4=#REF!),BDI!$B$17,IF(AND(#REF!="Padrão",$H$4=#REF!),BDI!#REF!,IF(AND(#REF!="Diferenciado",$H$4=#REF!),BDI!$E$17,IF(AND(#REF!="Diferenciado",$H$4=#REF!),BDI!#REF!,IF(#REF!="ZERO",0))))),"")</f>
        <v>#REF!</v>
      </c>
      <c r="H1751" s="138" t="str">
        <f t="shared" si="106"/>
        <v/>
      </c>
      <c r="I1751" s="136" t="str">
        <f t="shared" si="107"/>
        <v/>
      </c>
    </row>
    <row r="1752" spans="1:9" hidden="1" x14ac:dyDescent="0.25">
      <c r="A1752" s="114" t="s">
        <v>5471</v>
      </c>
      <c r="B1752" s="115" t="s">
        <v>4264</v>
      </c>
      <c r="C1752" s="116" t="s">
        <v>93</v>
      </c>
      <c r="D1752" s="116">
        <v>0</v>
      </c>
      <c r="E1752" s="135" t="s">
        <v>558</v>
      </c>
      <c r="F1752" s="136" t="str">
        <f t="shared" si="105"/>
        <v/>
      </c>
      <c r="G1752" s="137" t="e">
        <f>IF(A1752&lt;&gt;"",IF(AND(#REF!="Padrão",$H$4=#REF!),BDI!$B$17,IF(AND(#REF!="Padrão",$H$4=#REF!),BDI!#REF!,IF(AND(#REF!="Diferenciado",$H$4=#REF!),BDI!$E$17,IF(AND(#REF!="Diferenciado",$H$4=#REF!),BDI!#REF!,IF(#REF!="ZERO",0))))),"")</f>
        <v>#REF!</v>
      </c>
      <c r="H1752" s="138" t="str">
        <f t="shared" si="106"/>
        <v/>
      </c>
      <c r="I1752" s="136" t="str">
        <f t="shared" si="107"/>
        <v/>
      </c>
    </row>
    <row r="1753" spans="1:9" hidden="1" x14ac:dyDescent="0.25">
      <c r="A1753" s="114" t="s">
        <v>5472</v>
      </c>
      <c r="B1753" s="115" t="s">
        <v>4265</v>
      </c>
      <c r="C1753" s="116" t="s">
        <v>93</v>
      </c>
      <c r="D1753" s="116">
        <v>0</v>
      </c>
      <c r="E1753" s="135" t="s">
        <v>558</v>
      </c>
      <c r="F1753" s="136" t="str">
        <f t="shared" si="105"/>
        <v/>
      </c>
      <c r="G1753" s="137" t="e">
        <f>IF(A1753&lt;&gt;"",IF(AND(#REF!="Padrão",$H$4=#REF!),BDI!$B$17,IF(AND(#REF!="Padrão",$H$4=#REF!),BDI!#REF!,IF(AND(#REF!="Diferenciado",$H$4=#REF!),BDI!$E$17,IF(AND(#REF!="Diferenciado",$H$4=#REF!),BDI!#REF!,IF(#REF!="ZERO",0))))),"")</f>
        <v>#REF!</v>
      </c>
      <c r="H1753" s="138" t="str">
        <f t="shared" si="106"/>
        <v/>
      </c>
      <c r="I1753" s="136" t="str">
        <f t="shared" si="107"/>
        <v/>
      </c>
    </row>
    <row r="1754" spans="1:9" hidden="1" x14ac:dyDescent="0.25">
      <c r="A1754" s="114" t="s">
        <v>5473</v>
      </c>
      <c r="B1754" s="115" t="s">
        <v>4266</v>
      </c>
      <c r="C1754" s="116" t="s">
        <v>93</v>
      </c>
      <c r="D1754" s="116">
        <v>0</v>
      </c>
      <c r="E1754" s="135" t="s">
        <v>558</v>
      </c>
      <c r="F1754" s="136" t="str">
        <f t="shared" si="105"/>
        <v/>
      </c>
      <c r="G1754" s="137" t="e">
        <f>IF(A1754&lt;&gt;"",IF(AND(#REF!="Padrão",$H$4=#REF!),BDI!$B$17,IF(AND(#REF!="Padrão",$H$4=#REF!),BDI!#REF!,IF(AND(#REF!="Diferenciado",$H$4=#REF!),BDI!$E$17,IF(AND(#REF!="Diferenciado",$H$4=#REF!),BDI!#REF!,IF(#REF!="ZERO",0))))),"")</f>
        <v>#REF!</v>
      </c>
      <c r="H1754" s="138" t="str">
        <f t="shared" si="106"/>
        <v/>
      </c>
      <c r="I1754" s="136" t="str">
        <f t="shared" si="107"/>
        <v/>
      </c>
    </row>
    <row r="1755" spans="1:9" hidden="1" x14ac:dyDescent="0.25">
      <c r="A1755" s="114" t="s">
        <v>5474</v>
      </c>
      <c r="B1755" s="115" t="s">
        <v>4267</v>
      </c>
      <c r="C1755" s="116" t="s">
        <v>20</v>
      </c>
      <c r="D1755" s="116">
        <v>0</v>
      </c>
      <c r="E1755" s="135" t="s">
        <v>558</v>
      </c>
      <c r="F1755" s="136" t="str">
        <f t="shared" si="105"/>
        <v/>
      </c>
      <c r="G1755" s="137" t="e">
        <f>IF(A1755&lt;&gt;"",IF(AND(#REF!="Padrão",$H$4=#REF!),BDI!$B$17,IF(AND(#REF!="Padrão",$H$4=#REF!),BDI!#REF!,IF(AND(#REF!="Diferenciado",$H$4=#REF!),BDI!$E$17,IF(AND(#REF!="Diferenciado",$H$4=#REF!),BDI!#REF!,IF(#REF!="ZERO",0))))),"")</f>
        <v>#REF!</v>
      </c>
      <c r="H1755" s="138" t="str">
        <f t="shared" si="106"/>
        <v/>
      </c>
      <c r="I1755" s="136" t="str">
        <f t="shared" si="107"/>
        <v/>
      </c>
    </row>
    <row r="1756" spans="1:9" hidden="1" x14ac:dyDescent="0.25">
      <c r="A1756" s="114" t="s">
        <v>5475</v>
      </c>
      <c r="B1756" s="115" t="s">
        <v>4268</v>
      </c>
      <c r="C1756" s="116" t="s">
        <v>20</v>
      </c>
      <c r="D1756" s="116">
        <v>0</v>
      </c>
      <c r="E1756" s="135" t="s">
        <v>558</v>
      </c>
      <c r="F1756" s="136" t="str">
        <f t="shared" si="105"/>
        <v/>
      </c>
      <c r="G1756" s="137" t="e">
        <f>IF(A1756&lt;&gt;"",IF(AND(#REF!="Padrão",$H$4=#REF!),BDI!$B$17,IF(AND(#REF!="Padrão",$H$4=#REF!),BDI!#REF!,IF(AND(#REF!="Diferenciado",$H$4=#REF!),BDI!$E$17,IF(AND(#REF!="Diferenciado",$H$4=#REF!),BDI!#REF!,IF(#REF!="ZERO",0))))),"")</f>
        <v>#REF!</v>
      </c>
      <c r="H1756" s="138" t="str">
        <f t="shared" si="106"/>
        <v/>
      </c>
      <c r="I1756" s="136" t="str">
        <f t="shared" si="107"/>
        <v/>
      </c>
    </row>
    <row r="1757" spans="1:9" hidden="1" x14ac:dyDescent="0.25">
      <c r="A1757" s="114" t="s">
        <v>5476</v>
      </c>
      <c r="B1757" s="115" t="s">
        <v>4269</v>
      </c>
      <c r="C1757" s="116" t="s">
        <v>20</v>
      </c>
      <c r="D1757" s="116">
        <v>0</v>
      </c>
      <c r="E1757" s="135" t="s">
        <v>558</v>
      </c>
      <c r="F1757" s="136" t="str">
        <f t="shared" si="105"/>
        <v/>
      </c>
      <c r="G1757" s="137" t="e">
        <f>IF(A1757&lt;&gt;"",IF(AND(#REF!="Padrão",$H$4=#REF!),BDI!$B$17,IF(AND(#REF!="Padrão",$H$4=#REF!),BDI!#REF!,IF(AND(#REF!="Diferenciado",$H$4=#REF!),BDI!$E$17,IF(AND(#REF!="Diferenciado",$H$4=#REF!),BDI!#REF!,IF(#REF!="ZERO",0))))),"")</f>
        <v>#REF!</v>
      </c>
      <c r="H1757" s="138" t="str">
        <f t="shared" si="106"/>
        <v/>
      </c>
      <c r="I1757" s="136" t="str">
        <f t="shared" si="107"/>
        <v/>
      </c>
    </row>
    <row r="1758" spans="1:9" hidden="1" x14ac:dyDescent="0.25">
      <c r="A1758" s="114" t="s">
        <v>5477</v>
      </c>
      <c r="B1758" s="115" t="s">
        <v>4270</v>
      </c>
      <c r="C1758" s="116" t="s">
        <v>20</v>
      </c>
      <c r="D1758" s="116">
        <v>0</v>
      </c>
      <c r="E1758" s="135" t="s">
        <v>558</v>
      </c>
      <c r="F1758" s="136" t="str">
        <f t="shared" si="105"/>
        <v/>
      </c>
      <c r="G1758" s="137" t="e">
        <f>IF(A1758&lt;&gt;"",IF(AND(#REF!="Padrão",$H$4=#REF!),BDI!$B$17,IF(AND(#REF!="Padrão",$H$4=#REF!),BDI!#REF!,IF(AND(#REF!="Diferenciado",$H$4=#REF!),BDI!$E$17,IF(AND(#REF!="Diferenciado",$H$4=#REF!),BDI!#REF!,IF(#REF!="ZERO",0))))),"")</f>
        <v>#REF!</v>
      </c>
      <c r="H1758" s="138" t="str">
        <f t="shared" si="106"/>
        <v/>
      </c>
      <c r="I1758" s="136" t="str">
        <f t="shared" si="107"/>
        <v/>
      </c>
    </row>
    <row r="1759" spans="1:9" hidden="1" x14ac:dyDescent="0.25">
      <c r="A1759" s="114" t="s">
        <v>5478</v>
      </c>
      <c r="B1759" s="115" t="s">
        <v>4271</v>
      </c>
      <c r="C1759" s="116" t="s">
        <v>20</v>
      </c>
      <c r="D1759" s="116">
        <v>0</v>
      </c>
      <c r="E1759" s="135" t="s">
        <v>558</v>
      </c>
      <c r="F1759" s="136" t="str">
        <f t="shared" si="105"/>
        <v/>
      </c>
      <c r="G1759" s="137" t="e">
        <f>IF(A1759&lt;&gt;"",IF(AND(#REF!="Padrão",$H$4=#REF!),BDI!$B$17,IF(AND(#REF!="Padrão",$H$4=#REF!),BDI!#REF!,IF(AND(#REF!="Diferenciado",$H$4=#REF!),BDI!$E$17,IF(AND(#REF!="Diferenciado",$H$4=#REF!),BDI!#REF!,IF(#REF!="ZERO",0))))),"")</f>
        <v>#REF!</v>
      </c>
      <c r="H1759" s="138" t="str">
        <f t="shared" si="106"/>
        <v/>
      </c>
      <c r="I1759" s="136" t="str">
        <f t="shared" si="107"/>
        <v/>
      </c>
    </row>
    <row r="1760" spans="1:9" hidden="1" x14ac:dyDescent="0.25">
      <c r="A1760" s="114" t="s">
        <v>5479</v>
      </c>
      <c r="B1760" s="115" t="s">
        <v>4272</v>
      </c>
      <c r="C1760" s="116" t="s">
        <v>20</v>
      </c>
      <c r="D1760" s="116">
        <v>0</v>
      </c>
      <c r="E1760" s="135" t="s">
        <v>558</v>
      </c>
      <c r="F1760" s="136" t="str">
        <f t="shared" si="105"/>
        <v/>
      </c>
      <c r="G1760" s="137" t="e">
        <f>IF(A1760&lt;&gt;"",IF(AND(#REF!="Padrão",$H$4=#REF!),BDI!$B$17,IF(AND(#REF!="Padrão",$H$4=#REF!),BDI!#REF!,IF(AND(#REF!="Diferenciado",$H$4=#REF!),BDI!$E$17,IF(AND(#REF!="Diferenciado",$H$4=#REF!),BDI!#REF!,IF(#REF!="ZERO",0))))),"")</f>
        <v>#REF!</v>
      </c>
      <c r="H1760" s="138" t="str">
        <f t="shared" si="106"/>
        <v/>
      </c>
      <c r="I1760" s="136" t="str">
        <f t="shared" si="107"/>
        <v/>
      </c>
    </row>
    <row r="1761" spans="1:9" hidden="1" x14ac:dyDescent="0.25">
      <c r="A1761" s="114" t="s">
        <v>5480</v>
      </c>
      <c r="B1761" s="115" t="s">
        <v>4273</v>
      </c>
      <c r="C1761" s="116" t="s">
        <v>20</v>
      </c>
      <c r="D1761" s="116">
        <v>0</v>
      </c>
      <c r="E1761" s="135" t="s">
        <v>558</v>
      </c>
      <c r="F1761" s="136" t="str">
        <f t="shared" si="105"/>
        <v/>
      </c>
      <c r="G1761" s="137" t="e">
        <f>IF(A1761&lt;&gt;"",IF(AND(#REF!="Padrão",$H$4=#REF!),BDI!$B$17,IF(AND(#REF!="Padrão",$H$4=#REF!),BDI!#REF!,IF(AND(#REF!="Diferenciado",$H$4=#REF!),BDI!$E$17,IF(AND(#REF!="Diferenciado",$H$4=#REF!),BDI!#REF!,IF(#REF!="ZERO",0))))),"")</f>
        <v>#REF!</v>
      </c>
      <c r="H1761" s="138" t="str">
        <f t="shared" si="106"/>
        <v/>
      </c>
      <c r="I1761" s="136" t="str">
        <f t="shared" si="107"/>
        <v/>
      </c>
    </row>
    <row r="1762" spans="1:9" hidden="1" x14ac:dyDescent="0.25">
      <c r="A1762" s="114" t="s">
        <v>5481</v>
      </c>
      <c r="B1762" s="115" t="s">
        <v>4274</v>
      </c>
      <c r="C1762" s="116" t="s">
        <v>20</v>
      </c>
      <c r="D1762" s="116">
        <v>0</v>
      </c>
      <c r="E1762" s="135" t="s">
        <v>558</v>
      </c>
      <c r="F1762" s="136" t="str">
        <f t="shared" si="105"/>
        <v/>
      </c>
      <c r="G1762" s="137" t="e">
        <f>IF(A1762&lt;&gt;"",IF(AND(#REF!="Padrão",$H$4=#REF!),BDI!$B$17,IF(AND(#REF!="Padrão",$H$4=#REF!),BDI!#REF!,IF(AND(#REF!="Diferenciado",$H$4=#REF!),BDI!$E$17,IF(AND(#REF!="Diferenciado",$H$4=#REF!),BDI!#REF!,IF(#REF!="ZERO",0))))),"")</f>
        <v>#REF!</v>
      </c>
      <c r="H1762" s="138" t="str">
        <f t="shared" si="106"/>
        <v/>
      </c>
      <c r="I1762" s="136" t="str">
        <f t="shared" si="107"/>
        <v/>
      </c>
    </row>
    <row r="1763" spans="1:9" hidden="1" x14ac:dyDescent="0.25">
      <c r="A1763" s="114" t="s">
        <v>5482</v>
      </c>
      <c r="B1763" s="115" t="s">
        <v>4275</v>
      </c>
      <c r="C1763" s="116" t="s">
        <v>20</v>
      </c>
      <c r="D1763" s="116">
        <v>0</v>
      </c>
      <c r="E1763" s="135" t="s">
        <v>558</v>
      </c>
      <c r="F1763" s="136" t="str">
        <f t="shared" si="105"/>
        <v/>
      </c>
      <c r="G1763" s="137" t="e">
        <f>IF(A1763&lt;&gt;"",IF(AND(#REF!="Padrão",$H$4=#REF!),BDI!$B$17,IF(AND(#REF!="Padrão",$H$4=#REF!),BDI!#REF!,IF(AND(#REF!="Diferenciado",$H$4=#REF!),BDI!$E$17,IF(AND(#REF!="Diferenciado",$H$4=#REF!),BDI!#REF!,IF(#REF!="ZERO",0))))),"")</f>
        <v>#REF!</v>
      </c>
      <c r="H1763" s="138" t="str">
        <f t="shared" si="106"/>
        <v/>
      </c>
      <c r="I1763" s="136" t="str">
        <f t="shared" si="107"/>
        <v/>
      </c>
    </row>
    <row r="1764" spans="1:9" ht="25.5" hidden="1" x14ac:dyDescent="0.25">
      <c r="A1764" s="114" t="s">
        <v>5483</v>
      </c>
      <c r="B1764" s="115" t="s">
        <v>4276</v>
      </c>
      <c r="C1764" s="116" t="s">
        <v>20</v>
      </c>
      <c r="D1764" s="116">
        <v>0</v>
      </c>
      <c r="E1764" s="135" t="s">
        <v>558</v>
      </c>
      <c r="F1764" s="136" t="str">
        <f t="shared" si="105"/>
        <v/>
      </c>
      <c r="G1764" s="137" t="e">
        <f>IF(A1764&lt;&gt;"",IF(AND(#REF!="Padrão",$H$4=#REF!),BDI!$B$17,IF(AND(#REF!="Padrão",$H$4=#REF!),BDI!#REF!,IF(AND(#REF!="Diferenciado",$H$4=#REF!),BDI!$E$17,IF(AND(#REF!="Diferenciado",$H$4=#REF!),BDI!#REF!,IF(#REF!="ZERO",0))))),"")</f>
        <v>#REF!</v>
      </c>
      <c r="H1764" s="138" t="str">
        <f t="shared" si="106"/>
        <v/>
      </c>
      <c r="I1764" s="136" t="str">
        <f t="shared" si="107"/>
        <v/>
      </c>
    </row>
    <row r="1765" spans="1:9" hidden="1" x14ac:dyDescent="0.25">
      <c r="A1765" s="114" t="s">
        <v>5484</v>
      </c>
      <c r="B1765" s="115" t="s">
        <v>4277</v>
      </c>
      <c r="C1765" s="116" t="s">
        <v>20</v>
      </c>
      <c r="D1765" s="116">
        <v>0</v>
      </c>
      <c r="E1765" s="135" t="s">
        <v>558</v>
      </c>
      <c r="F1765" s="136" t="str">
        <f t="shared" si="105"/>
        <v/>
      </c>
      <c r="G1765" s="137" t="e">
        <f>IF(A1765&lt;&gt;"",IF(AND(#REF!="Padrão",$H$4=#REF!),BDI!$B$17,IF(AND(#REF!="Padrão",$H$4=#REF!),BDI!#REF!,IF(AND(#REF!="Diferenciado",$H$4=#REF!),BDI!$E$17,IF(AND(#REF!="Diferenciado",$H$4=#REF!),BDI!#REF!,IF(#REF!="ZERO",0))))),"")</f>
        <v>#REF!</v>
      </c>
      <c r="H1765" s="138" t="str">
        <f t="shared" si="106"/>
        <v/>
      </c>
      <c r="I1765" s="136" t="str">
        <f t="shared" si="107"/>
        <v/>
      </c>
    </row>
    <row r="1766" spans="1:9" hidden="1" x14ac:dyDescent="0.25">
      <c r="A1766" s="114" t="s">
        <v>5485</v>
      </c>
      <c r="B1766" s="115" t="s">
        <v>4278</v>
      </c>
      <c r="C1766" s="116" t="s">
        <v>20</v>
      </c>
      <c r="D1766" s="116">
        <v>0</v>
      </c>
      <c r="E1766" s="135" t="s">
        <v>558</v>
      </c>
      <c r="F1766" s="136" t="str">
        <f t="shared" si="105"/>
        <v/>
      </c>
      <c r="G1766" s="137" t="e">
        <f>IF(A1766&lt;&gt;"",IF(AND(#REF!="Padrão",$H$4=#REF!),BDI!$B$17,IF(AND(#REF!="Padrão",$H$4=#REF!),BDI!#REF!,IF(AND(#REF!="Diferenciado",$H$4=#REF!),BDI!$E$17,IF(AND(#REF!="Diferenciado",$H$4=#REF!),BDI!#REF!,IF(#REF!="ZERO",0))))),"")</f>
        <v>#REF!</v>
      </c>
      <c r="H1766" s="138" t="str">
        <f t="shared" si="106"/>
        <v/>
      </c>
      <c r="I1766" s="136" t="str">
        <f t="shared" si="107"/>
        <v/>
      </c>
    </row>
    <row r="1767" spans="1:9" hidden="1" x14ac:dyDescent="0.25">
      <c r="A1767" s="114" t="s">
        <v>5486</v>
      </c>
      <c r="B1767" s="115" t="s">
        <v>4279</v>
      </c>
      <c r="C1767" s="116" t="s">
        <v>20</v>
      </c>
      <c r="D1767" s="116">
        <v>0</v>
      </c>
      <c r="E1767" s="135" t="s">
        <v>558</v>
      </c>
      <c r="F1767" s="136" t="str">
        <f t="shared" si="105"/>
        <v/>
      </c>
      <c r="G1767" s="137" t="e">
        <f>IF(A1767&lt;&gt;"",IF(AND(#REF!="Padrão",$H$4=#REF!),BDI!$B$17,IF(AND(#REF!="Padrão",$H$4=#REF!),BDI!#REF!,IF(AND(#REF!="Diferenciado",$H$4=#REF!),BDI!$E$17,IF(AND(#REF!="Diferenciado",$H$4=#REF!),BDI!#REF!,IF(#REF!="ZERO",0))))),"")</f>
        <v>#REF!</v>
      </c>
      <c r="H1767" s="138" t="str">
        <f t="shared" si="106"/>
        <v/>
      </c>
      <c r="I1767" s="136" t="str">
        <f t="shared" si="107"/>
        <v/>
      </c>
    </row>
    <row r="1768" spans="1:9" hidden="1" x14ac:dyDescent="0.25">
      <c r="A1768" s="114" t="s">
        <v>5487</v>
      </c>
      <c r="B1768" s="115" t="s">
        <v>4280</v>
      </c>
      <c r="C1768" s="116" t="s">
        <v>20</v>
      </c>
      <c r="D1768" s="116">
        <v>0</v>
      </c>
      <c r="E1768" s="135" t="s">
        <v>558</v>
      </c>
      <c r="F1768" s="136" t="str">
        <f t="shared" si="105"/>
        <v/>
      </c>
      <c r="G1768" s="137" t="e">
        <f>IF(A1768&lt;&gt;"",IF(AND(#REF!="Padrão",$H$4=#REF!),BDI!$B$17,IF(AND(#REF!="Padrão",$H$4=#REF!),BDI!#REF!,IF(AND(#REF!="Diferenciado",$H$4=#REF!),BDI!$E$17,IF(AND(#REF!="Diferenciado",$H$4=#REF!),BDI!#REF!,IF(#REF!="ZERO",0))))),"")</f>
        <v>#REF!</v>
      </c>
      <c r="H1768" s="138" t="str">
        <f t="shared" si="106"/>
        <v/>
      </c>
      <c r="I1768" s="136" t="str">
        <f t="shared" si="107"/>
        <v/>
      </c>
    </row>
    <row r="1769" spans="1:9" hidden="1" x14ac:dyDescent="0.25">
      <c r="A1769" s="114" t="s">
        <v>5488</v>
      </c>
      <c r="B1769" s="115" t="s">
        <v>4281</v>
      </c>
      <c r="C1769" s="116" t="s">
        <v>20</v>
      </c>
      <c r="D1769" s="116">
        <v>0</v>
      </c>
      <c r="E1769" s="135" t="s">
        <v>558</v>
      </c>
      <c r="F1769" s="136" t="str">
        <f t="shared" si="105"/>
        <v/>
      </c>
      <c r="G1769" s="137" t="e">
        <f>IF(A1769&lt;&gt;"",IF(AND(#REF!="Padrão",$H$4=#REF!),BDI!$B$17,IF(AND(#REF!="Padrão",$H$4=#REF!),BDI!#REF!,IF(AND(#REF!="Diferenciado",$H$4=#REF!),BDI!$E$17,IF(AND(#REF!="Diferenciado",$H$4=#REF!),BDI!#REF!,IF(#REF!="ZERO",0))))),"")</f>
        <v>#REF!</v>
      </c>
      <c r="H1769" s="138" t="str">
        <f t="shared" si="106"/>
        <v/>
      </c>
      <c r="I1769" s="136" t="str">
        <f t="shared" si="107"/>
        <v/>
      </c>
    </row>
    <row r="1770" spans="1:9" hidden="1" x14ac:dyDescent="0.25">
      <c r="A1770" s="114" t="s">
        <v>5489</v>
      </c>
      <c r="B1770" s="115" t="s">
        <v>4282</v>
      </c>
      <c r="C1770" s="116" t="s">
        <v>20</v>
      </c>
      <c r="D1770" s="116">
        <v>0</v>
      </c>
      <c r="E1770" s="135" t="s">
        <v>558</v>
      </c>
      <c r="F1770" s="136" t="str">
        <f t="shared" si="105"/>
        <v/>
      </c>
      <c r="G1770" s="137" t="e">
        <f>IF(A1770&lt;&gt;"",IF(AND(#REF!="Padrão",$H$4=#REF!),BDI!$B$17,IF(AND(#REF!="Padrão",$H$4=#REF!),BDI!#REF!,IF(AND(#REF!="Diferenciado",$H$4=#REF!),BDI!$E$17,IF(AND(#REF!="Diferenciado",$H$4=#REF!),BDI!#REF!,IF(#REF!="ZERO",0))))),"")</f>
        <v>#REF!</v>
      </c>
      <c r="H1770" s="138" t="str">
        <f t="shared" si="106"/>
        <v/>
      </c>
      <c r="I1770" s="136" t="str">
        <f t="shared" si="107"/>
        <v/>
      </c>
    </row>
    <row r="1771" spans="1:9" hidden="1" x14ac:dyDescent="0.25">
      <c r="A1771" s="114" t="s">
        <v>5490</v>
      </c>
      <c r="B1771" s="115" t="s">
        <v>4283</v>
      </c>
      <c r="C1771" s="116" t="s">
        <v>20</v>
      </c>
      <c r="D1771" s="116">
        <v>0</v>
      </c>
      <c r="E1771" s="135" t="s">
        <v>558</v>
      </c>
      <c r="F1771" s="136" t="str">
        <f t="shared" si="105"/>
        <v/>
      </c>
      <c r="G1771" s="137" t="e">
        <f>IF(A1771&lt;&gt;"",IF(AND(#REF!="Padrão",$H$4=#REF!),BDI!$B$17,IF(AND(#REF!="Padrão",$H$4=#REF!),BDI!#REF!,IF(AND(#REF!="Diferenciado",$H$4=#REF!),BDI!$E$17,IF(AND(#REF!="Diferenciado",$H$4=#REF!),BDI!#REF!,IF(#REF!="ZERO",0))))),"")</f>
        <v>#REF!</v>
      </c>
      <c r="H1771" s="138" t="str">
        <f t="shared" si="106"/>
        <v/>
      </c>
      <c r="I1771" s="136" t="str">
        <f t="shared" si="107"/>
        <v/>
      </c>
    </row>
    <row r="1772" spans="1:9" hidden="1" x14ac:dyDescent="0.25">
      <c r="A1772" s="114" t="s">
        <v>5491</v>
      </c>
      <c r="B1772" s="115" t="s">
        <v>4284</v>
      </c>
      <c r="C1772" s="116" t="s">
        <v>20</v>
      </c>
      <c r="D1772" s="116">
        <v>0</v>
      </c>
      <c r="E1772" s="135" t="s">
        <v>558</v>
      </c>
      <c r="F1772" s="136" t="str">
        <f t="shared" si="105"/>
        <v/>
      </c>
      <c r="G1772" s="137" t="e">
        <f>IF(A1772&lt;&gt;"",IF(AND(#REF!="Padrão",$H$4=#REF!),BDI!$B$17,IF(AND(#REF!="Padrão",$H$4=#REF!),BDI!#REF!,IF(AND(#REF!="Diferenciado",$H$4=#REF!),BDI!$E$17,IF(AND(#REF!="Diferenciado",$H$4=#REF!),BDI!#REF!,IF(#REF!="ZERO",0))))),"")</f>
        <v>#REF!</v>
      </c>
      <c r="H1772" s="138" t="str">
        <f t="shared" si="106"/>
        <v/>
      </c>
      <c r="I1772" s="136" t="str">
        <f t="shared" si="107"/>
        <v/>
      </c>
    </row>
    <row r="1773" spans="1:9" hidden="1" x14ac:dyDescent="0.25">
      <c r="A1773" s="114" t="s">
        <v>5492</v>
      </c>
      <c r="B1773" s="115" t="s">
        <v>4285</v>
      </c>
      <c r="C1773" s="116" t="s">
        <v>20</v>
      </c>
      <c r="D1773" s="116">
        <v>0</v>
      </c>
      <c r="E1773" s="135" t="s">
        <v>558</v>
      </c>
      <c r="F1773" s="136" t="str">
        <f t="shared" ref="F1773:F1836" si="108">IF(ISNUMBER(E1773),D1773*E1773,"")</f>
        <v/>
      </c>
      <c r="G1773" s="137" t="e">
        <f>IF(A1773&lt;&gt;"",IF(AND(#REF!="Padrão",$H$4=#REF!),BDI!$B$17,IF(AND(#REF!="Padrão",$H$4=#REF!),BDI!#REF!,IF(AND(#REF!="Diferenciado",$H$4=#REF!),BDI!$E$17,IF(AND(#REF!="Diferenciado",$H$4=#REF!),BDI!#REF!,IF(#REF!="ZERO",0))))),"")</f>
        <v>#REF!</v>
      </c>
      <c r="H1773" s="138" t="str">
        <f t="shared" ref="H1773:H1836" si="109">IF(ISNUMBER(E1773),ROUND(E1773*(1+G1773),2),"")</f>
        <v/>
      </c>
      <c r="I1773" s="136" t="str">
        <f t="shared" ref="I1773:I1836" si="110">IF(ISNUMBER(E1773),ROUND(H1773*D1773,2),"")</f>
        <v/>
      </c>
    </row>
    <row r="1774" spans="1:9" ht="25.5" hidden="1" x14ac:dyDescent="0.25">
      <c r="A1774" s="114" t="s">
        <v>5493</v>
      </c>
      <c r="B1774" s="115" t="s">
        <v>4286</v>
      </c>
      <c r="C1774" s="116" t="s">
        <v>20</v>
      </c>
      <c r="D1774" s="116">
        <v>0</v>
      </c>
      <c r="E1774" s="135" t="s">
        <v>558</v>
      </c>
      <c r="F1774" s="136" t="str">
        <f t="shared" si="108"/>
        <v/>
      </c>
      <c r="G1774" s="137" t="e">
        <f>IF(A1774&lt;&gt;"",IF(AND(#REF!="Padrão",$H$4=#REF!),BDI!$B$17,IF(AND(#REF!="Padrão",$H$4=#REF!),BDI!#REF!,IF(AND(#REF!="Diferenciado",$H$4=#REF!),BDI!$E$17,IF(AND(#REF!="Diferenciado",$H$4=#REF!),BDI!#REF!,IF(#REF!="ZERO",0))))),"")</f>
        <v>#REF!</v>
      </c>
      <c r="H1774" s="138" t="str">
        <f t="shared" si="109"/>
        <v/>
      </c>
      <c r="I1774" s="136" t="str">
        <f t="shared" si="110"/>
        <v/>
      </c>
    </row>
    <row r="1775" spans="1:9" hidden="1" x14ac:dyDescent="0.25">
      <c r="A1775" s="114" t="s">
        <v>5494</v>
      </c>
      <c r="B1775" s="115" t="s">
        <v>4287</v>
      </c>
      <c r="C1775" s="116" t="s">
        <v>20</v>
      </c>
      <c r="D1775" s="116">
        <v>0</v>
      </c>
      <c r="E1775" s="135" t="s">
        <v>558</v>
      </c>
      <c r="F1775" s="136" t="str">
        <f t="shared" si="108"/>
        <v/>
      </c>
      <c r="G1775" s="137" t="e">
        <f>IF(A1775&lt;&gt;"",IF(AND(#REF!="Padrão",$H$4=#REF!),BDI!$B$17,IF(AND(#REF!="Padrão",$H$4=#REF!),BDI!#REF!,IF(AND(#REF!="Diferenciado",$H$4=#REF!),BDI!$E$17,IF(AND(#REF!="Diferenciado",$H$4=#REF!),BDI!#REF!,IF(#REF!="ZERO",0))))),"")</f>
        <v>#REF!</v>
      </c>
      <c r="H1775" s="138" t="str">
        <f t="shared" si="109"/>
        <v/>
      </c>
      <c r="I1775" s="136" t="str">
        <f t="shared" si="110"/>
        <v/>
      </c>
    </row>
    <row r="1776" spans="1:9" hidden="1" x14ac:dyDescent="0.25">
      <c r="A1776" s="114" t="s">
        <v>5495</v>
      </c>
      <c r="B1776" s="115" t="s">
        <v>4288</v>
      </c>
      <c r="C1776" s="116" t="s">
        <v>20</v>
      </c>
      <c r="D1776" s="116">
        <v>0</v>
      </c>
      <c r="E1776" s="135" t="s">
        <v>558</v>
      </c>
      <c r="F1776" s="136" t="str">
        <f t="shared" si="108"/>
        <v/>
      </c>
      <c r="G1776" s="137" t="e">
        <f>IF(A1776&lt;&gt;"",IF(AND(#REF!="Padrão",$H$4=#REF!),BDI!$B$17,IF(AND(#REF!="Padrão",$H$4=#REF!),BDI!#REF!,IF(AND(#REF!="Diferenciado",$H$4=#REF!),BDI!$E$17,IF(AND(#REF!="Diferenciado",$H$4=#REF!),BDI!#REF!,IF(#REF!="ZERO",0))))),"")</f>
        <v>#REF!</v>
      </c>
      <c r="H1776" s="138" t="str">
        <f t="shared" si="109"/>
        <v/>
      </c>
      <c r="I1776" s="136" t="str">
        <f t="shared" si="110"/>
        <v/>
      </c>
    </row>
    <row r="1777" spans="1:9" hidden="1" x14ac:dyDescent="0.25">
      <c r="A1777" s="114" t="s">
        <v>5496</v>
      </c>
      <c r="B1777" s="115" t="s">
        <v>4289</v>
      </c>
      <c r="C1777" s="116" t="s">
        <v>20</v>
      </c>
      <c r="D1777" s="116">
        <v>0</v>
      </c>
      <c r="E1777" s="135" t="s">
        <v>558</v>
      </c>
      <c r="F1777" s="136" t="str">
        <f t="shared" si="108"/>
        <v/>
      </c>
      <c r="G1777" s="137" t="e">
        <f>IF(A1777&lt;&gt;"",IF(AND(#REF!="Padrão",$H$4=#REF!),BDI!$B$17,IF(AND(#REF!="Padrão",$H$4=#REF!),BDI!#REF!,IF(AND(#REF!="Diferenciado",$H$4=#REF!),BDI!$E$17,IF(AND(#REF!="Diferenciado",$H$4=#REF!),BDI!#REF!,IF(#REF!="ZERO",0))))),"")</f>
        <v>#REF!</v>
      </c>
      <c r="H1777" s="138" t="str">
        <f t="shared" si="109"/>
        <v/>
      </c>
      <c r="I1777" s="136" t="str">
        <f t="shared" si="110"/>
        <v/>
      </c>
    </row>
    <row r="1778" spans="1:9" hidden="1" x14ac:dyDescent="0.25">
      <c r="A1778" s="114" t="s">
        <v>5497</v>
      </c>
      <c r="B1778" s="115" t="s">
        <v>4290</v>
      </c>
      <c r="C1778" s="116" t="s">
        <v>20</v>
      </c>
      <c r="D1778" s="116">
        <v>0</v>
      </c>
      <c r="E1778" s="135" t="s">
        <v>558</v>
      </c>
      <c r="F1778" s="136" t="str">
        <f t="shared" si="108"/>
        <v/>
      </c>
      <c r="G1778" s="137" t="e">
        <f>IF(A1778&lt;&gt;"",IF(AND(#REF!="Padrão",$H$4=#REF!),BDI!$B$17,IF(AND(#REF!="Padrão",$H$4=#REF!),BDI!#REF!,IF(AND(#REF!="Diferenciado",$H$4=#REF!),BDI!$E$17,IF(AND(#REF!="Diferenciado",$H$4=#REF!),BDI!#REF!,IF(#REF!="ZERO",0))))),"")</f>
        <v>#REF!</v>
      </c>
      <c r="H1778" s="138" t="str">
        <f t="shared" si="109"/>
        <v/>
      </c>
      <c r="I1778" s="136" t="str">
        <f t="shared" si="110"/>
        <v/>
      </c>
    </row>
    <row r="1779" spans="1:9" hidden="1" x14ac:dyDescent="0.25">
      <c r="A1779" s="114" t="s">
        <v>5498</v>
      </c>
      <c r="B1779" s="115" t="s">
        <v>4291</v>
      </c>
      <c r="C1779" s="116" t="s">
        <v>20</v>
      </c>
      <c r="D1779" s="116">
        <v>0</v>
      </c>
      <c r="E1779" s="135" t="s">
        <v>558</v>
      </c>
      <c r="F1779" s="136" t="str">
        <f t="shared" si="108"/>
        <v/>
      </c>
      <c r="G1779" s="137" t="e">
        <f>IF(A1779&lt;&gt;"",IF(AND(#REF!="Padrão",$H$4=#REF!),BDI!$B$17,IF(AND(#REF!="Padrão",$H$4=#REF!),BDI!#REF!,IF(AND(#REF!="Diferenciado",$H$4=#REF!),BDI!$E$17,IF(AND(#REF!="Diferenciado",$H$4=#REF!),BDI!#REF!,IF(#REF!="ZERO",0))))),"")</f>
        <v>#REF!</v>
      </c>
      <c r="H1779" s="138" t="str">
        <f t="shared" si="109"/>
        <v/>
      </c>
      <c r="I1779" s="136" t="str">
        <f t="shared" si="110"/>
        <v/>
      </c>
    </row>
    <row r="1780" spans="1:9" hidden="1" x14ac:dyDescent="0.25">
      <c r="A1780" s="114" t="s">
        <v>5499</v>
      </c>
      <c r="B1780" s="115" t="s">
        <v>4292</v>
      </c>
      <c r="C1780" s="116" t="s">
        <v>20</v>
      </c>
      <c r="D1780" s="116">
        <v>0</v>
      </c>
      <c r="E1780" s="135" t="s">
        <v>558</v>
      </c>
      <c r="F1780" s="136" t="str">
        <f t="shared" si="108"/>
        <v/>
      </c>
      <c r="G1780" s="137" t="e">
        <f>IF(A1780&lt;&gt;"",IF(AND(#REF!="Padrão",$H$4=#REF!),BDI!$B$17,IF(AND(#REF!="Padrão",$H$4=#REF!),BDI!#REF!,IF(AND(#REF!="Diferenciado",$H$4=#REF!),BDI!$E$17,IF(AND(#REF!="Diferenciado",$H$4=#REF!),BDI!#REF!,IF(#REF!="ZERO",0))))),"")</f>
        <v>#REF!</v>
      </c>
      <c r="H1780" s="138" t="str">
        <f t="shared" si="109"/>
        <v/>
      </c>
      <c r="I1780" s="136" t="str">
        <f t="shared" si="110"/>
        <v/>
      </c>
    </row>
    <row r="1781" spans="1:9" hidden="1" x14ac:dyDescent="0.25">
      <c r="A1781" s="114" t="s">
        <v>5500</v>
      </c>
      <c r="B1781" s="115" t="s">
        <v>4293</v>
      </c>
      <c r="C1781" s="116" t="s">
        <v>20</v>
      </c>
      <c r="D1781" s="116">
        <v>0</v>
      </c>
      <c r="E1781" s="135" t="s">
        <v>558</v>
      </c>
      <c r="F1781" s="136" t="str">
        <f t="shared" si="108"/>
        <v/>
      </c>
      <c r="G1781" s="137" t="e">
        <f>IF(A1781&lt;&gt;"",IF(AND(#REF!="Padrão",$H$4=#REF!),BDI!$B$17,IF(AND(#REF!="Padrão",$H$4=#REF!),BDI!#REF!,IF(AND(#REF!="Diferenciado",$H$4=#REF!),BDI!$E$17,IF(AND(#REF!="Diferenciado",$H$4=#REF!),BDI!#REF!,IF(#REF!="ZERO",0))))),"")</f>
        <v>#REF!</v>
      </c>
      <c r="H1781" s="138" t="str">
        <f t="shared" si="109"/>
        <v/>
      </c>
      <c r="I1781" s="136" t="str">
        <f t="shared" si="110"/>
        <v/>
      </c>
    </row>
    <row r="1782" spans="1:9" hidden="1" x14ac:dyDescent="0.25">
      <c r="A1782" s="114" t="s">
        <v>5501</v>
      </c>
      <c r="B1782" s="115" t="s">
        <v>4294</v>
      </c>
      <c r="C1782" s="116" t="s">
        <v>20</v>
      </c>
      <c r="D1782" s="116">
        <v>0</v>
      </c>
      <c r="E1782" s="135" t="s">
        <v>558</v>
      </c>
      <c r="F1782" s="136" t="str">
        <f t="shared" si="108"/>
        <v/>
      </c>
      <c r="G1782" s="137" t="e">
        <f>IF(A1782&lt;&gt;"",IF(AND(#REF!="Padrão",$H$4=#REF!),BDI!$B$17,IF(AND(#REF!="Padrão",$H$4=#REF!),BDI!#REF!,IF(AND(#REF!="Diferenciado",$H$4=#REF!),BDI!$E$17,IF(AND(#REF!="Diferenciado",$H$4=#REF!),BDI!#REF!,IF(#REF!="ZERO",0))))),"")</f>
        <v>#REF!</v>
      </c>
      <c r="H1782" s="138" t="str">
        <f t="shared" si="109"/>
        <v/>
      </c>
      <c r="I1782" s="136" t="str">
        <f t="shared" si="110"/>
        <v/>
      </c>
    </row>
    <row r="1783" spans="1:9" hidden="1" x14ac:dyDescent="0.25">
      <c r="A1783" s="114" t="s">
        <v>5502</v>
      </c>
      <c r="B1783" s="115" t="s">
        <v>4295</v>
      </c>
      <c r="C1783" s="116" t="s">
        <v>20</v>
      </c>
      <c r="D1783" s="116">
        <v>0</v>
      </c>
      <c r="E1783" s="135" t="s">
        <v>558</v>
      </c>
      <c r="F1783" s="136" t="str">
        <f t="shared" si="108"/>
        <v/>
      </c>
      <c r="G1783" s="137" t="e">
        <f>IF(A1783&lt;&gt;"",IF(AND(#REF!="Padrão",$H$4=#REF!),BDI!$B$17,IF(AND(#REF!="Padrão",$H$4=#REF!),BDI!#REF!,IF(AND(#REF!="Diferenciado",$H$4=#REF!),BDI!$E$17,IF(AND(#REF!="Diferenciado",$H$4=#REF!),BDI!#REF!,IF(#REF!="ZERO",0))))),"")</f>
        <v>#REF!</v>
      </c>
      <c r="H1783" s="138" t="str">
        <f t="shared" si="109"/>
        <v/>
      </c>
      <c r="I1783" s="136" t="str">
        <f t="shared" si="110"/>
        <v/>
      </c>
    </row>
    <row r="1784" spans="1:9" hidden="1" x14ac:dyDescent="0.25">
      <c r="A1784" s="114" t="s">
        <v>5503</v>
      </c>
      <c r="B1784" s="115" t="s">
        <v>4296</v>
      </c>
      <c r="C1784" s="116" t="s">
        <v>20</v>
      </c>
      <c r="D1784" s="116">
        <v>0</v>
      </c>
      <c r="E1784" s="135" t="s">
        <v>558</v>
      </c>
      <c r="F1784" s="136" t="str">
        <f t="shared" si="108"/>
        <v/>
      </c>
      <c r="G1784" s="137" t="e">
        <f>IF(A1784&lt;&gt;"",IF(AND(#REF!="Padrão",$H$4=#REF!),BDI!$B$17,IF(AND(#REF!="Padrão",$H$4=#REF!),BDI!#REF!,IF(AND(#REF!="Diferenciado",$H$4=#REF!),BDI!$E$17,IF(AND(#REF!="Diferenciado",$H$4=#REF!),BDI!#REF!,IF(#REF!="ZERO",0))))),"")</f>
        <v>#REF!</v>
      </c>
      <c r="H1784" s="138" t="str">
        <f t="shared" si="109"/>
        <v/>
      </c>
      <c r="I1784" s="136" t="str">
        <f t="shared" si="110"/>
        <v/>
      </c>
    </row>
    <row r="1785" spans="1:9" hidden="1" x14ac:dyDescent="0.25">
      <c r="A1785" s="114" t="s">
        <v>5504</v>
      </c>
      <c r="B1785" s="115" t="s">
        <v>4297</v>
      </c>
      <c r="C1785" s="116" t="s">
        <v>20</v>
      </c>
      <c r="D1785" s="116">
        <v>0</v>
      </c>
      <c r="E1785" s="135" t="s">
        <v>558</v>
      </c>
      <c r="F1785" s="136" t="str">
        <f t="shared" si="108"/>
        <v/>
      </c>
      <c r="G1785" s="137" t="e">
        <f>IF(A1785&lt;&gt;"",IF(AND(#REF!="Padrão",$H$4=#REF!),BDI!$B$17,IF(AND(#REF!="Padrão",$H$4=#REF!),BDI!#REF!,IF(AND(#REF!="Diferenciado",$H$4=#REF!),BDI!$E$17,IF(AND(#REF!="Diferenciado",$H$4=#REF!),BDI!#REF!,IF(#REF!="ZERO",0))))),"")</f>
        <v>#REF!</v>
      </c>
      <c r="H1785" s="138" t="str">
        <f t="shared" si="109"/>
        <v/>
      </c>
      <c r="I1785" s="136" t="str">
        <f t="shared" si="110"/>
        <v/>
      </c>
    </row>
    <row r="1786" spans="1:9" hidden="1" x14ac:dyDescent="0.25">
      <c r="A1786" s="114" t="s">
        <v>5505</v>
      </c>
      <c r="B1786" s="115" t="s">
        <v>4298</v>
      </c>
      <c r="C1786" s="116" t="s">
        <v>20</v>
      </c>
      <c r="D1786" s="116">
        <v>0</v>
      </c>
      <c r="E1786" s="135" t="s">
        <v>558</v>
      </c>
      <c r="F1786" s="136" t="str">
        <f t="shared" si="108"/>
        <v/>
      </c>
      <c r="G1786" s="137" t="e">
        <f>IF(A1786&lt;&gt;"",IF(AND(#REF!="Padrão",$H$4=#REF!),BDI!$B$17,IF(AND(#REF!="Padrão",$H$4=#REF!),BDI!#REF!,IF(AND(#REF!="Diferenciado",$H$4=#REF!),BDI!$E$17,IF(AND(#REF!="Diferenciado",$H$4=#REF!),BDI!#REF!,IF(#REF!="ZERO",0))))),"")</f>
        <v>#REF!</v>
      </c>
      <c r="H1786" s="138" t="str">
        <f t="shared" si="109"/>
        <v/>
      </c>
      <c r="I1786" s="136" t="str">
        <f t="shared" si="110"/>
        <v/>
      </c>
    </row>
    <row r="1787" spans="1:9" hidden="1" x14ac:dyDescent="0.25">
      <c r="A1787" s="114" t="s">
        <v>5506</v>
      </c>
      <c r="B1787" s="115" t="s">
        <v>4299</v>
      </c>
      <c r="C1787" s="116" t="s">
        <v>20</v>
      </c>
      <c r="D1787" s="116">
        <v>0</v>
      </c>
      <c r="E1787" s="135" t="s">
        <v>558</v>
      </c>
      <c r="F1787" s="136" t="str">
        <f t="shared" si="108"/>
        <v/>
      </c>
      <c r="G1787" s="137" t="e">
        <f>IF(A1787&lt;&gt;"",IF(AND(#REF!="Padrão",$H$4=#REF!),BDI!$B$17,IF(AND(#REF!="Padrão",$H$4=#REF!),BDI!#REF!,IF(AND(#REF!="Diferenciado",$H$4=#REF!),BDI!$E$17,IF(AND(#REF!="Diferenciado",$H$4=#REF!),BDI!#REF!,IF(#REF!="ZERO",0))))),"")</f>
        <v>#REF!</v>
      </c>
      <c r="H1787" s="138" t="str">
        <f t="shared" si="109"/>
        <v/>
      </c>
      <c r="I1787" s="136" t="str">
        <f t="shared" si="110"/>
        <v/>
      </c>
    </row>
    <row r="1788" spans="1:9" hidden="1" x14ac:dyDescent="0.25">
      <c r="A1788" s="114" t="s">
        <v>5507</v>
      </c>
      <c r="B1788" s="115" t="s">
        <v>4300</v>
      </c>
      <c r="C1788" s="116" t="s">
        <v>20</v>
      </c>
      <c r="D1788" s="116">
        <v>0</v>
      </c>
      <c r="E1788" s="135" t="s">
        <v>558</v>
      </c>
      <c r="F1788" s="136" t="str">
        <f t="shared" si="108"/>
        <v/>
      </c>
      <c r="G1788" s="137" t="e">
        <f>IF(A1788&lt;&gt;"",IF(AND(#REF!="Padrão",$H$4=#REF!),BDI!$B$17,IF(AND(#REF!="Padrão",$H$4=#REF!),BDI!#REF!,IF(AND(#REF!="Diferenciado",$H$4=#REF!),BDI!$E$17,IF(AND(#REF!="Diferenciado",$H$4=#REF!),BDI!#REF!,IF(#REF!="ZERO",0))))),"")</f>
        <v>#REF!</v>
      </c>
      <c r="H1788" s="138" t="str">
        <f t="shared" si="109"/>
        <v/>
      </c>
      <c r="I1788" s="136" t="str">
        <f t="shared" si="110"/>
        <v/>
      </c>
    </row>
    <row r="1789" spans="1:9" hidden="1" x14ac:dyDescent="0.25">
      <c r="A1789" s="114" t="s">
        <v>5508</v>
      </c>
      <c r="B1789" s="115" t="s">
        <v>4301</v>
      </c>
      <c r="C1789" s="116" t="s">
        <v>20</v>
      </c>
      <c r="D1789" s="116">
        <v>0</v>
      </c>
      <c r="E1789" s="135" t="s">
        <v>558</v>
      </c>
      <c r="F1789" s="136" t="str">
        <f t="shared" si="108"/>
        <v/>
      </c>
      <c r="G1789" s="137" t="e">
        <f>IF(A1789&lt;&gt;"",IF(AND(#REF!="Padrão",$H$4=#REF!),BDI!$B$17,IF(AND(#REF!="Padrão",$H$4=#REF!),BDI!#REF!,IF(AND(#REF!="Diferenciado",$H$4=#REF!),BDI!$E$17,IF(AND(#REF!="Diferenciado",$H$4=#REF!),BDI!#REF!,IF(#REF!="ZERO",0))))),"")</f>
        <v>#REF!</v>
      </c>
      <c r="H1789" s="138" t="str">
        <f t="shared" si="109"/>
        <v/>
      </c>
      <c r="I1789" s="136" t="str">
        <f t="shared" si="110"/>
        <v/>
      </c>
    </row>
    <row r="1790" spans="1:9" hidden="1" x14ac:dyDescent="0.25">
      <c r="A1790" s="114" t="s">
        <v>5509</v>
      </c>
      <c r="B1790" s="115" t="s">
        <v>4302</v>
      </c>
      <c r="C1790" s="116" t="s">
        <v>20</v>
      </c>
      <c r="D1790" s="116">
        <v>0</v>
      </c>
      <c r="E1790" s="135" t="s">
        <v>558</v>
      </c>
      <c r="F1790" s="136" t="str">
        <f t="shared" si="108"/>
        <v/>
      </c>
      <c r="G1790" s="137" t="e">
        <f>IF(A1790&lt;&gt;"",IF(AND(#REF!="Padrão",$H$4=#REF!),BDI!$B$17,IF(AND(#REF!="Padrão",$H$4=#REF!),BDI!#REF!,IF(AND(#REF!="Diferenciado",$H$4=#REF!),BDI!$E$17,IF(AND(#REF!="Diferenciado",$H$4=#REF!),BDI!#REF!,IF(#REF!="ZERO",0))))),"")</f>
        <v>#REF!</v>
      </c>
      <c r="H1790" s="138" t="str">
        <f t="shared" si="109"/>
        <v/>
      </c>
      <c r="I1790" s="136" t="str">
        <f t="shared" si="110"/>
        <v/>
      </c>
    </row>
    <row r="1791" spans="1:9" hidden="1" x14ac:dyDescent="0.25">
      <c r="A1791" s="114" t="s">
        <v>5510</v>
      </c>
      <c r="B1791" s="115" t="s">
        <v>4303</v>
      </c>
      <c r="C1791" s="116" t="s">
        <v>20</v>
      </c>
      <c r="D1791" s="116">
        <v>0</v>
      </c>
      <c r="E1791" s="135" t="s">
        <v>558</v>
      </c>
      <c r="F1791" s="136" t="str">
        <f t="shared" si="108"/>
        <v/>
      </c>
      <c r="G1791" s="137" t="e">
        <f>IF(A1791&lt;&gt;"",IF(AND(#REF!="Padrão",$H$4=#REF!),BDI!$B$17,IF(AND(#REF!="Padrão",$H$4=#REF!),BDI!#REF!,IF(AND(#REF!="Diferenciado",$H$4=#REF!),BDI!$E$17,IF(AND(#REF!="Diferenciado",$H$4=#REF!),BDI!#REF!,IF(#REF!="ZERO",0))))),"")</f>
        <v>#REF!</v>
      </c>
      <c r="H1791" s="138" t="str">
        <f t="shared" si="109"/>
        <v/>
      </c>
      <c r="I1791" s="136" t="str">
        <f t="shared" si="110"/>
        <v/>
      </c>
    </row>
    <row r="1792" spans="1:9" hidden="1" x14ac:dyDescent="0.25">
      <c r="A1792" s="114" t="s">
        <v>5511</v>
      </c>
      <c r="B1792" s="115" t="s">
        <v>4304</v>
      </c>
      <c r="C1792" s="116" t="s">
        <v>20</v>
      </c>
      <c r="D1792" s="116">
        <v>0</v>
      </c>
      <c r="E1792" s="135" t="s">
        <v>558</v>
      </c>
      <c r="F1792" s="136" t="str">
        <f t="shared" si="108"/>
        <v/>
      </c>
      <c r="G1792" s="137" t="e">
        <f>IF(A1792&lt;&gt;"",IF(AND(#REF!="Padrão",$H$4=#REF!),BDI!$B$17,IF(AND(#REF!="Padrão",$H$4=#REF!),BDI!#REF!,IF(AND(#REF!="Diferenciado",$H$4=#REF!),BDI!$E$17,IF(AND(#REF!="Diferenciado",$H$4=#REF!),BDI!#REF!,IF(#REF!="ZERO",0))))),"")</f>
        <v>#REF!</v>
      </c>
      <c r="H1792" s="138" t="str">
        <f t="shared" si="109"/>
        <v/>
      </c>
      <c r="I1792" s="136" t="str">
        <f t="shared" si="110"/>
        <v/>
      </c>
    </row>
    <row r="1793" spans="1:9" hidden="1" x14ac:dyDescent="0.25">
      <c r="A1793" s="114" t="s">
        <v>5512</v>
      </c>
      <c r="B1793" s="115" t="s">
        <v>4305</v>
      </c>
      <c r="C1793" s="116" t="s">
        <v>20</v>
      </c>
      <c r="D1793" s="116">
        <v>0</v>
      </c>
      <c r="E1793" s="135" t="s">
        <v>558</v>
      </c>
      <c r="F1793" s="136" t="str">
        <f t="shared" si="108"/>
        <v/>
      </c>
      <c r="G1793" s="137" t="e">
        <f>IF(A1793&lt;&gt;"",IF(AND(#REF!="Padrão",$H$4=#REF!),BDI!$B$17,IF(AND(#REF!="Padrão",$H$4=#REF!),BDI!#REF!,IF(AND(#REF!="Diferenciado",$H$4=#REF!),BDI!$E$17,IF(AND(#REF!="Diferenciado",$H$4=#REF!),BDI!#REF!,IF(#REF!="ZERO",0))))),"")</f>
        <v>#REF!</v>
      </c>
      <c r="H1793" s="138" t="str">
        <f t="shared" si="109"/>
        <v/>
      </c>
      <c r="I1793" s="136" t="str">
        <f t="shared" si="110"/>
        <v/>
      </c>
    </row>
    <row r="1794" spans="1:9" hidden="1" x14ac:dyDescent="0.25">
      <c r="A1794" s="114" t="s">
        <v>5513</v>
      </c>
      <c r="B1794" s="115" t="s">
        <v>4306</v>
      </c>
      <c r="C1794" s="116" t="s">
        <v>20</v>
      </c>
      <c r="D1794" s="116">
        <v>0</v>
      </c>
      <c r="E1794" s="135" t="s">
        <v>558</v>
      </c>
      <c r="F1794" s="136" t="str">
        <f t="shared" si="108"/>
        <v/>
      </c>
      <c r="G1794" s="137" t="e">
        <f>IF(A1794&lt;&gt;"",IF(AND(#REF!="Padrão",$H$4=#REF!),BDI!$B$17,IF(AND(#REF!="Padrão",$H$4=#REF!),BDI!#REF!,IF(AND(#REF!="Diferenciado",$H$4=#REF!),BDI!$E$17,IF(AND(#REF!="Diferenciado",$H$4=#REF!),BDI!#REF!,IF(#REF!="ZERO",0))))),"")</f>
        <v>#REF!</v>
      </c>
      <c r="H1794" s="138" t="str">
        <f t="shared" si="109"/>
        <v/>
      </c>
      <c r="I1794" s="136" t="str">
        <f t="shared" si="110"/>
        <v/>
      </c>
    </row>
    <row r="1795" spans="1:9" hidden="1" x14ac:dyDescent="0.25">
      <c r="A1795" s="114" t="s">
        <v>5514</v>
      </c>
      <c r="B1795" s="115" t="s">
        <v>4307</v>
      </c>
      <c r="C1795" s="116" t="s">
        <v>20</v>
      </c>
      <c r="D1795" s="116">
        <v>0</v>
      </c>
      <c r="E1795" s="135" t="s">
        <v>558</v>
      </c>
      <c r="F1795" s="136" t="str">
        <f t="shared" si="108"/>
        <v/>
      </c>
      <c r="G1795" s="137" t="e">
        <f>IF(A1795&lt;&gt;"",IF(AND(#REF!="Padrão",$H$4=#REF!),BDI!$B$17,IF(AND(#REF!="Padrão",$H$4=#REF!),BDI!#REF!,IF(AND(#REF!="Diferenciado",$H$4=#REF!),BDI!$E$17,IF(AND(#REF!="Diferenciado",$H$4=#REF!),BDI!#REF!,IF(#REF!="ZERO",0))))),"")</f>
        <v>#REF!</v>
      </c>
      <c r="H1795" s="138" t="str">
        <f t="shared" si="109"/>
        <v/>
      </c>
      <c r="I1795" s="136" t="str">
        <f t="shared" si="110"/>
        <v/>
      </c>
    </row>
    <row r="1796" spans="1:9" hidden="1" x14ac:dyDescent="0.25">
      <c r="A1796" s="114" t="s">
        <v>5515</v>
      </c>
      <c r="B1796" s="115" t="s">
        <v>4308</v>
      </c>
      <c r="C1796" s="116" t="s">
        <v>20</v>
      </c>
      <c r="D1796" s="116">
        <v>0</v>
      </c>
      <c r="E1796" s="135" t="s">
        <v>558</v>
      </c>
      <c r="F1796" s="136" t="str">
        <f t="shared" si="108"/>
        <v/>
      </c>
      <c r="G1796" s="137" t="e">
        <f>IF(A1796&lt;&gt;"",IF(AND(#REF!="Padrão",$H$4=#REF!),BDI!$B$17,IF(AND(#REF!="Padrão",$H$4=#REF!),BDI!#REF!,IF(AND(#REF!="Diferenciado",$H$4=#REF!),BDI!$E$17,IF(AND(#REF!="Diferenciado",$H$4=#REF!),BDI!#REF!,IF(#REF!="ZERO",0))))),"")</f>
        <v>#REF!</v>
      </c>
      <c r="H1796" s="138" t="str">
        <f t="shared" si="109"/>
        <v/>
      </c>
      <c r="I1796" s="136" t="str">
        <f t="shared" si="110"/>
        <v/>
      </c>
    </row>
    <row r="1797" spans="1:9" hidden="1" x14ac:dyDescent="0.25">
      <c r="A1797" s="114" t="s">
        <v>5516</v>
      </c>
      <c r="B1797" s="115" t="s">
        <v>4309</v>
      </c>
      <c r="C1797" s="116" t="s">
        <v>20</v>
      </c>
      <c r="D1797" s="116">
        <v>0</v>
      </c>
      <c r="E1797" s="135" t="s">
        <v>558</v>
      </c>
      <c r="F1797" s="136" t="str">
        <f t="shared" si="108"/>
        <v/>
      </c>
      <c r="G1797" s="137" t="e">
        <f>IF(A1797&lt;&gt;"",IF(AND(#REF!="Padrão",$H$4=#REF!),BDI!$B$17,IF(AND(#REF!="Padrão",$H$4=#REF!),BDI!#REF!,IF(AND(#REF!="Diferenciado",$H$4=#REF!),BDI!$E$17,IF(AND(#REF!="Diferenciado",$H$4=#REF!),BDI!#REF!,IF(#REF!="ZERO",0))))),"")</f>
        <v>#REF!</v>
      </c>
      <c r="H1797" s="138" t="str">
        <f t="shared" si="109"/>
        <v/>
      </c>
      <c r="I1797" s="136" t="str">
        <f t="shared" si="110"/>
        <v/>
      </c>
    </row>
    <row r="1798" spans="1:9" hidden="1" x14ac:dyDescent="0.25">
      <c r="A1798" s="114" t="s">
        <v>5517</v>
      </c>
      <c r="B1798" s="115" t="s">
        <v>4310</v>
      </c>
      <c r="C1798" s="116" t="s">
        <v>20</v>
      </c>
      <c r="D1798" s="116">
        <v>0</v>
      </c>
      <c r="E1798" s="135" t="s">
        <v>558</v>
      </c>
      <c r="F1798" s="136" t="str">
        <f t="shared" si="108"/>
        <v/>
      </c>
      <c r="G1798" s="137" t="e">
        <f>IF(A1798&lt;&gt;"",IF(AND(#REF!="Padrão",$H$4=#REF!),BDI!$B$17,IF(AND(#REF!="Padrão",$H$4=#REF!),BDI!#REF!,IF(AND(#REF!="Diferenciado",$H$4=#REF!),BDI!$E$17,IF(AND(#REF!="Diferenciado",$H$4=#REF!),BDI!#REF!,IF(#REF!="ZERO",0))))),"")</f>
        <v>#REF!</v>
      </c>
      <c r="H1798" s="138" t="str">
        <f t="shared" si="109"/>
        <v/>
      </c>
      <c r="I1798" s="136" t="str">
        <f t="shared" si="110"/>
        <v/>
      </c>
    </row>
    <row r="1799" spans="1:9" hidden="1" x14ac:dyDescent="0.25">
      <c r="A1799" s="114" t="s">
        <v>5518</v>
      </c>
      <c r="B1799" s="115" t="s">
        <v>4311</v>
      </c>
      <c r="C1799" s="116" t="s">
        <v>20</v>
      </c>
      <c r="D1799" s="116">
        <v>0</v>
      </c>
      <c r="E1799" s="135" t="s">
        <v>558</v>
      </c>
      <c r="F1799" s="136" t="str">
        <f t="shared" si="108"/>
        <v/>
      </c>
      <c r="G1799" s="137" t="e">
        <f>IF(A1799&lt;&gt;"",IF(AND(#REF!="Padrão",$H$4=#REF!),BDI!$B$17,IF(AND(#REF!="Padrão",$H$4=#REF!),BDI!#REF!,IF(AND(#REF!="Diferenciado",$H$4=#REF!),BDI!$E$17,IF(AND(#REF!="Diferenciado",$H$4=#REF!),BDI!#REF!,IF(#REF!="ZERO",0))))),"")</f>
        <v>#REF!</v>
      </c>
      <c r="H1799" s="138" t="str">
        <f t="shared" si="109"/>
        <v/>
      </c>
      <c r="I1799" s="136" t="str">
        <f t="shared" si="110"/>
        <v/>
      </c>
    </row>
    <row r="1800" spans="1:9" hidden="1" x14ac:dyDescent="0.25">
      <c r="A1800" s="114" t="s">
        <v>5519</v>
      </c>
      <c r="B1800" s="115" t="s">
        <v>4312</v>
      </c>
      <c r="C1800" s="116" t="s">
        <v>20</v>
      </c>
      <c r="D1800" s="116">
        <v>0</v>
      </c>
      <c r="E1800" s="135" t="s">
        <v>558</v>
      </c>
      <c r="F1800" s="136" t="str">
        <f t="shared" si="108"/>
        <v/>
      </c>
      <c r="G1800" s="137" t="e">
        <f>IF(A1800&lt;&gt;"",IF(AND(#REF!="Padrão",$H$4=#REF!),BDI!$B$17,IF(AND(#REF!="Padrão",$H$4=#REF!),BDI!#REF!,IF(AND(#REF!="Diferenciado",$H$4=#REF!),BDI!$E$17,IF(AND(#REF!="Diferenciado",$H$4=#REF!),BDI!#REF!,IF(#REF!="ZERO",0))))),"")</f>
        <v>#REF!</v>
      </c>
      <c r="H1800" s="138" t="str">
        <f t="shared" si="109"/>
        <v/>
      </c>
      <c r="I1800" s="136" t="str">
        <f t="shared" si="110"/>
        <v/>
      </c>
    </row>
    <row r="1801" spans="1:9" hidden="1" x14ac:dyDescent="0.25">
      <c r="A1801" s="114" t="s">
        <v>5520</v>
      </c>
      <c r="B1801" s="115" t="s">
        <v>4313</v>
      </c>
      <c r="C1801" s="116" t="s">
        <v>20</v>
      </c>
      <c r="D1801" s="116">
        <v>0</v>
      </c>
      <c r="E1801" s="135" t="s">
        <v>558</v>
      </c>
      <c r="F1801" s="136" t="str">
        <f t="shared" si="108"/>
        <v/>
      </c>
      <c r="G1801" s="137" t="e">
        <f>IF(A1801&lt;&gt;"",IF(AND(#REF!="Padrão",$H$4=#REF!),BDI!$B$17,IF(AND(#REF!="Padrão",$H$4=#REF!),BDI!#REF!,IF(AND(#REF!="Diferenciado",$H$4=#REF!),BDI!$E$17,IF(AND(#REF!="Diferenciado",$H$4=#REF!),BDI!#REF!,IF(#REF!="ZERO",0))))),"")</f>
        <v>#REF!</v>
      </c>
      <c r="H1801" s="138" t="str">
        <f t="shared" si="109"/>
        <v/>
      </c>
      <c r="I1801" s="136" t="str">
        <f t="shared" si="110"/>
        <v/>
      </c>
    </row>
    <row r="1802" spans="1:9" hidden="1" x14ac:dyDescent="0.25">
      <c r="A1802" s="114" t="s">
        <v>5521</v>
      </c>
      <c r="B1802" s="115" t="s">
        <v>4314</v>
      </c>
      <c r="C1802" s="116" t="s">
        <v>20</v>
      </c>
      <c r="D1802" s="116">
        <v>0</v>
      </c>
      <c r="E1802" s="135" t="s">
        <v>558</v>
      </c>
      <c r="F1802" s="136" t="str">
        <f t="shared" si="108"/>
        <v/>
      </c>
      <c r="G1802" s="137" t="e">
        <f>IF(A1802&lt;&gt;"",IF(AND(#REF!="Padrão",$H$4=#REF!),BDI!$B$17,IF(AND(#REF!="Padrão",$H$4=#REF!),BDI!#REF!,IF(AND(#REF!="Diferenciado",$H$4=#REF!),BDI!$E$17,IF(AND(#REF!="Diferenciado",$H$4=#REF!),BDI!#REF!,IF(#REF!="ZERO",0))))),"")</f>
        <v>#REF!</v>
      </c>
      <c r="H1802" s="138" t="str">
        <f t="shared" si="109"/>
        <v/>
      </c>
      <c r="I1802" s="136" t="str">
        <f t="shared" si="110"/>
        <v/>
      </c>
    </row>
    <row r="1803" spans="1:9" hidden="1" x14ac:dyDescent="0.25">
      <c r="A1803" s="114" t="s">
        <v>5522</v>
      </c>
      <c r="B1803" s="115" t="s">
        <v>4315</v>
      </c>
      <c r="C1803" s="116" t="s">
        <v>20</v>
      </c>
      <c r="D1803" s="116">
        <v>0</v>
      </c>
      <c r="E1803" s="135" t="s">
        <v>558</v>
      </c>
      <c r="F1803" s="136" t="str">
        <f t="shared" si="108"/>
        <v/>
      </c>
      <c r="G1803" s="137" t="e">
        <f>IF(A1803&lt;&gt;"",IF(AND(#REF!="Padrão",$H$4=#REF!),BDI!$B$17,IF(AND(#REF!="Padrão",$H$4=#REF!),BDI!#REF!,IF(AND(#REF!="Diferenciado",$H$4=#REF!),BDI!$E$17,IF(AND(#REF!="Diferenciado",$H$4=#REF!),BDI!#REF!,IF(#REF!="ZERO",0))))),"")</f>
        <v>#REF!</v>
      </c>
      <c r="H1803" s="138" t="str">
        <f t="shared" si="109"/>
        <v/>
      </c>
      <c r="I1803" s="136" t="str">
        <f t="shared" si="110"/>
        <v/>
      </c>
    </row>
    <row r="1804" spans="1:9" hidden="1" x14ac:dyDescent="0.25">
      <c r="A1804" s="114" t="s">
        <v>5523</v>
      </c>
      <c r="B1804" s="115" t="s">
        <v>4316</v>
      </c>
      <c r="C1804" s="116" t="s">
        <v>20</v>
      </c>
      <c r="D1804" s="116">
        <v>0</v>
      </c>
      <c r="E1804" s="135" t="s">
        <v>558</v>
      </c>
      <c r="F1804" s="136" t="str">
        <f t="shared" si="108"/>
        <v/>
      </c>
      <c r="G1804" s="137" t="e">
        <f>IF(A1804&lt;&gt;"",IF(AND(#REF!="Padrão",$H$4=#REF!),BDI!$B$17,IF(AND(#REF!="Padrão",$H$4=#REF!),BDI!#REF!,IF(AND(#REF!="Diferenciado",$H$4=#REF!),BDI!$E$17,IF(AND(#REF!="Diferenciado",$H$4=#REF!),BDI!#REF!,IF(#REF!="ZERO",0))))),"")</f>
        <v>#REF!</v>
      </c>
      <c r="H1804" s="138" t="str">
        <f t="shared" si="109"/>
        <v/>
      </c>
      <c r="I1804" s="136" t="str">
        <f t="shared" si="110"/>
        <v/>
      </c>
    </row>
    <row r="1805" spans="1:9" hidden="1" x14ac:dyDescent="0.25">
      <c r="A1805" s="114" t="s">
        <v>5524</v>
      </c>
      <c r="B1805" s="115" t="s">
        <v>4317</v>
      </c>
      <c r="C1805" s="116" t="s">
        <v>20</v>
      </c>
      <c r="D1805" s="116">
        <v>0</v>
      </c>
      <c r="E1805" s="135" t="s">
        <v>558</v>
      </c>
      <c r="F1805" s="136" t="str">
        <f t="shared" si="108"/>
        <v/>
      </c>
      <c r="G1805" s="137" t="e">
        <f>IF(A1805&lt;&gt;"",IF(AND(#REF!="Padrão",$H$4=#REF!),BDI!$B$17,IF(AND(#REF!="Padrão",$H$4=#REF!),BDI!#REF!,IF(AND(#REF!="Diferenciado",$H$4=#REF!),BDI!$E$17,IF(AND(#REF!="Diferenciado",$H$4=#REF!),BDI!#REF!,IF(#REF!="ZERO",0))))),"")</f>
        <v>#REF!</v>
      </c>
      <c r="H1805" s="138" t="str">
        <f t="shared" si="109"/>
        <v/>
      </c>
      <c r="I1805" s="136" t="str">
        <f t="shared" si="110"/>
        <v/>
      </c>
    </row>
    <row r="1806" spans="1:9" hidden="1" x14ac:dyDescent="0.25">
      <c r="A1806" s="114" t="s">
        <v>5525</v>
      </c>
      <c r="B1806" s="115" t="s">
        <v>4318</v>
      </c>
      <c r="C1806" s="116" t="s">
        <v>20</v>
      </c>
      <c r="D1806" s="116">
        <v>0</v>
      </c>
      <c r="E1806" s="135" t="s">
        <v>558</v>
      </c>
      <c r="F1806" s="136" t="str">
        <f t="shared" si="108"/>
        <v/>
      </c>
      <c r="G1806" s="137" t="e">
        <f>IF(A1806&lt;&gt;"",IF(AND(#REF!="Padrão",$H$4=#REF!),BDI!$B$17,IF(AND(#REF!="Padrão",$H$4=#REF!),BDI!#REF!,IF(AND(#REF!="Diferenciado",$H$4=#REF!),BDI!$E$17,IF(AND(#REF!="Diferenciado",$H$4=#REF!),BDI!#REF!,IF(#REF!="ZERO",0))))),"")</f>
        <v>#REF!</v>
      </c>
      <c r="H1806" s="138" t="str">
        <f t="shared" si="109"/>
        <v/>
      </c>
      <c r="I1806" s="136" t="str">
        <f t="shared" si="110"/>
        <v/>
      </c>
    </row>
    <row r="1807" spans="1:9" hidden="1" x14ac:dyDescent="0.25">
      <c r="A1807" s="114" t="s">
        <v>5526</v>
      </c>
      <c r="B1807" s="115" t="s">
        <v>4319</v>
      </c>
      <c r="C1807" s="116" t="s">
        <v>20</v>
      </c>
      <c r="D1807" s="116">
        <v>0</v>
      </c>
      <c r="E1807" s="135" t="s">
        <v>558</v>
      </c>
      <c r="F1807" s="136" t="str">
        <f t="shared" si="108"/>
        <v/>
      </c>
      <c r="G1807" s="137" t="e">
        <f>IF(A1807&lt;&gt;"",IF(AND(#REF!="Padrão",$H$4=#REF!),BDI!$B$17,IF(AND(#REF!="Padrão",$H$4=#REF!),BDI!#REF!,IF(AND(#REF!="Diferenciado",$H$4=#REF!),BDI!$E$17,IF(AND(#REF!="Diferenciado",$H$4=#REF!),BDI!#REF!,IF(#REF!="ZERO",0))))),"")</f>
        <v>#REF!</v>
      </c>
      <c r="H1807" s="138" t="str">
        <f t="shared" si="109"/>
        <v/>
      </c>
      <c r="I1807" s="136" t="str">
        <f t="shared" si="110"/>
        <v/>
      </c>
    </row>
    <row r="1808" spans="1:9" hidden="1" x14ac:dyDescent="0.25">
      <c r="A1808" s="114" t="s">
        <v>5527</v>
      </c>
      <c r="B1808" s="115" t="s">
        <v>4320</v>
      </c>
      <c r="C1808" s="116" t="s">
        <v>20</v>
      </c>
      <c r="D1808" s="116">
        <v>0</v>
      </c>
      <c r="E1808" s="135" t="s">
        <v>558</v>
      </c>
      <c r="F1808" s="136" t="str">
        <f t="shared" si="108"/>
        <v/>
      </c>
      <c r="G1808" s="137" t="e">
        <f>IF(A1808&lt;&gt;"",IF(AND(#REF!="Padrão",$H$4=#REF!),BDI!$B$17,IF(AND(#REF!="Padrão",$H$4=#REF!),BDI!#REF!,IF(AND(#REF!="Diferenciado",$H$4=#REF!),BDI!$E$17,IF(AND(#REF!="Diferenciado",$H$4=#REF!),BDI!#REF!,IF(#REF!="ZERO",0))))),"")</f>
        <v>#REF!</v>
      </c>
      <c r="H1808" s="138" t="str">
        <f t="shared" si="109"/>
        <v/>
      </c>
      <c r="I1808" s="136" t="str">
        <f t="shared" si="110"/>
        <v/>
      </c>
    </row>
    <row r="1809" spans="1:9" hidden="1" x14ac:dyDescent="0.25">
      <c r="A1809" s="114" t="s">
        <v>5528</v>
      </c>
      <c r="B1809" s="115" t="s">
        <v>4321</v>
      </c>
      <c r="C1809" s="116" t="s">
        <v>20</v>
      </c>
      <c r="D1809" s="116">
        <v>0</v>
      </c>
      <c r="E1809" s="135" t="s">
        <v>558</v>
      </c>
      <c r="F1809" s="136" t="str">
        <f t="shared" si="108"/>
        <v/>
      </c>
      <c r="G1809" s="137" t="e">
        <f>IF(A1809&lt;&gt;"",IF(AND(#REF!="Padrão",$H$4=#REF!),BDI!$B$17,IF(AND(#REF!="Padrão",$H$4=#REF!),BDI!#REF!,IF(AND(#REF!="Diferenciado",$H$4=#REF!),BDI!$E$17,IF(AND(#REF!="Diferenciado",$H$4=#REF!),BDI!#REF!,IF(#REF!="ZERO",0))))),"")</f>
        <v>#REF!</v>
      </c>
      <c r="H1809" s="138" t="str">
        <f t="shared" si="109"/>
        <v/>
      </c>
      <c r="I1809" s="136" t="str">
        <f t="shared" si="110"/>
        <v/>
      </c>
    </row>
    <row r="1810" spans="1:9" hidden="1" x14ac:dyDescent="0.25">
      <c r="A1810" s="114" t="s">
        <v>5529</v>
      </c>
      <c r="B1810" s="115" t="s">
        <v>4322</v>
      </c>
      <c r="C1810" s="116" t="s">
        <v>20</v>
      </c>
      <c r="D1810" s="116">
        <v>0</v>
      </c>
      <c r="E1810" s="135" t="s">
        <v>558</v>
      </c>
      <c r="F1810" s="136" t="str">
        <f t="shared" si="108"/>
        <v/>
      </c>
      <c r="G1810" s="137" t="e">
        <f>IF(A1810&lt;&gt;"",IF(AND(#REF!="Padrão",$H$4=#REF!),BDI!$B$17,IF(AND(#REF!="Padrão",$H$4=#REF!),BDI!#REF!,IF(AND(#REF!="Diferenciado",$H$4=#REF!),BDI!$E$17,IF(AND(#REF!="Diferenciado",$H$4=#REF!),BDI!#REF!,IF(#REF!="ZERO",0))))),"")</f>
        <v>#REF!</v>
      </c>
      <c r="H1810" s="138" t="str">
        <f t="shared" si="109"/>
        <v/>
      </c>
      <c r="I1810" s="136" t="str">
        <f t="shared" si="110"/>
        <v/>
      </c>
    </row>
    <row r="1811" spans="1:9" hidden="1" x14ac:dyDescent="0.25">
      <c r="A1811" s="114" t="s">
        <v>5530</v>
      </c>
      <c r="B1811" s="115" t="s">
        <v>4323</v>
      </c>
      <c r="C1811" s="116" t="s">
        <v>93</v>
      </c>
      <c r="D1811" s="116">
        <v>0</v>
      </c>
      <c r="E1811" s="135" t="s">
        <v>558</v>
      </c>
      <c r="F1811" s="136" t="str">
        <f t="shared" si="108"/>
        <v/>
      </c>
      <c r="G1811" s="137" t="e">
        <f>IF(A1811&lt;&gt;"",IF(AND(#REF!="Padrão",$H$4=#REF!),BDI!$B$17,IF(AND(#REF!="Padrão",$H$4=#REF!),BDI!#REF!,IF(AND(#REF!="Diferenciado",$H$4=#REF!),BDI!$E$17,IF(AND(#REF!="Diferenciado",$H$4=#REF!),BDI!#REF!,IF(#REF!="ZERO",0))))),"")</f>
        <v>#REF!</v>
      </c>
      <c r="H1811" s="138" t="str">
        <f t="shared" si="109"/>
        <v/>
      </c>
      <c r="I1811" s="136" t="str">
        <f t="shared" si="110"/>
        <v/>
      </c>
    </row>
    <row r="1812" spans="1:9" hidden="1" x14ac:dyDescent="0.25">
      <c r="A1812" s="114" t="s">
        <v>5531</v>
      </c>
      <c r="B1812" s="115" t="s">
        <v>4324</v>
      </c>
      <c r="C1812" s="116" t="s">
        <v>93</v>
      </c>
      <c r="D1812" s="116">
        <v>0</v>
      </c>
      <c r="E1812" s="135">
        <f ca="1">OFFSET(INDEX(Composições!A:J,MATCH(Orçamentária!A1812,Composições!A:A,0),8),2,0)</f>
        <v>0</v>
      </c>
      <c r="F1812" s="136">
        <f t="shared" ca="1" si="108"/>
        <v>0</v>
      </c>
      <c r="G1812" s="137" t="e">
        <f>IF(A1812&lt;&gt;"",IF(AND(#REF!="Padrão",$H$4=#REF!),BDI!$B$17,IF(AND(#REF!="Padrão",$H$4=#REF!),BDI!#REF!,IF(AND(#REF!="Diferenciado",$H$4=#REF!),BDI!$E$17,IF(AND(#REF!="Diferenciado",$H$4=#REF!),BDI!#REF!,IF(#REF!="ZERO",0))))),"")</f>
        <v>#REF!</v>
      </c>
      <c r="H1812" s="138" t="e">
        <f t="shared" ca="1" si="109"/>
        <v>#REF!</v>
      </c>
      <c r="I1812" s="136" t="e">
        <f t="shared" ca="1" si="110"/>
        <v>#REF!</v>
      </c>
    </row>
    <row r="1813" spans="1:9" hidden="1" x14ac:dyDescent="0.25">
      <c r="A1813" s="114" t="s">
        <v>5532</v>
      </c>
      <c r="B1813" s="115" t="s">
        <v>4325</v>
      </c>
      <c r="C1813" s="116" t="s">
        <v>93</v>
      </c>
      <c r="D1813" s="116">
        <v>0</v>
      </c>
      <c r="E1813" s="135">
        <f ca="1">OFFSET(INDEX(Composições!A:J,MATCH(Orçamentária!A1813,Composições!A:A,0),8),2,0)</f>
        <v>0</v>
      </c>
      <c r="F1813" s="136">
        <f t="shared" ca="1" si="108"/>
        <v>0</v>
      </c>
      <c r="G1813" s="137" t="e">
        <f>IF(A1813&lt;&gt;"",IF(AND(#REF!="Padrão",$H$4=#REF!),BDI!$B$17,IF(AND(#REF!="Padrão",$H$4=#REF!),BDI!#REF!,IF(AND(#REF!="Diferenciado",$H$4=#REF!),BDI!$E$17,IF(AND(#REF!="Diferenciado",$H$4=#REF!),BDI!#REF!,IF(#REF!="ZERO",0))))),"")</f>
        <v>#REF!</v>
      </c>
      <c r="H1813" s="138" t="e">
        <f t="shared" ca="1" si="109"/>
        <v>#REF!</v>
      </c>
      <c r="I1813" s="136" t="e">
        <f t="shared" ca="1" si="110"/>
        <v>#REF!</v>
      </c>
    </row>
    <row r="1814" spans="1:9" hidden="1" x14ac:dyDescent="0.25">
      <c r="A1814" s="114" t="s">
        <v>5533</v>
      </c>
      <c r="B1814" s="115" t="s">
        <v>4326</v>
      </c>
      <c r="C1814" s="116" t="s">
        <v>93</v>
      </c>
      <c r="D1814" s="116">
        <v>0</v>
      </c>
      <c r="E1814" s="135">
        <f ca="1">OFFSET(INDEX(Composições!A:J,MATCH(Orçamentária!A1814,Composições!A:A,0),8),2,0)</f>
        <v>0</v>
      </c>
      <c r="F1814" s="136">
        <f t="shared" ca="1" si="108"/>
        <v>0</v>
      </c>
      <c r="G1814" s="137" t="e">
        <f>IF(A1814&lt;&gt;"",IF(AND(#REF!="Padrão",$H$4=#REF!),BDI!$B$17,IF(AND(#REF!="Padrão",$H$4=#REF!),BDI!#REF!,IF(AND(#REF!="Diferenciado",$H$4=#REF!),BDI!$E$17,IF(AND(#REF!="Diferenciado",$H$4=#REF!),BDI!#REF!,IF(#REF!="ZERO",0))))),"")</f>
        <v>#REF!</v>
      </c>
      <c r="H1814" s="138" t="e">
        <f t="shared" ca="1" si="109"/>
        <v>#REF!</v>
      </c>
      <c r="I1814" s="136" t="e">
        <f t="shared" ca="1" si="110"/>
        <v>#REF!</v>
      </c>
    </row>
    <row r="1815" spans="1:9" hidden="1" x14ac:dyDescent="0.25">
      <c r="A1815" s="114" t="s">
        <v>5534</v>
      </c>
      <c r="B1815" s="115" t="s">
        <v>4327</v>
      </c>
      <c r="C1815" s="116" t="s">
        <v>93</v>
      </c>
      <c r="D1815" s="116">
        <v>0</v>
      </c>
      <c r="E1815" s="135">
        <f ca="1">OFFSET(INDEX(Composições!A:J,MATCH(Orçamentária!A1815,Composições!A:A,0),8),2,0)</f>
        <v>0</v>
      </c>
      <c r="F1815" s="136">
        <f t="shared" ca="1" si="108"/>
        <v>0</v>
      </c>
      <c r="G1815" s="137" t="e">
        <f>IF(A1815&lt;&gt;"",IF(AND(#REF!="Padrão",$H$4=#REF!),BDI!$B$17,IF(AND(#REF!="Padrão",$H$4=#REF!),BDI!#REF!,IF(AND(#REF!="Diferenciado",$H$4=#REF!),BDI!$E$17,IF(AND(#REF!="Diferenciado",$H$4=#REF!),BDI!#REF!,IF(#REF!="ZERO",0))))),"")</f>
        <v>#REF!</v>
      </c>
      <c r="H1815" s="138" t="e">
        <f t="shared" ca="1" si="109"/>
        <v>#REF!</v>
      </c>
      <c r="I1815" s="136" t="e">
        <f t="shared" ca="1" si="110"/>
        <v>#REF!</v>
      </c>
    </row>
    <row r="1816" spans="1:9" hidden="1" x14ac:dyDescent="0.25">
      <c r="A1816" s="114" t="s">
        <v>5535</v>
      </c>
      <c r="B1816" s="115" t="s">
        <v>4328</v>
      </c>
      <c r="C1816" s="116" t="s">
        <v>93</v>
      </c>
      <c r="D1816" s="116">
        <v>0</v>
      </c>
      <c r="E1816" s="135">
        <f ca="1">OFFSET(INDEX(Composições!A:J,MATCH(Orçamentária!A1816,Composições!A:A,0),8),2,0)</f>
        <v>0</v>
      </c>
      <c r="F1816" s="136">
        <f t="shared" ca="1" si="108"/>
        <v>0</v>
      </c>
      <c r="G1816" s="137" t="e">
        <f>IF(A1816&lt;&gt;"",IF(AND(#REF!="Padrão",$H$4=#REF!),BDI!$B$17,IF(AND(#REF!="Padrão",$H$4=#REF!),BDI!#REF!,IF(AND(#REF!="Diferenciado",$H$4=#REF!),BDI!$E$17,IF(AND(#REF!="Diferenciado",$H$4=#REF!),BDI!#REF!,IF(#REF!="ZERO",0))))),"")</f>
        <v>#REF!</v>
      </c>
      <c r="H1816" s="138" t="e">
        <f t="shared" ca="1" si="109"/>
        <v>#REF!</v>
      </c>
      <c r="I1816" s="136" t="e">
        <f t="shared" ca="1" si="110"/>
        <v>#REF!</v>
      </c>
    </row>
    <row r="1817" spans="1:9" hidden="1" x14ac:dyDescent="0.25">
      <c r="A1817" s="114" t="s">
        <v>5536</v>
      </c>
      <c r="B1817" s="115" t="s">
        <v>4329</v>
      </c>
      <c r="C1817" s="116" t="s">
        <v>93</v>
      </c>
      <c r="D1817" s="116">
        <v>0</v>
      </c>
      <c r="E1817" s="135">
        <f ca="1">OFFSET(INDEX(Composições!A:J,MATCH(Orçamentária!A1817,Composições!A:A,0),8),2,0)</f>
        <v>0</v>
      </c>
      <c r="F1817" s="136">
        <f t="shared" ca="1" si="108"/>
        <v>0</v>
      </c>
      <c r="G1817" s="137" t="e">
        <f>IF(A1817&lt;&gt;"",IF(AND(#REF!="Padrão",$H$4=#REF!),BDI!$B$17,IF(AND(#REF!="Padrão",$H$4=#REF!),BDI!#REF!,IF(AND(#REF!="Diferenciado",$H$4=#REF!),BDI!$E$17,IF(AND(#REF!="Diferenciado",$H$4=#REF!),BDI!#REF!,IF(#REF!="ZERO",0))))),"")</f>
        <v>#REF!</v>
      </c>
      <c r="H1817" s="138" t="e">
        <f t="shared" ca="1" si="109"/>
        <v>#REF!</v>
      </c>
      <c r="I1817" s="136" t="e">
        <f t="shared" ca="1" si="110"/>
        <v>#REF!</v>
      </c>
    </row>
    <row r="1818" spans="1:9" hidden="1" x14ac:dyDescent="0.25">
      <c r="A1818" s="114" t="s">
        <v>5537</v>
      </c>
      <c r="B1818" s="115" t="s">
        <v>6560</v>
      </c>
      <c r="C1818" s="116" t="s">
        <v>93</v>
      </c>
      <c r="D1818" s="116">
        <v>0</v>
      </c>
      <c r="E1818" s="135">
        <f ca="1">OFFSET(INDEX(Composições!A:J,MATCH(Orçamentária!A1818,Composições!A:A,0),8),2,0)</f>
        <v>0</v>
      </c>
      <c r="F1818" s="136">
        <f t="shared" ca="1" si="108"/>
        <v>0</v>
      </c>
      <c r="G1818" s="137" t="e">
        <f>IF(A1818&lt;&gt;"",IF(AND(#REF!="Padrão",$H$4=#REF!),BDI!$B$17,IF(AND(#REF!="Padrão",$H$4=#REF!),BDI!#REF!,IF(AND(#REF!="Diferenciado",$H$4=#REF!),BDI!$E$17,IF(AND(#REF!="Diferenciado",$H$4=#REF!),BDI!#REF!,IF(#REF!="ZERO",0))))),"")</f>
        <v>#REF!</v>
      </c>
      <c r="H1818" s="138" t="e">
        <f t="shared" ca="1" si="109"/>
        <v>#REF!</v>
      </c>
      <c r="I1818" s="136" t="e">
        <f t="shared" ca="1" si="110"/>
        <v>#REF!</v>
      </c>
    </row>
    <row r="1819" spans="1:9" hidden="1" x14ac:dyDescent="0.25">
      <c r="A1819" s="114" t="s">
        <v>5538</v>
      </c>
      <c r="B1819" s="115" t="s">
        <v>4330</v>
      </c>
      <c r="C1819" s="116" t="s">
        <v>93</v>
      </c>
      <c r="D1819" s="116">
        <v>0</v>
      </c>
      <c r="E1819" s="135">
        <f ca="1">OFFSET(INDEX(Composições!A:J,MATCH(Orçamentária!A1819,Composições!A:A,0),8),2,0)</f>
        <v>0</v>
      </c>
      <c r="F1819" s="136">
        <f t="shared" ca="1" si="108"/>
        <v>0</v>
      </c>
      <c r="G1819" s="137" t="e">
        <f>IF(A1819&lt;&gt;"",IF(AND(#REF!="Padrão",$H$4=#REF!),BDI!$B$17,IF(AND(#REF!="Padrão",$H$4=#REF!),BDI!#REF!,IF(AND(#REF!="Diferenciado",$H$4=#REF!),BDI!$E$17,IF(AND(#REF!="Diferenciado",$H$4=#REF!),BDI!#REF!,IF(#REF!="ZERO",0))))),"")</f>
        <v>#REF!</v>
      </c>
      <c r="H1819" s="138" t="e">
        <f t="shared" ca="1" si="109"/>
        <v>#REF!</v>
      </c>
      <c r="I1819" s="136" t="e">
        <f t="shared" ca="1" si="110"/>
        <v>#REF!</v>
      </c>
    </row>
    <row r="1820" spans="1:9" hidden="1" x14ac:dyDescent="0.25">
      <c r="A1820" s="114" t="s">
        <v>5539</v>
      </c>
      <c r="B1820" s="115" t="s">
        <v>4331</v>
      </c>
      <c r="C1820" s="116" t="s">
        <v>93</v>
      </c>
      <c r="D1820" s="116">
        <v>0</v>
      </c>
      <c r="E1820" s="135" t="s">
        <v>558</v>
      </c>
      <c r="F1820" s="136" t="str">
        <f t="shared" si="108"/>
        <v/>
      </c>
      <c r="G1820" s="137" t="e">
        <f>IF(A1820&lt;&gt;"",IF(AND(#REF!="Padrão",$H$4=#REF!),BDI!$B$17,IF(AND(#REF!="Padrão",$H$4=#REF!),BDI!#REF!,IF(AND(#REF!="Diferenciado",$H$4=#REF!),BDI!$E$17,IF(AND(#REF!="Diferenciado",$H$4=#REF!),BDI!#REF!,IF(#REF!="ZERO",0))))),"")</f>
        <v>#REF!</v>
      </c>
      <c r="H1820" s="138" t="str">
        <f t="shared" si="109"/>
        <v/>
      </c>
      <c r="I1820" s="136" t="str">
        <f t="shared" si="110"/>
        <v/>
      </c>
    </row>
    <row r="1821" spans="1:9" hidden="1" x14ac:dyDescent="0.25">
      <c r="A1821" s="114" t="s">
        <v>5540</v>
      </c>
      <c r="B1821" s="115" t="s">
        <v>4332</v>
      </c>
      <c r="C1821" s="116" t="s">
        <v>93</v>
      </c>
      <c r="D1821" s="116">
        <v>0</v>
      </c>
      <c r="E1821" s="135" t="s">
        <v>558</v>
      </c>
      <c r="F1821" s="136" t="str">
        <f t="shared" si="108"/>
        <v/>
      </c>
      <c r="G1821" s="137" t="e">
        <f>IF(A1821&lt;&gt;"",IF(AND(#REF!="Padrão",$H$4=#REF!),BDI!$B$17,IF(AND(#REF!="Padrão",$H$4=#REF!),BDI!#REF!,IF(AND(#REF!="Diferenciado",$H$4=#REF!),BDI!$E$17,IF(AND(#REF!="Diferenciado",$H$4=#REF!),BDI!#REF!,IF(#REF!="ZERO",0))))),"")</f>
        <v>#REF!</v>
      </c>
      <c r="H1821" s="138" t="str">
        <f t="shared" si="109"/>
        <v/>
      </c>
      <c r="I1821" s="136" t="str">
        <f t="shared" si="110"/>
        <v/>
      </c>
    </row>
    <row r="1822" spans="1:9" hidden="1" x14ac:dyDescent="0.25">
      <c r="A1822" s="114" t="s">
        <v>5541</v>
      </c>
      <c r="B1822" s="115" t="s">
        <v>4333</v>
      </c>
      <c r="C1822" s="116" t="s">
        <v>93</v>
      </c>
      <c r="D1822" s="116">
        <v>0</v>
      </c>
      <c r="E1822" s="135" t="s">
        <v>558</v>
      </c>
      <c r="F1822" s="136" t="str">
        <f t="shared" si="108"/>
        <v/>
      </c>
      <c r="G1822" s="137" t="e">
        <f>IF(A1822&lt;&gt;"",IF(AND(#REF!="Padrão",$H$4=#REF!),BDI!$B$17,IF(AND(#REF!="Padrão",$H$4=#REF!),BDI!#REF!,IF(AND(#REF!="Diferenciado",$H$4=#REF!),BDI!$E$17,IF(AND(#REF!="Diferenciado",$H$4=#REF!),BDI!#REF!,IF(#REF!="ZERO",0))))),"")</f>
        <v>#REF!</v>
      </c>
      <c r="H1822" s="138" t="str">
        <f t="shared" si="109"/>
        <v/>
      </c>
      <c r="I1822" s="136" t="str">
        <f t="shared" si="110"/>
        <v/>
      </c>
    </row>
    <row r="1823" spans="1:9" hidden="1" x14ac:dyDescent="0.25">
      <c r="A1823" s="114" t="s">
        <v>5542</v>
      </c>
      <c r="B1823" s="115" t="s">
        <v>4334</v>
      </c>
      <c r="C1823" s="116" t="s">
        <v>93</v>
      </c>
      <c r="D1823" s="116">
        <v>0</v>
      </c>
      <c r="E1823" s="135" t="s">
        <v>558</v>
      </c>
      <c r="F1823" s="136" t="str">
        <f t="shared" si="108"/>
        <v/>
      </c>
      <c r="G1823" s="137" t="e">
        <f>IF(A1823&lt;&gt;"",IF(AND(#REF!="Padrão",$H$4=#REF!),BDI!$B$17,IF(AND(#REF!="Padrão",$H$4=#REF!),BDI!#REF!,IF(AND(#REF!="Diferenciado",$H$4=#REF!),BDI!$E$17,IF(AND(#REF!="Diferenciado",$H$4=#REF!),BDI!#REF!,IF(#REF!="ZERO",0))))),"")</f>
        <v>#REF!</v>
      </c>
      <c r="H1823" s="138" t="str">
        <f t="shared" si="109"/>
        <v/>
      </c>
      <c r="I1823" s="136" t="str">
        <f t="shared" si="110"/>
        <v/>
      </c>
    </row>
    <row r="1824" spans="1:9" hidden="1" x14ac:dyDescent="0.25">
      <c r="A1824" s="114" t="s">
        <v>5543</v>
      </c>
      <c r="B1824" s="115" t="s">
        <v>4335</v>
      </c>
      <c r="C1824" s="116" t="s">
        <v>93</v>
      </c>
      <c r="D1824" s="116">
        <v>0</v>
      </c>
      <c r="E1824" s="135" t="s">
        <v>558</v>
      </c>
      <c r="F1824" s="136" t="str">
        <f t="shared" si="108"/>
        <v/>
      </c>
      <c r="G1824" s="137" t="e">
        <f>IF(A1824&lt;&gt;"",IF(AND(#REF!="Padrão",$H$4=#REF!),BDI!$B$17,IF(AND(#REF!="Padrão",$H$4=#REF!),BDI!#REF!,IF(AND(#REF!="Diferenciado",$H$4=#REF!),BDI!$E$17,IF(AND(#REF!="Diferenciado",$H$4=#REF!),BDI!#REF!,IF(#REF!="ZERO",0))))),"")</f>
        <v>#REF!</v>
      </c>
      <c r="H1824" s="138" t="str">
        <f t="shared" si="109"/>
        <v/>
      </c>
      <c r="I1824" s="136" t="str">
        <f t="shared" si="110"/>
        <v/>
      </c>
    </row>
    <row r="1825" spans="1:9" hidden="1" x14ac:dyDescent="0.25">
      <c r="A1825" s="114" t="s">
        <v>5544</v>
      </c>
      <c r="B1825" s="115" t="s">
        <v>4336</v>
      </c>
      <c r="C1825" s="116" t="s">
        <v>93</v>
      </c>
      <c r="D1825" s="116">
        <v>0</v>
      </c>
      <c r="E1825" s="135" t="s">
        <v>558</v>
      </c>
      <c r="F1825" s="136" t="str">
        <f t="shared" si="108"/>
        <v/>
      </c>
      <c r="G1825" s="137" t="e">
        <f>IF(A1825&lt;&gt;"",IF(AND(#REF!="Padrão",$H$4=#REF!),BDI!$B$17,IF(AND(#REF!="Padrão",$H$4=#REF!),BDI!#REF!,IF(AND(#REF!="Diferenciado",$H$4=#REF!),BDI!$E$17,IF(AND(#REF!="Diferenciado",$H$4=#REF!),BDI!#REF!,IF(#REF!="ZERO",0))))),"")</f>
        <v>#REF!</v>
      </c>
      <c r="H1825" s="138" t="str">
        <f t="shared" si="109"/>
        <v/>
      </c>
      <c r="I1825" s="136" t="str">
        <f t="shared" si="110"/>
        <v/>
      </c>
    </row>
    <row r="1826" spans="1:9" hidden="1" x14ac:dyDescent="0.25">
      <c r="A1826" s="114" t="s">
        <v>5545</v>
      </c>
      <c r="B1826" s="115" t="s">
        <v>4337</v>
      </c>
      <c r="C1826" s="116" t="s">
        <v>93</v>
      </c>
      <c r="D1826" s="116">
        <v>0</v>
      </c>
      <c r="E1826" s="135" t="s">
        <v>558</v>
      </c>
      <c r="F1826" s="136" t="str">
        <f t="shared" si="108"/>
        <v/>
      </c>
      <c r="G1826" s="137" t="e">
        <f>IF(A1826&lt;&gt;"",IF(AND(#REF!="Padrão",$H$4=#REF!),BDI!$B$17,IF(AND(#REF!="Padrão",$H$4=#REF!),BDI!#REF!,IF(AND(#REF!="Diferenciado",$H$4=#REF!),BDI!$E$17,IF(AND(#REF!="Diferenciado",$H$4=#REF!),BDI!#REF!,IF(#REF!="ZERO",0))))),"")</f>
        <v>#REF!</v>
      </c>
      <c r="H1826" s="138" t="str">
        <f t="shared" si="109"/>
        <v/>
      </c>
      <c r="I1826" s="136" t="str">
        <f t="shared" si="110"/>
        <v/>
      </c>
    </row>
    <row r="1827" spans="1:9" hidden="1" x14ac:dyDescent="0.25">
      <c r="A1827" s="114" t="s">
        <v>5546</v>
      </c>
      <c r="B1827" s="115" t="s">
        <v>4338</v>
      </c>
      <c r="C1827" s="116" t="s">
        <v>93</v>
      </c>
      <c r="D1827" s="116">
        <v>0</v>
      </c>
      <c r="E1827" s="135" t="s">
        <v>558</v>
      </c>
      <c r="F1827" s="136" t="str">
        <f t="shared" si="108"/>
        <v/>
      </c>
      <c r="G1827" s="137" t="e">
        <f>IF(A1827&lt;&gt;"",IF(AND(#REF!="Padrão",$H$4=#REF!),BDI!$B$17,IF(AND(#REF!="Padrão",$H$4=#REF!),BDI!#REF!,IF(AND(#REF!="Diferenciado",$H$4=#REF!),BDI!$E$17,IF(AND(#REF!="Diferenciado",$H$4=#REF!),BDI!#REF!,IF(#REF!="ZERO",0))))),"")</f>
        <v>#REF!</v>
      </c>
      <c r="H1827" s="138" t="str">
        <f t="shared" si="109"/>
        <v/>
      </c>
      <c r="I1827" s="136" t="str">
        <f t="shared" si="110"/>
        <v/>
      </c>
    </row>
    <row r="1828" spans="1:9" hidden="1" x14ac:dyDescent="0.25">
      <c r="A1828" s="114" t="s">
        <v>5547</v>
      </c>
      <c r="B1828" s="115" t="s">
        <v>4339</v>
      </c>
      <c r="C1828" s="116" t="s">
        <v>20</v>
      </c>
      <c r="D1828" s="116">
        <v>0</v>
      </c>
      <c r="E1828" s="135" t="s">
        <v>558</v>
      </c>
      <c r="F1828" s="136" t="str">
        <f t="shared" si="108"/>
        <v/>
      </c>
      <c r="G1828" s="137" t="e">
        <f>IF(A1828&lt;&gt;"",IF(AND(#REF!="Padrão",$H$4=#REF!),BDI!$B$17,IF(AND(#REF!="Padrão",$H$4=#REF!),BDI!#REF!,IF(AND(#REF!="Diferenciado",$H$4=#REF!),BDI!$E$17,IF(AND(#REF!="Diferenciado",$H$4=#REF!),BDI!#REF!,IF(#REF!="ZERO",0))))),"")</f>
        <v>#REF!</v>
      </c>
      <c r="H1828" s="138" t="str">
        <f t="shared" si="109"/>
        <v/>
      </c>
      <c r="I1828" s="136" t="str">
        <f t="shared" si="110"/>
        <v/>
      </c>
    </row>
    <row r="1829" spans="1:9" hidden="1" x14ac:dyDescent="0.25">
      <c r="A1829" s="114" t="s">
        <v>5548</v>
      </c>
      <c r="B1829" s="115" t="s">
        <v>4340</v>
      </c>
      <c r="C1829" s="116" t="s">
        <v>20</v>
      </c>
      <c r="D1829" s="116">
        <v>0</v>
      </c>
      <c r="E1829" s="135">
        <f ca="1">OFFSET(INDEX(Composições!A:J,MATCH(Orçamentária!A1829,Composições!A:A,0),8),2,0)</f>
        <v>1.5864999999999998</v>
      </c>
      <c r="F1829" s="136">
        <f t="shared" ca="1" si="108"/>
        <v>0</v>
      </c>
      <c r="G1829" s="137" t="e">
        <f>IF(A1829&lt;&gt;"",IF(AND(#REF!="Padrão",$H$4=#REF!),BDI!$B$17,IF(AND(#REF!="Padrão",$H$4=#REF!),BDI!#REF!,IF(AND(#REF!="Diferenciado",$H$4=#REF!),BDI!$E$17,IF(AND(#REF!="Diferenciado",$H$4=#REF!),BDI!#REF!,IF(#REF!="ZERO",0))))),"")</f>
        <v>#REF!</v>
      </c>
      <c r="H1829" s="138" t="e">
        <f t="shared" ca="1" si="109"/>
        <v>#REF!</v>
      </c>
      <c r="I1829" s="136" t="e">
        <f t="shared" ca="1" si="110"/>
        <v>#REF!</v>
      </c>
    </row>
    <row r="1830" spans="1:9" hidden="1" x14ac:dyDescent="0.25">
      <c r="A1830" s="114" t="s">
        <v>5549</v>
      </c>
      <c r="B1830" s="115" t="s">
        <v>4341</v>
      </c>
      <c r="C1830" s="116" t="s">
        <v>20</v>
      </c>
      <c r="D1830" s="116">
        <v>0</v>
      </c>
      <c r="E1830" s="135" t="s">
        <v>558</v>
      </c>
      <c r="F1830" s="136" t="str">
        <f t="shared" si="108"/>
        <v/>
      </c>
      <c r="G1830" s="137" t="e">
        <f>IF(A1830&lt;&gt;"",IF(AND(#REF!="Padrão",$H$4=#REF!),BDI!$B$17,IF(AND(#REF!="Padrão",$H$4=#REF!),BDI!#REF!,IF(AND(#REF!="Diferenciado",$H$4=#REF!),BDI!$E$17,IF(AND(#REF!="Diferenciado",$H$4=#REF!),BDI!#REF!,IF(#REF!="ZERO",0))))),"")</f>
        <v>#REF!</v>
      </c>
      <c r="H1830" s="138" t="str">
        <f t="shared" si="109"/>
        <v/>
      </c>
      <c r="I1830" s="136" t="str">
        <f t="shared" si="110"/>
        <v/>
      </c>
    </row>
    <row r="1831" spans="1:9" hidden="1" x14ac:dyDescent="0.25">
      <c r="A1831" s="114" t="s">
        <v>5550</v>
      </c>
      <c r="B1831" s="115" t="s">
        <v>4342</v>
      </c>
      <c r="C1831" s="116" t="s">
        <v>20</v>
      </c>
      <c r="D1831" s="116">
        <v>0</v>
      </c>
      <c r="E1831" s="135">
        <f ca="1">OFFSET(INDEX(Composições!A:J,MATCH(Orçamentária!A1831,Composições!A:A,0),8),2,0)</f>
        <v>3.9614999999999996</v>
      </c>
      <c r="F1831" s="136">
        <f t="shared" ca="1" si="108"/>
        <v>0</v>
      </c>
      <c r="G1831" s="137" t="e">
        <f>IF(A1831&lt;&gt;"",IF(AND(#REF!="Padrão",$H$4=#REF!),BDI!$B$17,IF(AND(#REF!="Padrão",$H$4=#REF!),BDI!#REF!,IF(AND(#REF!="Diferenciado",$H$4=#REF!),BDI!$E$17,IF(AND(#REF!="Diferenciado",$H$4=#REF!),BDI!#REF!,IF(#REF!="ZERO",0))))),"")</f>
        <v>#REF!</v>
      </c>
      <c r="H1831" s="138" t="e">
        <f t="shared" ca="1" si="109"/>
        <v>#REF!</v>
      </c>
      <c r="I1831" s="136" t="e">
        <f t="shared" ca="1" si="110"/>
        <v>#REF!</v>
      </c>
    </row>
    <row r="1832" spans="1:9" hidden="1" x14ac:dyDescent="0.25">
      <c r="A1832" s="114" t="s">
        <v>5551</v>
      </c>
      <c r="B1832" s="115" t="s">
        <v>4343</v>
      </c>
      <c r="C1832" s="116" t="s">
        <v>20</v>
      </c>
      <c r="D1832" s="116">
        <v>0</v>
      </c>
      <c r="E1832" s="135">
        <f ca="1">OFFSET(INDEX(Composições!A:J,MATCH(Orçamentária!A1832,Composições!A:A,0),8),2,0)</f>
        <v>1.216</v>
      </c>
      <c r="F1832" s="136">
        <f t="shared" ca="1" si="108"/>
        <v>0</v>
      </c>
      <c r="G1832" s="137" t="e">
        <f>IF(A1832&lt;&gt;"",IF(AND(#REF!="Padrão",$H$4=#REF!),BDI!$B$17,IF(AND(#REF!="Padrão",$H$4=#REF!),BDI!#REF!,IF(AND(#REF!="Diferenciado",$H$4=#REF!),BDI!$E$17,IF(AND(#REF!="Diferenciado",$H$4=#REF!),BDI!#REF!,IF(#REF!="ZERO",0))))),"")</f>
        <v>#REF!</v>
      </c>
      <c r="H1832" s="138" t="e">
        <f t="shared" ca="1" si="109"/>
        <v>#REF!</v>
      </c>
      <c r="I1832" s="136" t="e">
        <f t="shared" ca="1" si="110"/>
        <v>#REF!</v>
      </c>
    </row>
    <row r="1833" spans="1:9" hidden="1" x14ac:dyDescent="0.25">
      <c r="A1833" s="114" t="s">
        <v>5552</v>
      </c>
      <c r="B1833" s="115" t="s">
        <v>4344</v>
      </c>
      <c r="C1833" s="116" t="s">
        <v>20</v>
      </c>
      <c r="D1833" s="116">
        <v>0</v>
      </c>
      <c r="E1833" s="135">
        <f ca="1">OFFSET(INDEX(Composições!A:J,MATCH(Orçamentária!A1833,Composições!A:A,0),8),2,0)</f>
        <v>5.7474999999999996</v>
      </c>
      <c r="F1833" s="136">
        <f t="shared" ca="1" si="108"/>
        <v>0</v>
      </c>
      <c r="G1833" s="137" t="e">
        <f>IF(A1833&lt;&gt;"",IF(AND(#REF!="Padrão",$H$4=#REF!),BDI!$B$17,IF(AND(#REF!="Padrão",$H$4=#REF!),BDI!#REF!,IF(AND(#REF!="Diferenciado",$H$4=#REF!),BDI!$E$17,IF(AND(#REF!="Diferenciado",$H$4=#REF!),BDI!#REF!,IF(#REF!="ZERO",0))))),"")</f>
        <v>#REF!</v>
      </c>
      <c r="H1833" s="138" t="e">
        <f t="shared" ca="1" si="109"/>
        <v>#REF!</v>
      </c>
      <c r="I1833" s="136" t="e">
        <f t="shared" ca="1" si="110"/>
        <v>#REF!</v>
      </c>
    </row>
    <row r="1834" spans="1:9" hidden="1" x14ac:dyDescent="0.25">
      <c r="A1834" s="114" t="s">
        <v>5553</v>
      </c>
      <c r="B1834" s="115" t="s">
        <v>4345</v>
      </c>
      <c r="C1834" s="116" t="s">
        <v>20</v>
      </c>
      <c r="D1834" s="116">
        <v>0</v>
      </c>
      <c r="E1834" s="135">
        <f ca="1">OFFSET(INDEX(Composições!A:J,MATCH(Orçamentária!A1834,Composições!A:A,0),8),2,0)</f>
        <v>1.6909999999999998</v>
      </c>
      <c r="F1834" s="136">
        <f t="shared" ca="1" si="108"/>
        <v>0</v>
      </c>
      <c r="G1834" s="137" t="e">
        <f>IF(A1834&lt;&gt;"",IF(AND(#REF!="Padrão",$H$4=#REF!),BDI!$B$17,IF(AND(#REF!="Padrão",$H$4=#REF!),BDI!#REF!,IF(AND(#REF!="Diferenciado",$H$4=#REF!),BDI!$E$17,IF(AND(#REF!="Diferenciado",$H$4=#REF!),BDI!#REF!,IF(#REF!="ZERO",0))))),"")</f>
        <v>#REF!</v>
      </c>
      <c r="H1834" s="138" t="e">
        <f t="shared" ca="1" si="109"/>
        <v>#REF!</v>
      </c>
      <c r="I1834" s="136" t="e">
        <f t="shared" ca="1" si="110"/>
        <v>#REF!</v>
      </c>
    </row>
    <row r="1835" spans="1:9" hidden="1" x14ac:dyDescent="0.25">
      <c r="A1835" s="114" t="s">
        <v>5554</v>
      </c>
      <c r="B1835" s="115" t="s">
        <v>4346</v>
      </c>
      <c r="C1835" s="116" t="s">
        <v>20</v>
      </c>
      <c r="D1835" s="116">
        <v>0</v>
      </c>
      <c r="E1835" s="135" t="s">
        <v>558</v>
      </c>
      <c r="F1835" s="136" t="str">
        <f t="shared" si="108"/>
        <v/>
      </c>
      <c r="G1835" s="137" t="e">
        <f>IF(A1835&lt;&gt;"",IF(AND(#REF!="Padrão",$H$4=#REF!),BDI!$B$17,IF(AND(#REF!="Padrão",$H$4=#REF!),BDI!#REF!,IF(AND(#REF!="Diferenciado",$H$4=#REF!),BDI!$E$17,IF(AND(#REF!="Diferenciado",$H$4=#REF!),BDI!#REF!,IF(#REF!="ZERO",0))))),"")</f>
        <v>#REF!</v>
      </c>
      <c r="H1835" s="138" t="str">
        <f t="shared" si="109"/>
        <v/>
      </c>
      <c r="I1835" s="136" t="str">
        <f t="shared" si="110"/>
        <v/>
      </c>
    </row>
    <row r="1836" spans="1:9" hidden="1" x14ac:dyDescent="0.25">
      <c r="A1836" s="114" t="s">
        <v>5555</v>
      </c>
      <c r="B1836" s="115" t="s">
        <v>4347</v>
      </c>
      <c r="C1836" s="116" t="s">
        <v>20</v>
      </c>
      <c r="D1836" s="116">
        <v>0</v>
      </c>
      <c r="E1836" s="135">
        <f ca="1">OFFSET(INDEX(Composições!A:J,MATCH(Orçamentária!A1836,Composições!A:A,0),8),2,0)</f>
        <v>4.484</v>
      </c>
      <c r="F1836" s="136">
        <f t="shared" ca="1" si="108"/>
        <v>0</v>
      </c>
      <c r="G1836" s="137" t="e">
        <f>IF(A1836&lt;&gt;"",IF(AND(#REF!="Padrão",$H$4=#REF!),BDI!$B$17,IF(AND(#REF!="Padrão",$H$4=#REF!),BDI!#REF!,IF(AND(#REF!="Diferenciado",$H$4=#REF!),BDI!$E$17,IF(AND(#REF!="Diferenciado",$H$4=#REF!),BDI!#REF!,IF(#REF!="ZERO",0))))),"")</f>
        <v>#REF!</v>
      </c>
      <c r="H1836" s="138" t="e">
        <f t="shared" ca="1" si="109"/>
        <v>#REF!</v>
      </c>
      <c r="I1836" s="136" t="e">
        <f t="shared" ca="1" si="110"/>
        <v>#REF!</v>
      </c>
    </row>
    <row r="1837" spans="1:9" hidden="1" x14ac:dyDescent="0.25">
      <c r="A1837" s="114" t="s">
        <v>5556</v>
      </c>
      <c r="B1837" s="115" t="s">
        <v>4348</v>
      </c>
      <c r="C1837" s="116" t="s">
        <v>20</v>
      </c>
      <c r="D1837" s="116">
        <v>0</v>
      </c>
      <c r="E1837" s="135">
        <f ca="1">OFFSET(INDEX(Composições!A:J,MATCH(Orçamentária!A1837,Composições!A:A,0),8),2,0)</f>
        <v>2.1755</v>
      </c>
      <c r="F1837" s="136">
        <f t="shared" ref="F1837:F1900" ca="1" si="111">IF(ISNUMBER(E1837),D1837*E1837,"")</f>
        <v>0</v>
      </c>
      <c r="G1837" s="137" t="e">
        <f>IF(A1837&lt;&gt;"",IF(AND(#REF!="Padrão",$H$4=#REF!),BDI!$B$17,IF(AND(#REF!="Padrão",$H$4=#REF!),BDI!#REF!,IF(AND(#REF!="Diferenciado",$H$4=#REF!),BDI!$E$17,IF(AND(#REF!="Diferenciado",$H$4=#REF!),BDI!#REF!,IF(#REF!="ZERO",0))))),"")</f>
        <v>#REF!</v>
      </c>
      <c r="H1837" s="138" t="e">
        <f t="shared" ref="H1837:H1900" ca="1" si="112">IF(ISNUMBER(E1837),ROUND(E1837*(1+G1837),2),"")</f>
        <v>#REF!</v>
      </c>
      <c r="I1837" s="136" t="e">
        <f t="shared" ref="I1837:I1900" ca="1" si="113">IF(ISNUMBER(E1837),ROUND(H1837*D1837,2),"")</f>
        <v>#REF!</v>
      </c>
    </row>
    <row r="1838" spans="1:9" hidden="1" x14ac:dyDescent="0.25">
      <c r="A1838" s="114" t="s">
        <v>5557</v>
      </c>
      <c r="B1838" s="115" t="s">
        <v>4349</v>
      </c>
      <c r="C1838" s="116" t="s">
        <v>20</v>
      </c>
      <c r="D1838" s="116">
        <v>0</v>
      </c>
      <c r="E1838" s="135">
        <f ca="1">OFFSET(INDEX(Composições!A:J,MATCH(Orçamentária!A1838,Composições!A:A,0),8),2,0)</f>
        <v>6.9064999999999994</v>
      </c>
      <c r="F1838" s="136">
        <f t="shared" ca="1" si="111"/>
        <v>0</v>
      </c>
      <c r="G1838" s="137" t="e">
        <f>IF(A1838&lt;&gt;"",IF(AND(#REF!="Padrão",$H$4=#REF!),BDI!$B$17,IF(AND(#REF!="Padrão",$H$4=#REF!),BDI!#REF!,IF(AND(#REF!="Diferenciado",$H$4=#REF!),BDI!$E$17,IF(AND(#REF!="Diferenciado",$H$4=#REF!),BDI!#REF!,IF(#REF!="ZERO",0))))),"")</f>
        <v>#REF!</v>
      </c>
      <c r="H1838" s="138" t="e">
        <f t="shared" ca="1" si="112"/>
        <v>#REF!</v>
      </c>
      <c r="I1838" s="136" t="e">
        <f t="shared" ca="1" si="113"/>
        <v>#REF!</v>
      </c>
    </row>
    <row r="1839" spans="1:9" hidden="1" x14ac:dyDescent="0.25">
      <c r="A1839" s="114" t="s">
        <v>5558</v>
      </c>
      <c r="B1839" s="115" t="s">
        <v>4350</v>
      </c>
      <c r="C1839" s="116" t="s">
        <v>20</v>
      </c>
      <c r="D1839" s="116">
        <v>0</v>
      </c>
      <c r="E1839" s="135">
        <f ca="1">OFFSET(INDEX(Composições!A:J,MATCH(Orçamentária!A1839,Composições!A:A,0),8),2,0)</f>
        <v>1.9664999999999997</v>
      </c>
      <c r="F1839" s="136">
        <f t="shared" ca="1" si="111"/>
        <v>0</v>
      </c>
      <c r="G1839" s="137" t="e">
        <f>IF(A1839&lt;&gt;"",IF(AND(#REF!="Padrão",$H$4=#REF!),BDI!$B$17,IF(AND(#REF!="Padrão",$H$4=#REF!),BDI!#REF!,IF(AND(#REF!="Diferenciado",$H$4=#REF!),BDI!$E$17,IF(AND(#REF!="Diferenciado",$H$4=#REF!),BDI!#REF!,IF(#REF!="ZERO",0))))),"")</f>
        <v>#REF!</v>
      </c>
      <c r="H1839" s="138" t="e">
        <f t="shared" ca="1" si="112"/>
        <v>#REF!</v>
      </c>
      <c r="I1839" s="136" t="e">
        <f t="shared" ca="1" si="113"/>
        <v>#REF!</v>
      </c>
    </row>
    <row r="1840" spans="1:9" hidden="1" x14ac:dyDescent="0.25">
      <c r="A1840" s="114" t="s">
        <v>5559</v>
      </c>
      <c r="B1840" s="115" t="s">
        <v>4351</v>
      </c>
      <c r="C1840" s="116" t="s">
        <v>20</v>
      </c>
      <c r="D1840" s="116">
        <v>0</v>
      </c>
      <c r="E1840" s="135" t="s">
        <v>558</v>
      </c>
      <c r="F1840" s="136" t="str">
        <f t="shared" si="111"/>
        <v/>
      </c>
      <c r="G1840" s="137" t="e">
        <f>IF(A1840&lt;&gt;"",IF(AND(#REF!="Padrão",$H$4=#REF!),BDI!$B$17,IF(AND(#REF!="Padrão",$H$4=#REF!),BDI!#REF!,IF(AND(#REF!="Diferenciado",$H$4=#REF!),BDI!$E$17,IF(AND(#REF!="Diferenciado",$H$4=#REF!),BDI!#REF!,IF(#REF!="ZERO",0))))),"")</f>
        <v>#REF!</v>
      </c>
      <c r="H1840" s="138" t="str">
        <f t="shared" si="112"/>
        <v/>
      </c>
      <c r="I1840" s="136" t="str">
        <f t="shared" si="113"/>
        <v/>
      </c>
    </row>
    <row r="1841" spans="1:9" hidden="1" x14ac:dyDescent="0.25">
      <c r="A1841" s="114" t="s">
        <v>5560</v>
      </c>
      <c r="B1841" s="115" t="s">
        <v>4352</v>
      </c>
      <c r="C1841" s="116" t="s">
        <v>20</v>
      </c>
      <c r="D1841" s="116">
        <v>0</v>
      </c>
      <c r="E1841" s="135">
        <f ca="1">OFFSET(INDEX(Composições!A:J,MATCH(Orçamentária!A1841,Composições!A:A,0),8),2,0)</f>
        <v>6.0895000000000001</v>
      </c>
      <c r="F1841" s="136">
        <f t="shared" ca="1" si="111"/>
        <v>0</v>
      </c>
      <c r="G1841" s="137" t="e">
        <f>IF(A1841&lt;&gt;"",IF(AND(#REF!="Padrão",$H$4=#REF!),BDI!$B$17,IF(AND(#REF!="Padrão",$H$4=#REF!),BDI!#REF!,IF(AND(#REF!="Diferenciado",$H$4=#REF!),BDI!$E$17,IF(AND(#REF!="Diferenciado",$H$4=#REF!),BDI!#REF!,IF(#REF!="ZERO",0))))),"")</f>
        <v>#REF!</v>
      </c>
      <c r="H1841" s="138" t="e">
        <f t="shared" ca="1" si="112"/>
        <v>#REF!</v>
      </c>
      <c r="I1841" s="136" t="e">
        <f t="shared" ca="1" si="113"/>
        <v>#REF!</v>
      </c>
    </row>
    <row r="1842" spans="1:9" hidden="1" x14ac:dyDescent="0.25">
      <c r="A1842" s="114" t="s">
        <v>5561</v>
      </c>
      <c r="B1842" s="115" t="s">
        <v>4353</v>
      </c>
      <c r="C1842" s="116" t="s">
        <v>20</v>
      </c>
      <c r="D1842" s="116">
        <v>0</v>
      </c>
      <c r="E1842" s="135">
        <f ca="1">OFFSET(INDEX(Composições!A:J,MATCH(Orçamentária!A1842,Composições!A:A,0),8),2,0)</f>
        <v>3.0494999999999997</v>
      </c>
      <c r="F1842" s="136">
        <f t="shared" ca="1" si="111"/>
        <v>0</v>
      </c>
      <c r="G1842" s="137" t="e">
        <f>IF(A1842&lt;&gt;"",IF(AND(#REF!="Padrão",$H$4=#REF!),BDI!$B$17,IF(AND(#REF!="Padrão",$H$4=#REF!),BDI!#REF!,IF(AND(#REF!="Diferenciado",$H$4=#REF!),BDI!$E$17,IF(AND(#REF!="Diferenciado",$H$4=#REF!),BDI!#REF!,IF(#REF!="ZERO",0))))),"")</f>
        <v>#REF!</v>
      </c>
      <c r="H1842" s="138" t="e">
        <f t="shared" ca="1" si="112"/>
        <v>#REF!</v>
      </c>
      <c r="I1842" s="136" t="e">
        <f t="shared" ca="1" si="113"/>
        <v>#REF!</v>
      </c>
    </row>
    <row r="1843" spans="1:9" hidden="1" x14ac:dyDescent="0.25">
      <c r="A1843" s="114" t="s">
        <v>5562</v>
      </c>
      <c r="B1843" s="115" t="s">
        <v>4354</v>
      </c>
      <c r="C1843" s="116" t="s">
        <v>20</v>
      </c>
      <c r="D1843" s="116">
        <v>0</v>
      </c>
      <c r="E1843" s="135">
        <f ca="1">OFFSET(INDEX(Composições!A:J,MATCH(Orçamentária!A1843,Composições!A:A,0),8),2,0)</f>
        <v>8.6069999999999993</v>
      </c>
      <c r="F1843" s="136">
        <f t="shared" ca="1" si="111"/>
        <v>0</v>
      </c>
      <c r="G1843" s="137" t="e">
        <f>IF(A1843&lt;&gt;"",IF(AND(#REF!="Padrão",$H$4=#REF!),BDI!$B$17,IF(AND(#REF!="Padrão",$H$4=#REF!),BDI!#REF!,IF(AND(#REF!="Diferenciado",$H$4=#REF!),BDI!$E$17,IF(AND(#REF!="Diferenciado",$H$4=#REF!),BDI!#REF!,IF(#REF!="ZERO",0))))),"")</f>
        <v>#REF!</v>
      </c>
      <c r="H1843" s="138" t="e">
        <f t="shared" ca="1" si="112"/>
        <v>#REF!</v>
      </c>
      <c r="I1843" s="136" t="e">
        <f t="shared" ca="1" si="113"/>
        <v>#REF!</v>
      </c>
    </row>
    <row r="1844" spans="1:9" hidden="1" x14ac:dyDescent="0.25">
      <c r="A1844" s="114" t="s">
        <v>5563</v>
      </c>
      <c r="B1844" s="115" t="s">
        <v>4355</v>
      </c>
      <c r="C1844" s="116" t="s">
        <v>20</v>
      </c>
      <c r="D1844" s="116">
        <v>0</v>
      </c>
      <c r="E1844" s="135">
        <f ca="1">OFFSET(INDEX(Composições!A:J,MATCH(Orçamentária!A1844,Composições!A:A,0),8),2,0)</f>
        <v>3.4864999999999999</v>
      </c>
      <c r="F1844" s="136">
        <f t="shared" ca="1" si="111"/>
        <v>0</v>
      </c>
      <c r="G1844" s="137" t="e">
        <f>IF(A1844&lt;&gt;"",IF(AND(#REF!="Padrão",$H$4=#REF!),BDI!$B$17,IF(AND(#REF!="Padrão",$H$4=#REF!),BDI!#REF!,IF(AND(#REF!="Diferenciado",$H$4=#REF!),BDI!$E$17,IF(AND(#REF!="Diferenciado",$H$4=#REF!),BDI!#REF!,IF(#REF!="ZERO",0))))),"")</f>
        <v>#REF!</v>
      </c>
      <c r="H1844" s="138" t="e">
        <f t="shared" ca="1" si="112"/>
        <v>#REF!</v>
      </c>
      <c r="I1844" s="136" t="e">
        <f t="shared" ca="1" si="113"/>
        <v>#REF!</v>
      </c>
    </row>
    <row r="1845" spans="1:9" hidden="1" x14ac:dyDescent="0.25">
      <c r="A1845" s="114" t="s">
        <v>5564</v>
      </c>
      <c r="B1845" s="115" t="s">
        <v>4356</v>
      </c>
      <c r="C1845" s="116" t="s">
        <v>20</v>
      </c>
      <c r="D1845" s="116">
        <v>0</v>
      </c>
      <c r="E1845" s="135" t="s">
        <v>558</v>
      </c>
      <c r="F1845" s="136" t="str">
        <f t="shared" si="111"/>
        <v/>
      </c>
      <c r="G1845" s="137" t="e">
        <f>IF(A1845&lt;&gt;"",IF(AND(#REF!="Padrão",$H$4=#REF!),BDI!$B$17,IF(AND(#REF!="Padrão",$H$4=#REF!),BDI!#REF!,IF(AND(#REF!="Diferenciado",$H$4=#REF!),BDI!$E$17,IF(AND(#REF!="Diferenciado",$H$4=#REF!),BDI!#REF!,IF(#REF!="ZERO",0))))),"")</f>
        <v>#REF!</v>
      </c>
      <c r="H1845" s="138" t="str">
        <f t="shared" si="112"/>
        <v/>
      </c>
      <c r="I1845" s="136" t="str">
        <f t="shared" si="113"/>
        <v/>
      </c>
    </row>
    <row r="1846" spans="1:9" hidden="1" x14ac:dyDescent="0.25">
      <c r="A1846" s="114" t="s">
        <v>5565</v>
      </c>
      <c r="B1846" s="115" t="s">
        <v>4357</v>
      </c>
      <c r="C1846" s="116" t="s">
        <v>20</v>
      </c>
      <c r="D1846" s="116">
        <v>0</v>
      </c>
      <c r="E1846" s="135">
        <f ca="1">OFFSET(INDEX(Composições!A:J,MATCH(Orçamentária!A1846,Composições!A:A,0),8),2,0)</f>
        <v>13.87</v>
      </c>
      <c r="F1846" s="136">
        <f t="shared" ca="1" si="111"/>
        <v>0</v>
      </c>
      <c r="G1846" s="137" t="e">
        <f>IF(A1846&lt;&gt;"",IF(AND(#REF!="Padrão",$H$4=#REF!),BDI!$B$17,IF(AND(#REF!="Padrão",$H$4=#REF!),BDI!#REF!,IF(AND(#REF!="Diferenciado",$H$4=#REF!),BDI!$E$17,IF(AND(#REF!="Diferenciado",$H$4=#REF!),BDI!#REF!,IF(#REF!="ZERO",0))))),"")</f>
        <v>#REF!</v>
      </c>
      <c r="H1846" s="138" t="e">
        <f t="shared" ca="1" si="112"/>
        <v>#REF!</v>
      </c>
      <c r="I1846" s="136" t="e">
        <f t="shared" ca="1" si="113"/>
        <v>#REF!</v>
      </c>
    </row>
    <row r="1847" spans="1:9" hidden="1" x14ac:dyDescent="0.25">
      <c r="A1847" s="114" t="s">
        <v>5566</v>
      </c>
      <c r="B1847" s="115" t="s">
        <v>4358</v>
      </c>
      <c r="C1847" s="116" t="s">
        <v>20</v>
      </c>
      <c r="D1847" s="116">
        <v>0</v>
      </c>
      <c r="E1847" s="135">
        <f ca="1">OFFSET(INDEX(Composições!A:J,MATCH(Orçamentária!A1847,Composições!A:A,0),8),2,0)</f>
        <v>4.7689999999999992</v>
      </c>
      <c r="F1847" s="136">
        <f t="shared" ca="1" si="111"/>
        <v>0</v>
      </c>
      <c r="G1847" s="137" t="e">
        <f>IF(A1847&lt;&gt;"",IF(AND(#REF!="Padrão",$H$4=#REF!),BDI!$B$17,IF(AND(#REF!="Padrão",$H$4=#REF!),BDI!#REF!,IF(AND(#REF!="Diferenciado",$H$4=#REF!),BDI!$E$17,IF(AND(#REF!="Diferenciado",$H$4=#REF!),BDI!#REF!,IF(#REF!="ZERO",0))))),"")</f>
        <v>#REF!</v>
      </c>
      <c r="H1847" s="138" t="e">
        <f t="shared" ca="1" si="112"/>
        <v>#REF!</v>
      </c>
      <c r="I1847" s="136" t="e">
        <f t="shared" ca="1" si="113"/>
        <v>#REF!</v>
      </c>
    </row>
    <row r="1848" spans="1:9" hidden="1" x14ac:dyDescent="0.25">
      <c r="A1848" s="114" t="s">
        <v>5567</v>
      </c>
      <c r="B1848" s="115" t="s">
        <v>4359</v>
      </c>
      <c r="C1848" s="116" t="s">
        <v>20</v>
      </c>
      <c r="D1848" s="116">
        <v>0</v>
      </c>
      <c r="E1848" s="135">
        <f ca="1">OFFSET(INDEX(Composições!A:J,MATCH(Orçamentária!A1848,Composições!A:A,0),8),2,0)</f>
        <v>13.318999999999999</v>
      </c>
      <c r="F1848" s="136">
        <f t="shared" ca="1" si="111"/>
        <v>0</v>
      </c>
      <c r="G1848" s="137" t="e">
        <f>IF(A1848&lt;&gt;"",IF(AND(#REF!="Padrão",$H$4=#REF!),BDI!$B$17,IF(AND(#REF!="Padrão",$H$4=#REF!),BDI!#REF!,IF(AND(#REF!="Diferenciado",$H$4=#REF!),BDI!$E$17,IF(AND(#REF!="Diferenciado",$H$4=#REF!),BDI!#REF!,IF(#REF!="ZERO",0))))),"")</f>
        <v>#REF!</v>
      </c>
      <c r="H1848" s="138" t="e">
        <f t="shared" ca="1" si="112"/>
        <v>#REF!</v>
      </c>
      <c r="I1848" s="136" t="e">
        <f t="shared" ca="1" si="113"/>
        <v>#REF!</v>
      </c>
    </row>
    <row r="1849" spans="1:9" hidden="1" x14ac:dyDescent="0.25">
      <c r="A1849" s="114" t="s">
        <v>5568</v>
      </c>
      <c r="B1849" s="115" t="s">
        <v>4360</v>
      </c>
      <c r="C1849" s="116" t="s">
        <v>20</v>
      </c>
      <c r="D1849" s="116">
        <v>0</v>
      </c>
      <c r="E1849" s="135">
        <f ca="1">OFFSET(INDEX(Composições!A:J,MATCH(Orçamentária!A1849,Composições!A:A,0),8),2,0)</f>
        <v>5.0444999999999993</v>
      </c>
      <c r="F1849" s="136">
        <f t="shared" ca="1" si="111"/>
        <v>0</v>
      </c>
      <c r="G1849" s="137" t="e">
        <f>IF(A1849&lt;&gt;"",IF(AND(#REF!="Padrão",$H$4=#REF!),BDI!$B$17,IF(AND(#REF!="Padrão",$H$4=#REF!),BDI!#REF!,IF(AND(#REF!="Diferenciado",$H$4=#REF!),BDI!$E$17,IF(AND(#REF!="Diferenciado",$H$4=#REF!),BDI!#REF!,IF(#REF!="ZERO",0))))),"")</f>
        <v>#REF!</v>
      </c>
      <c r="H1849" s="138" t="e">
        <f t="shared" ca="1" si="112"/>
        <v>#REF!</v>
      </c>
      <c r="I1849" s="136" t="e">
        <f t="shared" ca="1" si="113"/>
        <v>#REF!</v>
      </c>
    </row>
    <row r="1850" spans="1:9" hidden="1" x14ac:dyDescent="0.25">
      <c r="A1850" s="114" t="s">
        <v>5569</v>
      </c>
      <c r="B1850" s="115" t="s">
        <v>4361</v>
      </c>
      <c r="C1850" s="116" t="s">
        <v>20</v>
      </c>
      <c r="D1850" s="116">
        <v>0</v>
      </c>
      <c r="E1850" s="135" t="s">
        <v>558</v>
      </c>
      <c r="F1850" s="136" t="str">
        <f t="shared" si="111"/>
        <v/>
      </c>
      <c r="G1850" s="137" t="e">
        <f>IF(A1850&lt;&gt;"",IF(AND(#REF!="Padrão",$H$4=#REF!),BDI!$B$17,IF(AND(#REF!="Padrão",$H$4=#REF!),BDI!#REF!,IF(AND(#REF!="Diferenciado",$H$4=#REF!),BDI!$E$17,IF(AND(#REF!="Diferenciado",$H$4=#REF!),BDI!#REF!,IF(#REF!="ZERO",0))))),"")</f>
        <v>#REF!</v>
      </c>
      <c r="H1850" s="138" t="str">
        <f t="shared" si="112"/>
        <v/>
      </c>
      <c r="I1850" s="136" t="str">
        <f t="shared" si="113"/>
        <v/>
      </c>
    </row>
    <row r="1851" spans="1:9" hidden="1" x14ac:dyDescent="0.25">
      <c r="A1851" s="114" t="s">
        <v>5570</v>
      </c>
      <c r="B1851" s="115" t="s">
        <v>4362</v>
      </c>
      <c r="C1851" s="116" t="s">
        <v>20</v>
      </c>
      <c r="D1851" s="116">
        <v>0</v>
      </c>
      <c r="E1851" s="135" t="s">
        <v>558</v>
      </c>
      <c r="F1851" s="136" t="str">
        <f t="shared" si="111"/>
        <v/>
      </c>
      <c r="G1851" s="137" t="e">
        <f>IF(A1851&lt;&gt;"",IF(AND(#REF!="Padrão",$H$4=#REF!),BDI!$B$17,IF(AND(#REF!="Padrão",$H$4=#REF!),BDI!#REF!,IF(AND(#REF!="Diferenciado",$H$4=#REF!),BDI!$E$17,IF(AND(#REF!="Diferenciado",$H$4=#REF!),BDI!#REF!,IF(#REF!="ZERO",0))))),"")</f>
        <v>#REF!</v>
      </c>
      <c r="H1851" s="138" t="str">
        <f t="shared" si="112"/>
        <v/>
      </c>
      <c r="I1851" s="136" t="str">
        <f t="shared" si="113"/>
        <v/>
      </c>
    </row>
    <row r="1852" spans="1:9" hidden="1" x14ac:dyDescent="0.25">
      <c r="A1852" s="114" t="s">
        <v>5571</v>
      </c>
      <c r="B1852" s="115" t="s">
        <v>4363</v>
      </c>
      <c r="C1852" s="116" t="s">
        <v>20</v>
      </c>
      <c r="D1852" s="116">
        <v>0</v>
      </c>
      <c r="E1852" s="135">
        <f ca="1">OFFSET(INDEX(Composições!A:J,MATCH(Orçamentária!A1852,Composições!A:A,0),8),2,0)</f>
        <v>5.2819999999999991</v>
      </c>
      <c r="F1852" s="136">
        <f t="shared" ca="1" si="111"/>
        <v>0</v>
      </c>
      <c r="G1852" s="137" t="e">
        <f>IF(A1852&lt;&gt;"",IF(AND(#REF!="Padrão",$H$4=#REF!),BDI!$B$17,IF(AND(#REF!="Padrão",$H$4=#REF!),BDI!#REF!,IF(AND(#REF!="Diferenciado",$H$4=#REF!),BDI!$E$17,IF(AND(#REF!="Diferenciado",$H$4=#REF!),BDI!#REF!,IF(#REF!="ZERO",0))))),"")</f>
        <v>#REF!</v>
      </c>
      <c r="H1852" s="138" t="e">
        <f t="shared" ca="1" si="112"/>
        <v>#REF!</v>
      </c>
      <c r="I1852" s="136" t="e">
        <f t="shared" ca="1" si="113"/>
        <v>#REF!</v>
      </c>
    </row>
    <row r="1853" spans="1:9" hidden="1" x14ac:dyDescent="0.25">
      <c r="A1853" s="114" t="s">
        <v>5572</v>
      </c>
      <c r="B1853" s="115" t="s">
        <v>4364</v>
      </c>
      <c r="C1853" s="116" t="s">
        <v>20</v>
      </c>
      <c r="D1853" s="116">
        <v>0</v>
      </c>
      <c r="E1853" s="135">
        <f ca="1">OFFSET(INDEX(Composições!A:J,MATCH(Orçamentária!A1853,Composições!A:A,0),8),2,0)</f>
        <v>26.9895</v>
      </c>
      <c r="F1853" s="136">
        <f t="shared" ca="1" si="111"/>
        <v>0</v>
      </c>
      <c r="G1853" s="137" t="e">
        <f>IF(A1853&lt;&gt;"",IF(AND(#REF!="Padrão",$H$4=#REF!),BDI!$B$17,IF(AND(#REF!="Padrão",$H$4=#REF!),BDI!#REF!,IF(AND(#REF!="Diferenciado",$H$4=#REF!),BDI!$E$17,IF(AND(#REF!="Diferenciado",$H$4=#REF!),BDI!#REF!,IF(#REF!="ZERO",0))))),"")</f>
        <v>#REF!</v>
      </c>
      <c r="H1853" s="138" t="e">
        <f t="shared" ca="1" si="112"/>
        <v>#REF!</v>
      </c>
      <c r="I1853" s="136" t="e">
        <f t="shared" ca="1" si="113"/>
        <v>#REF!</v>
      </c>
    </row>
    <row r="1854" spans="1:9" hidden="1" x14ac:dyDescent="0.25">
      <c r="A1854" s="114" t="s">
        <v>5573</v>
      </c>
      <c r="B1854" s="115" t="s">
        <v>4365</v>
      </c>
      <c r="C1854" s="116" t="s">
        <v>20</v>
      </c>
      <c r="D1854" s="116">
        <v>0</v>
      </c>
      <c r="E1854" s="135">
        <f ca="1">OFFSET(INDEX(Composições!A:J,MATCH(Orçamentária!A1854,Composições!A:A,0),8),2,0)</f>
        <v>7.03</v>
      </c>
      <c r="F1854" s="136">
        <f t="shared" ca="1" si="111"/>
        <v>0</v>
      </c>
      <c r="G1854" s="137" t="e">
        <f>IF(A1854&lt;&gt;"",IF(AND(#REF!="Padrão",$H$4=#REF!),BDI!$B$17,IF(AND(#REF!="Padrão",$H$4=#REF!),BDI!#REF!,IF(AND(#REF!="Diferenciado",$H$4=#REF!),BDI!$E$17,IF(AND(#REF!="Diferenciado",$H$4=#REF!),BDI!#REF!,IF(#REF!="ZERO",0))))),"")</f>
        <v>#REF!</v>
      </c>
      <c r="H1854" s="138" t="e">
        <f t="shared" ca="1" si="112"/>
        <v>#REF!</v>
      </c>
      <c r="I1854" s="136" t="e">
        <f t="shared" ca="1" si="113"/>
        <v>#REF!</v>
      </c>
    </row>
    <row r="1855" spans="1:9" hidden="1" x14ac:dyDescent="0.25">
      <c r="A1855" s="114" t="s">
        <v>5574</v>
      </c>
      <c r="B1855" s="115" t="s">
        <v>4366</v>
      </c>
      <c r="C1855" s="116" t="s">
        <v>20</v>
      </c>
      <c r="D1855" s="116">
        <v>0</v>
      </c>
      <c r="E1855" s="135" t="s">
        <v>558</v>
      </c>
      <c r="F1855" s="136" t="str">
        <f t="shared" si="111"/>
        <v/>
      </c>
      <c r="G1855" s="137" t="e">
        <f>IF(A1855&lt;&gt;"",IF(AND(#REF!="Padrão",$H$4=#REF!),BDI!$B$17,IF(AND(#REF!="Padrão",$H$4=#REF!),BDI!#REF!,IF(AND(#REF!="Diferenciado",$H$4=#REF!),BDI!$E$17,IF(AND(#REF!="Diferenciado",$H$4=#REF!),BDI!#REF!,IF(#REF!="ZERO",0))))),"")</f>
        <v>#REF!</v>
      </c>
      <c r="H1855" s="138" t="str">
        <f t="shared" si="112"/>
        <v/>
      </c>
      <c r="I1855" s="136" t="str">
        <f t="shared" si="113"/>
        <v/>
      </c>
    </row>
    <row r="1856" spans="1:9" hidden="1" x14ac:dyDescent="0.25">
      <c r="A1856" s="114" t="s">
        <v>5575</v>
      </c>
      <c r="B1856" s="115" t="s">
        <v>4367</v>
      </c>
      <c r="C1856" s="116" t="s">
        <v>20</v>
      </c>
      <c r="D1856" s="116">
        <v>0</v>
      </c>
      <c r="E1856" s="135">
        <f ca="1">OFFSET(INDEX(Composições!A:J,MATCH(Orçamentária!A1856,Composições!A:A,0),8),2,0)</f>
        <v>24.842499999999998</v>
      </c>
      <c r="F1856" s="136">
        <f t="shared" ca="1" si="111"/>
        <v>0</v>
      </c>
      <c r="G1856" s="137" t="e">
        <f>IF(A1856&lt;&gt;"",IF(AND(#REF!="Padrão",$H$4=#REF!),BDI!$B$17,IF(AND(#REF!="Padrão",$H$4=#REF!),BDI!#REF!,IF(AND(#REF!="Diferenciado",$H$4=#REF!),BDI!$E$17,IF(AND(#REF!="Diferenciado",$H$4=#REF!),BDI!#REF!,IF(#REF!="ZERO",0))))),"")</f>
        <v>#REF!</v>
      </c>
      <c r="H1856" s="138" t="e">
        <f t="shared" ca="1" si="112"/>
        <v>#REF!</v>
      </c>
      <c r="I1856" s="136" t="e">
        <f t="shared" ca="1" si="113"/>
        <v>#REF!</v>
      </c>
    </row>
    <row r="1857" spans="1:9" hidden="1" x14ac:dyDescent="0.25">
      <c r="A1857" s="114" t="s">
        <v>5576</v>
      </c>
      <c r="B1857" s="115" t="s">
        <v>4368</v>
      </c>
      <c r="C1857" s="116" t="s">
        <v>20</v>
      </c>
      <c r="D1857" s="116">
        <v>0</v>
      </c>
      <c r="E1857" s="135" t="s">
        <v>558</v>
      </c>
      <c r="F1857" s="136" t="str">
        <f t="shared" si="111"/>
        <v/>
      </c>
      <c r="G1857" s="137" t="e">
        <f>IF(A1857&lt;&gt;"",IF(AND(#REF!="Padrão",$H$4=#REF!),BDI!$B$17,IF(AND(#REF!="Padrão",$H$4=#REF!),BDI!#REF!,IF(AND(#REF!="Diferenciado",$H$4=#REF!),BDI!$E$17,IF(AND(#REF!="Diferenciado",$H$4=#REF!),BDI!#REF!,IF(#REF!="ZERO",0))))),"")</f>
        <v>#REF!</v>
      </c>
      <c r="H1857" s="138" t="str">
        <f t="shared" si="112"/>
        <v/>
      </c>
      <c r="I1857" s="136" t="str">
        <f t="shared" si="113"/>
        <v/>
      </c>
    </row>
    <row r="1858" spans="1:9" hidden="1" x14ac:dyDescent="0.25">
      <c r="A1858" s="114" t="s">
        <v>5577</v>
      </c>
      <c r="B1858" s="115" t="s">
        <v>4369</v>
      </c>
      <c r="C1858" s="116" t="s">
        <v>20</v>
      </c>
      <c r="D1858" s="116">
        <v>0</v>
      </c>
      <c r="E1858" s="135">
        <f ca="1">OFFSET(INDEX(Composições!A:J,MATCH(Orçamentária!A1858,Composições!A:A,0),8),2,0)</f>
        <v>63.412499999999994</v>
      </c>
      <c r="F1858" s="136">
        <f t="shared" ca="1" si="111"/>
        <v>0</v>
      </c>
      <c r="G1858" s="137" t="e">
        <f>IF(A1858&lt;&gt;"",IF(AND(#REF!="Padrão",$H$4=#REF!),BDI!$B$17,IF(AND(#REF!="Padrão",$H$4=#REF!),BDI!#REF!,IF(AND(#REF!="Diferenciado",$H$4=#REF!),BDI!$E$17,IF(AND(#REF!="Diferenciado",$H$4=#REF!),BDI!#REF!,IF(#REF!="ZERO",0))))),"")</f>
        <v>#REF!</v>
      </c>
      <c r="H1858" s="138" t="e">
        <f t="shared" ca="1" si="112"/>
        <v>#REF!</v>
      </c>
      <c r="I1858" s="136" t="e">
        <f t="shared" ca="1" si="113"/>
        <v>#REF!</v>
      </c>
    </row>
    <row r="1859" spans="1:9" hidden="1" x14ac:dyDescent="0.25">
      <c r="A1859" s="114" t="s">
        <v>5578</v>
      </c>
      <c r="B1859" s="115" t="s">
        <v>4370</v>
      </c>
      <c r="C1859" s="116" t="s">
        <v>20</v>
      </c>
      <c r="D1859" s="116">
        <v>0</v>
      </c>
      <c r="E1859" s="135">
        <f ca="1">OFFSET(INDEX(Composições!A:J,MATCH(Orçamentária!A1859,Composições!A:A,0),8),2,0)</f>
        <v>10.26</v>
      </c>
      <c r="F1859" s="136">
        <f t="shared" ca="1" si="111"/>
        <v>0</v>
      </c>
      <c r="G1859" s="137" t="e">
        <f>IF(A1859&lt;&gt;"",IF(AND(#REF!="Padrão",$H$4=#REF!),BDI!$B$17,IF(AND(#REF!="Padrão",$H$4=#REF!),BDI!#REF!,IF(AND(#REF!="Diferenciado",$H$4=#REF!),BDI!$E$17,IF(AND(#REF!="Diferenciado",$H$4=#REF!),BDI!#REF!,IF(#REF!="ZERO",0))))),"")</f>
        <v>#REF!</v>
      </c>
      <c r="H1859" s="138" t="e">
        <f t="shared" ca="1" si="112"/>
        <v>#REF!</v>
      </c>
      <c r="I1859" s="136" t="e">
        <f t="shared" ca="1" si="113"/>
        <v>#REF!</v>
      </c>
    </row>
    <row r="1860" spans="1:9" hidden="1" x14ac:dyDescent="0.25">
      <c r="A1860" s="114" t="s">
        <v>5579</v>
      </c>
      <c r="B1860" s="115" t="s">
        <v>4371</v>
      </c>
      <c r="C1860" s="116" t="s">
        <v>20</v>
      </c>
      <c r="D1860" s="116">
        <v>0</v>
      </c>
      <c r="E1860" s="135" t="s">
        <v>558</v>
      </c>
      <c r="F1860" s="136" t="str">
        <f t="shared" si="111"/>
        <v/>
      </c>
      <c r="G1860" s="137" t="e">
        <f>IF(A1860&lt;&gt;"",IF(AND(#REF!="Padrão",$H$4=#REF!),BDI!$B$17,IF(AND(#REF!="Padrão",$H$4=#REF!),BDI!#REF!,IF(AND(#REF!="Diferenciado",$H$4=#REF!),BDI!$E$17,IF(AND(#REF!="Diferenciado",$H$4=#REF!),BDI!#REF!,IF(#REF!="ZERO",0))))),"")</f>
        <v>#REF!</v>
      </c>
      <c r="H1860" s="138" t="str">
        <f t="shared" si="112"/>
        <v/>
      </c>
      <c r="I1860" s="136" t="str">
        <f t="shared" si="113"/>
        <v/>
      </c>
    </row>
    <row r="1861" spans="1:9" hidden="1" x14ac:dyDescent="0.25">
      <c r="A1861" s="114" t="s">
        <v>5580</v>
      </c>
      <c r="B1861" s="115" t="s">
        <v>4372</v>
      </c>
      <c r="C1861" s="116" t="s">
        <v>20</v>
      </c>
      <c r="D1861" s="116">
        <v>0</v>
      </c>
      <c r="E1861" s="135">
        <f ca="1">OFFSET(INDEX(Composições!A:J,MATCH(Orçamentária!A1861,Composições!A:A,0),8),2,0)</f>
        <v>62.908999999999999</v>
      </c>
      <c r="F1861" s="136">
        <f t="shared" ca="1" si="111"/>
        <v>0</v>
      </c>
      <c r="G1861" s="137" t="e">
        <f>IF(A1861&lt;&gt;"",IF(AND(#REF!="Padrão",$H$4=#REF!),BDI!$B$17,IF(AND(#REF!="Padrão",$H$4=#REF!),BDI!#REF!,IF(AND(#REF!="Diferenciado",$H$4=#REF!),BDI!$E$17,IF(AND(#REF!="Diferenciado",$H$4=#REF!),BDI!#REF!,IF(#REF!="ZERO",0))))),"")</f>
        <v>#REF!</v>
      </c>
      <c r="H1861" s="138" t="e">
        <f t="shared" ca="1" si="112"/>
        <v>#REF!</v>
      </c>
      <c r="I1861" s="136" t="e">
        <f t="shared" ca="1" si="113"/>
        <v>#REF!</v>
      </c>
    </row>
    <row r="1862" spans="1:9" hidden="1" x14ac:dyDescent="0.25">
      <c r="A1862" s="114" t="s">
        <v>5581</v>
      </c>
      <c r="B1862" s="115" t="s">
        <v>4373</v>
      </c>
      <c r="C1862" s="116" t="s">
        <v>20</v>
      </c>
      <c r="D1862" s="116">
        <v>0</v>
      </c>
      <c r="E1862" s="135">
        <f ca="1">OFFSET(INDEX(Composições!A:J,MATCH(Orçamentária!A1862,Composições!A:A,0),8),2,0)</f>
        <v>17.422999999999998</v>
      </c>
      <c r="F1862" s="136">
        <f t="shared" ca="1" si="111"/>
        <v>0</v>
      </c>
      <c r="G1862" s="137" t="e">
        <f>IF(A1862&lt;&gt;"",IF(AND(#REF!="Padrão",$H$4=#REF!),BDI!$B$17,IF(AND(#REF!="Padrão",$H$4=#REF!),BDI!#REF!,IF(AND(#REF!="Diferenciado",$H$4=#REF!),BDI!$E$17,IF(AND(#REF!="Diferenciado",$H$4=#REF!),BDI!#REF!,IF(#REF!="ZERO",0))))),"")</f>
        <v>#REF!</v>
      </c>
      <c r="H1862" s="138" t="e">
        <f t="shared" ca="1" si="112"/>
        <v>#REF!</v>
      </c>
      <c r="I1862" s="136" t="e">
        <f t="shared" ca="1" si="113"/>
        <v>#REF!</v>
      </c>
    </row>
    <row r="1863" spans="1:9" hidden="1" x14ac:dyDescent="0.25">
      <c r="A1863" s="114" t="s">
        <v>5582</v>
      </c>
      <c r="B1863" s="115" t="s">
        <v>4374</v>
      </c>
      <c r="C1863" s="116" t="s">
        <v>20</v>
      </c>
      <c r="D1863" s="116">
        <v>0</v>
      </c>
      <c r="E1863" s="135">
        <f ca="1">OFFSET(INDEX(Composições!A:J,MATCH(Orçamentária!A1863,Composições!A:A,0),8),2,0)</f>
        <v>76.456000000000003</v>
      </c>
      <c r="F1863" s="136">
        <f t="shared" ca="1" si="111"/>
        <v>0</v>
      </c>
      <c r="G1863" s="137" t="e">
        <f>IF(A1863&lt;&gt;"",IF(AND(#REF!="Padrão",$H$4=#REF!),BDI!$B$17,IF(AND(#REF!="Padrão",$H$4=#REF!),BDI!#REF!,IF(AND(#REF!="Diferenciado",$H$4=#REF!),BDI!$E$17,IF(AND(#REF!="Diferenciado",$H$4=#REF!),BDI!#REF!,IF(#REF!="ZERO",0))))),"")</f>
        <v>#REF!</v>
      </c>
      <c r="H1863" s="138" t="e">
        <f t="shared" ca="1" si="112"/>
        <v>#REF!</v>
      </c>
      <c r="I1863" s="136" t="e">
        <f t="shared" ca="1" si="113"/>
        <v>#REF!</v>
      </c>
    </row>
    <row r="1864" spans="1:9" hidden="1" x14ac:dyDescent="0.25">
      <c r="A1864" s="114" t="s">
        <v>5583</v>
      </c>
      <c r="B1864" s="115" t="s">
        <v>4375</v>
      </c>
      <c r="C1864" s="116" t="s">
        <v>20</v>
      </c>
      <c r="D1864" s="116">
        <v>0</v>
      </c>
      <c r="E1864" s="135">
        <f ca="1">OFFSET(INDEX(Composições!A:J,MATCH(Orçamentária!A1864,Composições!A:A,0),8),2,0)</f>
        <v>15.627499999999998</v>
      </c>
      <c r="F1864" s="136">
        <f t="shared" ca="1" si="111"/>
        <v>0</v>
      </c>
      <c r="G1864" s="137" t="e">
        <f>IF(A1864&lt;&gt;"",IF(AND(#REF!="Padrão",$H$4=#REF!),BDI!$B$17,IF(AND(#REF!="Padrão",$H$4=#REF!),BDI!#REF!,IF(AND(#REF!="Diferenciado",$H$4=#REF!),BDI!$E$17,IF(AND(#REF!="Diferenciado",$H$4=#REF!),BDI!#REF!,IF(#REF!="ZERO",0))))),"")</f>
        <v>#REF!</v>
      </c>
      <c r="H1864" s="138" t="e">
        <f t="shared" ca="1" si="112"/>
        <v>#REF!</v>
      </c>
      <c r="I1864" s="136" t="e">
        <f t="shared" ca="1" si="113"/>
        <v>#REF!</v>
      </c>
    </row>
    <row r="1865" spans="1:9" hidden="1" x14ac:dyDescent="0.25">
      <c r="A1865" s="114" t="s">
        <v>5584</v>
      </c>
      <c r="B1865" s="115" t="s">
        <v>4376</v>
      </c>
      <c r="C1865" s="116" t="s">
        <v>20</v>
      </c>
      <c r="D1865" s="116">
        <v>0</v>
      </c>
      <c r="E1865" s="135" t="s">
        <v>558</v>
      </c>
      <c r="F1865" s="136" t="str">
        <f t="shared" si="111"/>
        <v/>
      </c>
      <c r="G1865" s="137" t="e">
        <f>IF(A1865&lt;&gt;"",IF(AND(#REF!="Padrão",$H$4=#REF!),BDI!$B$17,IF(AND(#REF!="Padrão",$H$4=#REF!),BDI!#REF!,IF(AND(#REF!="Diferenciado",$H$4=#REF!),BDI!$E$17,IF(AND(#REF!="Diferenciado",$H$4=#REF!),BDI!#REF!,IF(#REF!="ZERO",0))))),"")</f>
        <v>#REF!</v>
      </c>
      <c r="H1865" s="138" t="str">
        <f t="shared" si="112"/>
        <v/>
      </c>
      <c r="I1865" s="136" t="str">
        <f t="shared" si="113"/>
        <v/>
      </c>
    </row>
    <row r="1866" spans="1:9" hidden="1" x14ac:dyDescent="0.25">
      <c r="A1866" s="114" t="s">
        <v>5585</v>
      </c>
      <c r="B1866" s="115" t="s">
        <v>4377</v>
      </c>
      <c r="C1866" s="116" t="s">
        <v>20</v>
      </c>
      <c r="D1866" s="116">
        <v>0</v>
      </c>
      <c r="E1866" s="135">
        <f ca="1">OFFSET(INDEX(Composições!A:J,MATCH(Orçamentária!A1866,Composições!A:A,0),8),2,0)</f>
        <v>82.592999999999989</v>
      </c>
      <c r="F1866" s="136">
        <f t="shared" ca="1" si="111"/>
        <v>0</v>
      </c>
      <c r="G1866" s="137" t="e">
        <f>IF(A1866&lt;&gt;"",IF(AND(#REF!="Padrão",$H$4=#REF!),BDI!$B$17,IF(AND(#REF!="Padrão",$H$4=#REF!),BDI!#REF!,IF(AND(#REF!="Diferenciado",$H$4=#REF!),BDI!$E$17,IF(AND(#REF!="Diferenciado",$H$4=#REF!),BDI!#REF!,IF(#REF!="ZERO",0))))),"")</f>
        <v>#REF!</v>
      </c>
      <c r="H1866" s="138" t="e">
        <f t="shared" ca="1" si="112"/>
        <v>#REF!</v>
      </c>
      <c r="I1866" s="136" t="e">
        <f t="shared" ca="1" si="113"/>
        <v>#REF!</v>
      </c>
    </row>
    <row r="1867" spans="1:9" hidden="1" x14ac:dyDescent="0.25">
      <c r="A1867" s="114" t="s">
        <v>5586</v>
      </c>
      <c r="B1867" s="115" t="s">
        <v>4378</v>
      </c>
      <c r="C1867" s="116" t="s">
        <v>20</v>
      </c>
      <c r="D1867" s="116">
        <v>0</v>
      </c>
      <c r="E1867" s="135">
        <f ca="1">OFFSET(INDEX(Composições!A:J,MATCH(Orçamentária!A1867,Composições!A:A,0),8),2,0)</f>
        <v>27.3125</v>
      </c>
      <c r="F1867" s="136">
        <f t="shared" ca="1" si="111"/>
        <v>0</v>
      </c>
      <c r="G1867" s="137" t="e">
        <f>IF(A1867&lt;&gt;"",IF(AND(#REF!="Padrão",$H$4=#REF!),BDI!$B$17,IF(AND(#REF!="Padrão",$H$4=#REF!),BDI!#REF!,IF(AND(#REF!="Diferenciado",$H$4=#REF!),BDI!$E$17,IF(AND(#REF!="Diferenciado",$H$4=#REF!),BDI!#REF!,IF(#REF!="ZERO",0))))),"")</f>
        <v>#REF!</v>
      </c>
      <c r="H1867" s="138" t="e">
        <f t="shared" ca="1" si="112"/>
        <v>#REF!</v>
      </c>
      <c r="I1867" s="136" t="e">
        <f t="shared" ca="1" si="113"/>
        <v>#REF!</v>
      </c>
    </row>
    <row r="1868" spans="1:9" hidden="1" x14ac:dyDescent="0.25">
      <c r="A1868" s="114" t="s">
        <v>5587</v>
      </c>
      <c r="B1868" s="115" t="s">
        <v>4379</v>
      </c>
      <c r="C1868" s="116" t="s">
        <v>20</v>
      </c>
      <c r="D1868" s="116">
        <v>0</v>
      </c>
      <c r="E1868" s="135">
        <f ca="1">OFFSET(INDEX(Composições!A:J,MATCH(Orçamentária!A1868,Composições!A:A,0),8),2,0)</f>
        <v>140.7235</v>
      </c>
      <c r="F1868" s="136">
        <f t="shared" ca="1" si="111"/>
        <v>0</v>
      </c>
      <c r="G1868" s="137" t="e">
        <f>IF(A1868&lt;&gt;"",IF(AND(#REF!="Padrão",$H$4=#REF!),BDI!$B$17,IF(AND(#REF!="Padrão",$H$4=#REF!),BDI!#REF!,IF(AND(#REF!="Diferenciado",$H$4=#REF!),BDI!$E$17,IF(AND(#REF!="Diferenciado",$H$4=#REF!),BDI!#REF!,IF(#REF!="ZERO",0))))),"")</f>
        <v>#REF!</v>
      </c>
      <c r="H1868" s="138" t="e">
        <f t="shared" ca="1" si="112"/>
        <v>#REF!</v>
      </c>
      <c r="I1868" s="136" t="e">
        <f t="shared" ca="1" si="113"/>
        <v>#REF!</v>
      </c>
    </row>
    <row r="1869" spans="1:9" hidden="1" x14ac:dyDescent="0.25">
      <c r="A1869" s="114" t="s">
        <v>5588</v>
      </c>
      <c r="B1869" s="115" t="s">
        <v>4380</v>
      </c>
      <c r="C1869" s="116" t="s">
        <v>20</v>
      </c>
      <c r="D1869" s="116">
        <v>0</v>
      </c>
      <c r="E1869" s="135">
        <f ca="1">OFFSET(INDEX(Composições!A:J,MATCH(Orçamentária!A1869,Composições!A:A,0),8),2,0)</f>
        <v>24.661999999999999</v>
      </c>
      <c r="F1869" s="136">
        <f t="shared" ca="1" si="111"/>
        <v>0</v>
      </c>
      <c r="G1869" s="137" t="e">
        <f>IF(A1869&lt;&gt;"",IF(AND(#REF!="Padrão",$H$4=#REF!),BDI!$B$17,IF(AND(#REF!="Padrão",$H$4=#REF!),BDI!#REF!,IF(AND(#REF!="Diferenciado",$H$4=#REF!),BDI!$E$17,IF(AND(#REF!="Diferenciado",$H$4=#REF!),BDI!#REF!,IF(#REF!="ZERO",0))))),"")</f>
        <v>#REF!</v>
      </c>
      <c r="H1869" s="138" t="e">
        <f t="shared" ca="1" si="112"/>
        <v>#REF!</v>
      </c>
      <c r="I1869" s="136" t="e">
        <f t="shared" ca="1" si="113"/>
        <v>#REF!</v>
      </c>
    </row>
    <row r="1870" spans="1:9" hidden="1" x14ac:dyDescent="0.25">
      <c r="A1870" s="114" t="s">
        <v>5589</v>
      </c>
      <c r="B1870" s="115" t="s">
        <v>4381</v>
      </c>
      <c r="C1870" s="116" t="s">
        <v>20</v>
      </c>
      <c r="D1870" s="116">
        <v>0</v>
      </c>
      <c r="E1870" s="135" t="s">
        <v>558</v>
      </c>
      <c r="F1870" s="136" t="str">
        <f t="shared" si="111"/>
        <v/>
      </c>
      <c r="G1870" s="137" t="e">
        <f>IF(A1870&lt;&gt;"",IF(AND(#REF!="Padrão",$H$4=#REF!),BDI!$B$17,IF(AND(#REF!="Padrão",$H$4=#REF!),BDI!#REF!,IF(AND(#REF!="Diferenciado",$H$4=#REF!),BDI!$E$17,IF(AND(#REF!="Diferenciado",$H$4=#REF!),BDI!#REF!,IF(#REF!="ZERO",0))))),"")</f>
        <v>#REF!</v>
      </c>
      <c r="H1870" s="138" t="str">
        <f t="shared" si="112"/>
        <v/>
      </c>
      <c r="I1870" s="136" t="str">
        <f t="shared" si="113"/>
        <v/>
      </c>
    </row>
    <row r="1871" spans="1:9" hidden="1" x14ac:dyDescent="0.25">
      <c r="A1871" s="114" t="s">
        <v>5590</v>
      </c>
      <c r="B1871" s="115" t="s">
        <v>4382</v>
      </c>
      <c r="C1871" s="116" t="s">
        <v>20</v>
      </c>
      <c r="D1871" s="116">
        <v>0</v>
      </c>
      <c r="E1871" s="135">
        <f ca="1">OFFSET(INDEX(Composições!A:J,MATCH(Orçamentária!A1871,Composições!A:A,0),8),2,0)</f>
        <v>140.07749999999999</v>
      </c>
      <c r="F1871" s="136">
        <f t="shared" ca="1" si="111"/>
        <v>0</v>
      </c>
      <c r="G1871" s="137" t="e">
        <f>IF(A1871&lt;&gt;"",IF(AND(#REF!="Padrão",$H$4=#REF!),BDI!$B$17,IF(AND(#REF!="Padrão",$H$4=#REF!),BDI!#REF!,IF(AND(#REF!="Diferenciado",$H$4=#REF!),BDI!$E$17,IF(AND(#REF!="Diferenciado",$H$4=#REF!),BDI!#REF!,IF(#REF!="ZERO",0))))),"")</f>
        <v>#REF!</v>
      </c>
      <c r="H1871" s="138" t="e">
        <f t="shared" ca="1" si="112"/>
        <v>#REF!</v>
      </c>
      <c r="I1871" s="136" t="e">
        <f t="shared" ca="1" si="113"/>
        <v>#REF!</v>
      </c>
    </row>
    <row r="1872" spans="1:9" hidden="1" x14ac:dyDescent="0.25">
      <c r="A1872" s="114" t="s">
        <v>5591</v>
      </c>
      <c r="B1872" s="115" t="s">
        <v>4383</v>
      </c>
      <c r="C1872" s="116" t="s">
        <v>93</v>
      </c>
      <c r="D1872" s="116">
        <v>0</v>
      </c>
      <c r="E1872" s="135">
        <f ca="1">OFFSET(INDEX(Composições!A:J,MATCH(Orçamentária!A1872,Composições!A:A,0),8),2,0)</f>
        <v>3.3155000000000001</v>
      </c>
      <c r="F1872" s="136">
        <f t="shared" ca="1" si="111"/>
        <v>0</v>
      </c>
      <c r="G1872" s="137" t="e">
        <f>IF(A1872&lt;&gt;"",IF(AND(#REF!="Padrão",$H$4=#REF!),BDI!$B$17,IF(AND(#REF!="Padrão",$H$4=#REF!),BDI!#REF!,IF(AND(#REF!="Diferenciado",$H$4=#REF!),BDI!$E$17,IF(AND(#REF!="Diferenciado",$H$4=#REF!),BDI!#REF!,IF(#REF!="ZERO",0))))),"")</f>
        <v>#REF!</v>
      </c>
      <c r="H1872" s="138" t="e">
        <f t="shared" ca="1" si="112"/>
        <v>#REF!</v>
      </c>
      <c r="I1872" s="136" t="e">
        <f t="shared" ca="1" si="113"/>
        <v>#REF!</v>
      </c>
    </row>
    <row r="1873" spans="1:9" hidden="1" x14ac:dyDescent="0.25">
      <c r="A1873" s="114" t="s">
        <v>5592</v>
      </c>
      <c r="B1873" s="115" t="s">
        <v>4384</v>
      </c>
      <c r="C1873" s="116" t="s">
        <v>93</v>
      </c>
      <c r="D1873" s="116">
        <v>0</v>
      </c>
      <c r="E1873" s="135">
        <f ca="1">OFFSET(INDEX(Composições!A:J,MATCH(Orçamentária!A1873,Composições!A:A,0),8),2,0)</f>
        <v>6.3839999999999995</v>
      </c>
      <c r="F1873" s="136">
        <f t="shared" ca="1" si="111"/>
        <v>0</v>
      </c>
      <c r="G1873" s="137" t="e">
        <f>IF(A1873&lt;&gt;"",IF(AND(#REF!="Padrão",$H$4=#REF!),BDI!$B$17,IF(AND(#REF!="Padrão",$H$4=#REF!),BDI!#REF!,IF(AND(#REF!="Diferenciado",$H$4=#REF!),BDI!$E$17,IF(AND(#REF!="Diferenciado",$H$4=#REF!),BDI!#REF!,IF(#REF!="ZERO",0))))),"")</f>
        <v>#REF!</v>
      </c>
      <c r="H1873" s="138" t="e">
        <f t="shared" ca="1" si="112"/>
        <v>#REF!</v>
      </c>
      <c r="I1873" s="136" t="e">
        <f t="shared" ca="1" si="113"/>
        <v>#REF!</v>
      </c>
    </row>
    <row r="1874" spans="1:9" hidden="1" x14ac:dyDescent="0.25">
      <c r="A1874" s="114" t="s">
        <v>5593</v>
      </c>
      <c r="B1874" s="115" t="s">
        <v>4385</v>
      </c>
      <c r="C1874" s="116" t="s">
        <v>93</v>
      </c>
      <c r="D1874" s="116">
        <v>0</v>
      </c>
      <c r="E1874" s="135">
        <f ca="1">OFFSET(INDEX(Composições!A:J,MATCH(Orçamentária!A1874,Composições!A:A,0),8),2,0)</f>
        <v>10.183999999999999</v>
      </c>
      <c r="F1874" s="136">
        <f t="shared" ca="1" si="111"/>
        <v>0</v>
      </c>
      <c r="G1874" s="137" t="e">
        <f>IF(A1874&lt;&gt;"",IF(AND(#REF!="Padrão",$H$4=#REF!),BDI!$B$17,IF(AND(#REF!="Padrão",$H$4=#REF!),BDI!#REF!,IF(AND(#REF!="Diferenciado",$H$4=#REF!),BDI!$E$17,IF(AND(#REF!="Diferenciado",$H$4=#REF!),BDI!#REF!,IF(#REF!="ZERO",0))))),"")</f>
        <v>#REF!</v>
      </c>
      <c r="H1874" s="138" t="e">
        <f t="shared" ca="1" si="112"/>
        <v>#REF!</v>
      </c>
      <c r="I1874" s="136" t="e">
        <f t="shared" ca="1" si="113"/>
        <v>#REF!</v>
      </c>
    </row>
    <row r="1875" spans="1:9" hidden="1" x14ac:dyDescent="0.25">
      <c r="A1875" s="114" t="s">
        <v>5594</v>
      </c>
      <c r="B1875" s="115" t="s">
        <v>4386</v>
      </c>
      <c r="C1875" s="116" t="s">
        <v>20</v>
      </c>
      <c r="D1875" s="116">
        <v>0</v>
      </c>
      <c r="E1875" s="135" t="s">
        <v>558</v>
      </c>
      <c r="F1875" s="136" t="str">
        <f t="shared" si="111"/>
        <v/>
      </c>
      <c r="G1875" s="137" t="e">
        <f>IF(A1875&lt;&gt;"",IF(AND(#REF!="Padrão",$H$4=#REF!),BDI!$B$17,IF(AND(#REF!="Padrão",$H$4=#REF!),BDI!#REF!,IF(AND(#REF!="Diferenciado",$H$4=#REF!),BDI!$E$17,IF(AND(#REF!="Diferenciado",$H$4=#REF!),BDI!#REF!,IF(#REF!="ZERO",0))))),"")</f>
        <v>#REF!</v>
      </c>
      <c r="H1875" s="138" t="str">
        <f t="shared" si="112"/>
        <v/>
      </c>
      <c r="I1875" s="136" t="str">
        <f t="shared" si="113"/>
        <v/>
      </c>
    </row>
    <row r="1876" spans="1:9" hidden="1" x14ac:dyDescent="0.25">
      <c r="A1876" s="114" t="s">
        <v>5595</v>
      </c>
      <c r="B1876" s="115" t="s">
        <v>4387</v>
      </c>
      <c r="C1876" s="116" t="s">
        <v>93</v>
      </c>
      <c r="D1876" s="116">
        <v>0</v>
      </c>
      <c r="E1876" s="135">
        <f ca="1">OFFSET(INDEX(Composições!A:J,MATCH(Orçamentária!A1876,Composições!A:A,0),8),2,0)</f>
        <v>13.3475</v>
      </c>
      <c r="F1876" s="136">
        <f t="shared" ca="1" si="111"/>
        <v>0</v>
      </c>
      <c r="G1876" s="137" t="e">
        <f>IF(A1876&lt;&gt;"",IF(AND(#REF!="Padrão",$H$4=#REF!),BDI!$B$17,IF(AND(#REF!="Padrão",$H$4=#REF!),BDI!#REF!,IF(AND(#REF!="Diferenciado",$H$4=#REF!),BDI!$E$17,IF(AND(#REF!="Diferenciado",$H$4=#REF!),BDI!#REF!,IF(#REF!="ZERO",0))))),"")</f>
        <v>#REF!</v>
      </c>
      <c r="H1876" s="138" t="e">
        <f t="shared" ca="1" si="112"/>
        <v>#REF!</v>
      </c>
      <c r="I1876" s="136" t="e">
        <f t="shared" ca="1" si="113"/>
        <v>#REF!</v>
      </c>
    </row>
    <row r="1877" spans="1:9" hidden="1" x14ac:dyDescent="0.25">
      <c r="A1877" s="114" t="s">
        <v>5596</v>
      </c>
      <c r="B1877" s="115" t="s">
        <v>4388</v>
      </c>
      <c r="C1877" s="116" t="s">
        <v>20</v>
      </c>
      <c r="D1877" s="116">
        <v>0</v>
      </c>
      <c r="E1877" s="135" t="s">
        <v>558</v>
      </c>
      <c r="F1877" s="136" t="str">
        <f t="shared" si="111"/>
        <v/>
      </c>
      <c r="G1877" s="137" t="e">
        <f>IF(A1877&lt;&gt;"",IF(AND(#REF!="Padrão",$H$4=#REF!),BDI!$B$17,IF(AND(#REF!="Padrão",$H$4=#REF!),BDI!#REF!,IF(AND(#REF!="Diferenciado",$H$4=#REF!),BDI!$E$17,IF(AND(#REF!="Diferenciado",$H$4=#REF!),BDI!#REF!,IF(#REF!="ZERO",0))))),"")</f>
        <v>#REF!</v>
      </c>
      <c r="H1877" s="138" t="str">
        <f t="shared" si="112"/>
        <v/>
      </c>
      <c r="I1877" s="136" t="str">
        <f t="shared" si="113"/>
        <v/>
      </c>
    </row>
    <row r="1878" spans="1:9" hidden="1" x14ac:dyDescent="0.25">
      <c r="A1878" s="114" t="s">
        <v>5597</v>
      </c>
      <c r="B1878" s="115" t="s">
        <v>4389</v>
      </c>
      <c r="C1878" s="116" t="s">
        <v>93</v>
      </c>
      <c r="D1878" s="116">
        <v>0</v>
      </c>
      <c r="E1878" s="135">
        <f ca="1">OFFSET(INDEX(Composições!A:J,MATCH(Orçamentária!A1878,Composições!A:A,0),8),2,0)</f>
        <v>20.1495</v>
      </c>
      <c r="F1878" s="136">
        <f t="shared" ca="1" si="111"/>
        <v>0</v>
      </c>
      <c r="G1878" s="137" t="e">
        <f>IF(A1878&lt;&gt;"",IF(AND(#REF!="Padrão",$H$4=#REF!),BDI!$B$17,IF(AND(#REF!="Padrão",$H$4=#REF!),BDI!#REF!,IF(AND(#REF!="Diferenciado",$H$4=#REF!),BDI!$E$17,IF(AND(#REF!="Diferenciado",$H$4=#REF!),BDI!#REF!,IF(#REF!="ZERO",0))))),"")</f>
        <v>#REF!</v>
      </c>
      <c r="H1878" s="138" t="e">
        <f t="shared" ca="1" si="112"/>
        <v>#REF!</v>
      </c>
      <c r="I1878" s="136" t="e">
        <f t="shared" ca="1" si="113"/>
        <v>#REF!</v>
      </c>
    </row>
    <row r="1879" spans="1:9" hidden="1" x14ac:dyDescent="0.25">
      <c r="A1879" s="114" t="s">
        <v>5598</v>
      </c>
      <c r="B1879" s="115" t="s">
        <v>4390</v>
      </c>
      <c r="C1879" s="116" t="s">
        <v>20</v>
      </c>
      <c r="D1879" s="116">
        <v>0</v>
      </c>
      <c r="E1879" s="135" t="s">
        <v>558</v>
      </c>
      <c r="F1879" s="136" t="str">
        <f t="shared" si="111"/>
        <v/>
      </c>
      <c r="G1879" s="137" t="e">
        <f>IF(A1879&lt;&gt;"",IF(AND(#REF!="Padrão",$H$4=#REF!),BDI!$B$17,IF(AND(#REF!="Padrão",$H$4=#REF!),BDI!#REF!,IF(AND(#REF!="Diferenciado",$H$4=#REF!),BDI!$E$17,IF(AND(#REF!="Diferenciado",$H$4=#REF!),BDI!#REF!,IF(#REF!="ZERO",0))))),"")</f>
        <v>#REF!</v>
      </c>
      <c r="H1879" s="138" t="str">
        <f t="shared" si="112"/>
        <v/>
      </c>
      <c r="I1879" s="136" t="str">
        <f t="shared" si="113"/>
        <v/>
      </c>
    </row>
    <row r="1880" spans="1:9" hidden="1" x14ac:dyDescent="0.25">
      <c r="A1880" s="114" t="s">
        <v>5599</v>
      </c>
      <c r="B1880" s="115" t="s">
        <v>4391</v>
      </c>
      <c r="C1880" s="116" t="s">
        <v>93</v>
      </c>
      <c r="D1880" s="116">
        <v>0</v>
      </c>
      <c r="E1880" s="135">
        <f ca="1">OFFSET(INDEX(Composições!A:J,MATCH(Orçamentária!A1880,Composições!A:A,0),8),2,0)</f>
        <v>25.9255</v>
      </c>
      <c r="F1880" s="136">
        <f t="shared" ca="1" si="111"/>
        <v>0</v>
      </c>
      <c r="G1880" s="137" t="e">
        <f>IF(A1880&lt;&gt;"",IF(AND(#REF!="Padrão",$H$4=#REF!),BDI!$B$17,IF(AND(#REF!="Padrão",$H$4=#REF!),BDI!#REF!,IF(AND(#REF!="Diferenciado",$H$4=#REF!),BDI!$E$17,IF(AND(#REF!="Diferenciado",$H$4=#REF!),BDI!#REF!,IF(#REF!="ZERO",0))))),"")</f>
        <v>#REF!</v>
      </c>
      <c r="H1880" s="138" t="e">
        <f t="shared" ca="1" si="112"/>
        <v>#REF!</v>
      </c>
      <c r="I1880" s="136" t="e">
        <f t="shared" ca="1" si="113"/>
        <v>#REF!</v>
      </c>
    </row>
    <row r="1881" spans="1:9" hidden="1" x14ac:dyDescent="0.25">
      <c r="A1881" s="114" t="s">
        <v>5600</v>
      </c>
      <c r="B1881" s="115" t="s">
        <v>4392</v>
      </c>
      <c r="C1881" s="116" t="s">
        <v>20</v>
      </c>
      <c r="D1881" s="116">
        <v>0</v>
      </c>
      <c r="E1881" s="135" t="s">
        <v>558</v>
      </c>
      <c r="F1881" s="136" t="str">
        <f t="shared" si="111"/>
        <v/>
      </c>
      <c r="G1881" s="137" t="e">
        <f>IF(A1881&lt;&gt;"",IF(AND(#REF!="Padrão",$H$4=#REF!),BDI!$B$17,IF(AND(#REF!="Padrão",$H$4=#REF!),BDI!#REF!,IF(AND(#REF!="Diferenciado",$H$4=#REF!),BDI!$E$17,IF(AND(#REF!="Diferenciado",$H$4=#REF!),BDI!#REF!,IF(#REF!="ZERO",0))))),"")</f>
        <v>#REF!</v>
      </c>
      <c r="H1881" s="138" t="str">
        <f t="shared" si="112"/>
        <v/>
      </c>
      <c r="I1881" s="136" t="str">
        <f t="shared" si="113"/>
        <v/>
      </c>
    </row>
    <row r="1882" spans="1:9" hidden="1" x14ac:dyDescent="0.25">
      <c r="A1882" s="114" t="s">
        <v>5601</v>
      </c>
      <c r="B1882" s="115" t="s">
        <v>4393</v>
      </c>
      <c r="C1882" s="116" t="s">
        <v>93</v>
      </c>
      <c r="D1882" s="116">
        <v>0</v>
      </c>
      <c r="E1882" s="135">
        <f ca="1">OFFSET(INDEX(Composições!A:J,MATCH(Orçamentária!A1882,Composições!A:A,0),8),2,0)</f>
        <v>34.541999999999994</v>
      </c>
      <c r="F1882" s="136">
        <f t="shared" ca="1" si="111"/>
        <v>0</v>
      </c>
      <c r="G1882" s="137" t="e">
        <f>IF(A1882&lt;&gt;"",IF(AND(#REF!="Padrão",$H$4=#REF!),BDI!$B$17,IF(AND(#REF!="Padrão",$H$4=#REF!),BDI!#REF!,IF(AND(#REF!="Diferenciado",$H$4=#REF!),BDI!$E$17,IF(AND(#REF!="Diferenciado",$H$4=#REF!),BDI!#REF!,IF(#REF!="ZERO",0))))),"")</f>
        <v>#REF!</v>
      </c>
      <c r="H1882" s="138" t="e">
        <f t="shared" ca="1" si="112"/>
        <v>#REF!</v>
      </c>
      <c r="I1882" s="136" t="e">
        <f t="shared" ca="1" si="113"/>
        <v>#REF!</v>
      </c>
    </row>
    <row r="1883" spans="1:9" hidden="1" x14ac:dyDescent="0.25">
      <c r="A1883" s="114" t="s">
        <v>5602</v>
      </c>
      <c r="B1883" s="115" t="s">
        <v>4394</v>
      </c>
      <c r="C1883" s="116" t="s">
        <v>20</v>
      </c>
      <c r="D1883" s="116">
        <v>0</v>
      </c>
      <c r="E1883" s="135" t="s">
        <v>558</v>
      </c>
      <c r="F1883" s="136" t="str">
        <f t="shared" si="111"/>
        <v/>
      </c>
      <c r="G1883" s="137" t="e">
        <f>IF(A1883&lt;&gt;"",IF(AND(#REF!="Padrão",$H$4=#REF!),BDI!$B$17,IF(AND(#REF!="Padrão",$H$4=#REF!),BDI!#REF!,IF(AND(#REF!="Diferenciado",$H$4=#REF!),BDI!$E$17,IF(AND(#REF!="Diferenciado",$H$4=#REF!),BDI!#REF!,IF(#REF!="ZERO",0))))),"")</f>
        <v>#REF!</v>
      </c>
      <c r="H1883" s="138" t="str">
        <f t="shared" si="112"/>
        <v/>
      </c>
      <c r="I1883" s="136" t="str">
        <f t="shared" si="113"/>
        <v/>
      </c>
    </row>
    <row r="1884" spans="1:9" hidden="1" x14ac:dyDescent="0.25">
      <c r="A1884" s="114" t="s">
        <v>5603</v>
      </c>
      <c r="B1884" s="115" t="s">
        <v>4395</v>
      </c>
      <c r="C1884" s="116" t="s">
        <v>93</v>
      </c>
      <c r="D1884" s="116">
        <v>0</v>
      </c>
      <c r="E1884" s="135">
        <f ca="1">OFFSET(INDEX(Composições!A:J,MATCH(Orçamentária!A1884,Composições!A:A,0),8),2,0)</f>
        <v>3.9045000000000001</v>
      </c>
      <c r="F1884" s="136">
        <f t="shared" ca="1" si="111"/>
        <v>0</v>
      </c>
      <c r="G1884" s="137" t="e">
        <f>IF(A1884&lt;&gt;"",IF(AND(#REF!="Padrão",$H$4=#REF!),BDI!$B$17,IF(AND(#REF!="Padrão",$H$4=#REF!),BDI!#REF!,IF(AND(#REF!="Diferenciado",$H$4=#REF!),BDI!$E$17,IF(AND(#REF!="Diferenciado",$H$4=#REF!),BDI!#REF!,IF(#REF!="ZERO",0))))),"")</f>
        <v>#REF!</v>
      </c>
      <c r="H1884" s="138" t="e">
        <f t="shared" ca="1" si="112"/>
        <v>#REF!</v>
      </c>
      <c r="I1884" s="136" t="e">
        <f t="shared" ca="1" si="113"/>
        <v>#REF!</v>
      </c>
    </row>
    <row r="1885" spans="1:9" hidden="1" x14ac:dyDescent="0.25">
      <c r="A1885" s="114" t="s">
        <v>5604</v>
      </c>
      <c r="B1885" s="115" t="s">
        <v>4396</v>
      </c>
      <c r="C1885" s="116" t="s">
        <v>20</v>
      </c>
      <c r="D1885" s="116">
        <v>0</v>
      </c>
      <c r="E1885" s="135">
        <f ca="1">OFFSET(INDEX(Composições!A:J,MATCH(Orçamentária!A1885,Composições!A:A,0),8),2,0)</f>
        <v>6.4979999999999993</v>
      </c>
      <c r="F1885" s="136">
        <f t="shared" ca="1" si="111"/>
        <v>0</v>
      </c>
      <c r="G1885" s="137" t="e">
        <f>IF(A1885&lt;&gt;"",IF(AND(#REF!="Padrão",$H$4=#REF!),BDI!$B$17,IF(AND(#REF!="Padrão",$H$4=#REF!),BDI!#REF!,IF(AND(#REF!="Diferenciado",$H$4=#REF!),BDI!$E$17,IF(AND(#REF!="Diferenciado",$H$4=#REF!),BDI!#REF!,IF(#REF!="ZERO",0))))),"")</f>
        <v>#REF!</v>
      </c>
      <c r="H1885" s="138" t="e">
        <f t="shared" ca="1" si="112"/>
        <v>#REF!</v>
      </c>
      <c r="I1885" s="136" t="e">
        <f t="shared" ca="1" si="113"/>
        <v>#REF!</v>
      </c>
    </row>
    <row r="1886" spans="1:9" hidden="1" x14ac:dyDescent="0.25">
      <c r="A1886" s="114" t="s">
        <v>5605</v>
      </c>
      <c r="B1886" s="115" t="s">
        <v>4397</v>
      </c>
      <c r="C1886" s="116" t="s">
        <v>93</v>
      </c>
      <c r="D1886" s="116">
        <v>0</v>
      </c>
      <c r="E1886" s="135">
        <f ca="1">OFFSET(INDEX(Composições!A:J,MATCH(Orçamentária!A1886,Composições!A:A,0),8),2,0)</f>
        <v>6.4409999999999998</v>
      </c>
      <c r="F1886" s="136">
        <f t="shared" ca="1" si="111"/>
        <v>0</v>
      </c>
      <c r="G1886" s="137" t="e">
        <f>IF(A1886&lt;&gt;"",IF(AND(#REF!="Padrão",$H$4=#REF!),BDI!$B$17,IF(AND(#REF!="Padrão",$H$4=#REF!),BDI!#REF!,IF(AND(#REF!="Diferenciado",$H$4=#REF!),BDI!$E$17,IF(AND(#REF!="Diferenciado",$H$4=#REF!),BDI!#REF!,IF(#REF!="ZERO",0))))),"")</f>
        <v>#REF!</v>
      </c>
      <c r="H1886" s="138" t="e">
        <f t="shared" ca="1" si="112"/>
        <v>#REF!</v>
      </c>
      <c r="I1886" s="136" t="e">
        <f t="shared" ca="1" si="113"/>
        <v>#REF!</v>
      </c>
    </row>
    <row r="1887" spans="1:9" hidden="1" x14ac:dyDescent="0.25">
      <c r="A1887" s="114" t="s">
        <v>5606</v>
      </c>
      <c r="B1887" s="115" t="s">
        <v>4398</v>
      </c>
      <c r="C1887" s="116" t="s">
        <v>20</v>
      </c>
      <c r="D1887" s="116">
        <v>0</v>
      </c>
      <c r="E1887" s="135">
        <f ca="1">OFFSET(INDEX(Composições!A:J,MATCH(Orçamentária!A1887,Composições!A:A,0),8),2,0)</f>
        <v>7.4194999999999993</v>
      </c>
      <c r="F1887" s="136">
        <f t="shared" ca="1" si="111"/>
        <v>0</v>
      </c>
      <c r="G1887" s="137" t="e">
        <f>IF(A1887&lt;&gt;"",IF(AND(#REF!="Padrão",$H$4=#REF!),BDI!$B$17,IF(AND(#REF!="Padrão",$H$4=#REF!),BDI!#REF!,IF(AND(#REF!="Diferenciado",$H$4=#REF!),BDI!$E$17,IF(AND(#REF!="Diferenciado",$H$4=#REF!),BDI!#REF!,IF(#REF!="ZERO",0))))),"")</f>
        <v>#REF!</v>
      </c>
      <c r="H1887" s="138" t="e">
        <f t="shared" ca="1" si="112"/>
        <v>#REF!</v>
      </c>
      <c r="I1887" s="136" t="e">
        <f t="shared" ca="1" si="113"/>
        <v>#REF!</v>
      </c>
    </row>
    <row r="1888" spans="1:9" hidden="1" x14ac:dyDescent="0.25">
      <c r="A1888" s="114" t="s">
        <v>5607</v>
      </c>
      <c r="B1888" s="115" t="s">
        <v>4399</v>
      </c>
      <c r="C1888" s="116" t="s">
        <v>93</v>
      </c>
      <c r="D1888" s="116">
        <v>0</v>
      </c>
      <c r="E1888" s="135">
        <f ca="1">OFFSET(INDEX(Composições!A:J,MATCH(Orçamentária!A1888,Composições!A:A,0),8),2,0)</f>
        <v>9.0250000000000004</v>
      </c>
      <c r="F1888" s="136">
        <f t="shared" ca="1" si="111"/>
        <v>0</v>
      </c>
      <c r="G1888" s="137" t="e">
        <f>IF(A1888&lt;&gt;"",IF(AND(#REF!="Padrão",$H$4=#REF!),BDI!$B$17,IF(AND(#REF!="Padrão",$H$4=#REF!),BDI!#REF!,IF(AND(#REF!="Diferenciado",$H$4=#REF!),BDI!$E$17,IF(AND(#REF!="Diferenciado",$H$4=#REF!),BDI!#REF!,IF(#REF!="ZERO",0))))),"")</f>
        <v>#REF!</v>
      </c>
      <c r="H1888" s="138" t="e">
        <f t="shared" ca="1" si="112"/>
        <v>#REF!</v>
      </c>
      <c r="I1888" s="136" t="e">
        <f t="shared" ca="1" si="113"/>
        <v>#REF!</v>
      </c>
    </row>
    <row r="1889" spans="1:9" hidden="1" x14ac:dyDescent="0.25">
      <c r="A1889" s="114" t="s">
        <v>5608</v>
      </c>
      <c r="B1889" s="115" t="s">
        <v>4400</v>
      </c>
      <c r="C1889" s="116" t="s">
        <v>20</v>
      </c>
      <c r="D1889" s="116">
        <v>0</v>
      </c>
      <c r="E1889" s="135">
        <f ca="1">OFFSET(INDEX(Composições!A:J,MATCH(Orçamentária!A1889,Composições!A:A,0),8),2,0)</f>
        <v>10.943999999999999</v>
      </c>
      <c r="F1889" s="136">
        <f t="shared" ca="1" si="111"/>
        <v>0</v>
      </c>
      <c r="G1889" s="137" t="e">
        <f>IF(A1889&lt;&gt;"",IF(AND(#REF!="Padrão",$H$4=#REF!),BDI!$B$17,IF(AND(#REF!="Padrão",$H$4=#REF!),BDI!#REF!,IF(AND(#REF!="Diferenciado",$H$4=#REF!),BDI!$E$17,IF(AND(#REF!="Diferenciado",$H$4=#REF!),BDI!#REF!,IF(#REF!="ZERO",0))))),"")</f>
        <v>#REF!</v>
      </c>
      <c r="H1889" s="138" t="e">
        <f t="shared" ca="1" si="112"/>
        <v>#REF!</v>
      </c>
      <c r="I1889" s="136" t="e">
        <f t="shared" ca="1" si="113"/>
        <v>#REF!</v>
      </c>
    </row>
    <row r="1890" spans="1:9" hidden="1" x14ac:dyDescent="0.25">
      <c r="A1890" s="114" t="s">
        <v>5609</v>
      </c>
      <c r="B1890" s="115" t="s">
        <v>4401</v>
      </c>
      <c r="C1890" s="116" t="s">
        <v>93</v>
      </c>
      <c r="D1890" s="116">
        <v>0</v>
      </c>
      <c r="E1890" s="135">
        <f ca="1">OFFSET(INDEX(Composições!A:J,MATCH(Orçamentária!A1890,Composições!A:A,0),8),2,0)</f>
        <v>4.1420000000000003</v>
      </c>
      <c r="F1890" s="136">
        <f t="shared" ca="1" si="111"/>
        <v>0</v>
      </c>
      <c r="G1890" s="137" t="e">
        <f>IF(A1890&lt;&gt;"",IF(AND(#REF!="Padrão",$H$4=#REF!),BDI!$B$17,IF(AND(#REF!="Padrão",$H$4=#REF!),BDI!#REF!,IF(AND(#REF!="Diferenciado",$H$4=#REF!),BDI!$E$17,IF(AND(#REF!="Diferenciado",$H$4=#REF!),BDI!#REF!,IF(#REF!="ZERO",0))))),"")</f>
        <v>#REF!</v>
      </c>
      <c r="H1890" s="138" t="e">
        <f t="shared" ca="1" si="112"/>
        <v>#REF!</v>
      </c>
      <c r="I1890" s="136" t="e">
        <f t="shared" ca="1" si="113"/>
        <v>#REF!</v>
      </c>
    </row>
    <row r="1891" spans="1:9" hidden="1" x14ac:dyDescent="0.25">
      <c r="A1891" s="114" t="s">
        <v>5610</v>
      </c>
      <c r="B1891" s="115" t="s">
        <v>4402</v>
      </c>
      <c r="C1891" s="116" t="s">
        <v>20</v>
      </c>
      <c r="D1891" s="116">
        <v>0</v>
      </c>
      <c r="E1891" s="135">
        <f ca="1">OFFSET(INDEX(Composições!A:J,MATCH(Orçamentária!A1891,Composições!A:A,0),8),2,0)</f>
        <v>0.99749999999999994</v>
      </c>
      <c r="F1891" s="136">
        <f t="shared" ca="1" si="111"/>
        <v>0</v>
      </c>
      <c r="G1891" s="137" t="e">
        <f>IF(A1891&lt;&gt;"",IF(AND(#REF!="Padrão",$H$4=#REF!),BDI!$B$17,IF(AND(#REF!="Padrão",$H$4=#REF!),BDI!#REF!,IF(AND(#REF!="Diferenciado",$H$4=#REF!),BDI!$E$17,IF(AND(#REF!="Diferenciado",$H$4=#REF!),BDI!#REF!,IF(#REF!="ZERO",0))))),"")</f>
        <v>#REF!</v>
      </c>
      <c r="H1891" s="138" t="e">
        <f t="shared" ca="1" si="112"/>
        <v>#REF!</v>
      </c>
      <c r="I1891" s="136" t="e">
        <f t="shared" ca="1" si="113"/>
        <v>#REF!</v>
      </c>
    </row>
    <row r="1892" spans="1:9" hidden="1" x14ac:dyDescent="0.25">
      <c r="A1892" s="114" t="s">
        <v>5611</v>
      </c>
      <c r="B1892" s="115" t="s">
        <v>4403</v>
      </c>
      <c r="C1892" s="116" t="s">
        <v>20</v>
      </c>
      <c r="D1892" s="116">
        <v>0</v>
      </c>
      <c r="E1892" s="135">
        <f ca="1">OFFSET(INDEX(Composições!A:J,MATCH(Orçamentária!A1892,Composições!A:A,0),8),2,0)</f>
        <v>2.1659999999999999</v>
      </c>
      <c r="F1892" s="136">
        <f t="shared" ca="1" si="111"/>
        <v>0</v>
      </c>
      <c r="G1892" s="137" t="e">
        <f>IF(A1892&lt;&gt;"",IF(AND(#REF!="Padrão",$H$4=#REF!),BDI!$B$17,IF(AND(#REF!="Padrão",$H$4=#REF!),BDI!#REF!,IF(AND(#REF!="Diferenciado",$H$4=#REF!),BDI!$E$17,IF(AND(#REF!="Diferenciado",$H$4=#REF!),BDI!#REF!,IF(#REF!="ZERO",0))))),"")</f>
        <v>#REF!</v>
      </c>
      <c r="H1892" s="138" t="e">
        <f t="shared" ca="1" si="112"/>
        <v>#REF!</v>
      </c>
      <c r="I1892" s="136" t="e">
        <f t="shared" ca="1" si="113"/>
        <v>#REF!</v>
      </c>
    </row>
    <row r="1893" spans="1:9" hidden="1" x14ac:dyDescent="0.25">
      <c r="A1893" s="114" t="s">
        <v>5612</v>
      </c>
      <c r="B1893" s="115" t="s">
        <v>4404</v>
      </c>
      <c r="C1893" s="116" t="s">
        <v>93</v>
      </c>
      <c r="D1893" s="116">
        <v>0</v>
      </c>
      <c r="E1893" s="135">
        <f ca="1">OFFSET(INDEX(Composições!A:J,MATCH(Orçamentária!A1893,Composições!A:A,0),8),2,0)</f>
        <v>6.4694999999999991</v>
      </c>
      <c r="F1893" s="136">
        <f t="shared" ca="1" si="111"/>
        <v>0</v>
      </c>
      <c r="G1893" s="137" t="e">
        <f>IF(A1893&lt;&gt;"",IF(AND(#REF!="Padrão",$H$4=#REF!),BDI!$B$17,IF(AND(#REF!="Padrão",$H$4=#REF!),BDI!#REF!,IF(AND(#REF!="Diferenciado",$H$4=#REF!),BDI!$E$17,IF(AND(#REF!="Diferenciado",$H$4=#REF!),BDI!#REF!,IF(#REF!="ZERO",0))))),"")</f>
        <v>#REF!</v>
      </c>
      <c r="H1893" s="138" t="e">
        <f t="shared" ca="1" si="112"/>
        <v>#REF!</v>
      </c>
      <c r="I1893" s="136" t="e">
        <f t="shared" ca="1" si="113"/>
        <v>#REF!</v>
      </c>
    </row>
    <row r="1894" spans="1:9" hidden="1" x14ac:dyDescent="0.25">
      <c r="A1894" s="114" t="s">
        <v>5613</v>
      </c>
      <c r="B1894" s="115" t="s">
        <v>4405</v>
      </c>
      <c r="C1894" s="116" t="s">
        <v>20</v>
      </c>
      <c r="D1894" s="116">
        <v>0</v>
      </c>
      <c r="E1894" s="135">
        <f ca="1">OFFSET(INDEX(Composições!A:J,MATCH(Orçamentária!A1894,Composições!A:A,0),8),2,0)</f>
        <v>1.3964999999999999</v>
      </c>
      <c r="F1894" s="136">
        <f t="shared" ca="1" si="111"/>
        <v>0</v>
      </c>
      <c r="G1894" s="137" t="e">
        <f>IF(A1894&lt;&gt;"",IF(AND(#REF!="Padrão",$H$4=#REF!),BDI!$B$17,IF(AND(#REF!="Padrão",$H$4=#REF!),BDI!#REF!,IF(AND(#REF!="Diferenciado",$H$4=#REF!),BDI!$E$17,IF(AND(#REF!="Diferenciado",$H$4=#REF!),BDI!#REF!,IF(#REF!="ZERO",0))))),"")</f>
        <v>#REF!</v>
      </c>
      <c r="H1894" s="138" t="e">
        <f t="shared" ca="1" si="112"/>
        <v>#REF!</v>
      </c>
      <c r="I1894" s="136" t="e">
        <f t="shared" ca="1" si="113"/>
        <v>#REF!</v>
      </c>
    </row>
    <row r="1895" spans="1:9" hidden="1" x14ac:dyDescent="0.25">
      <c r="A1895" s="114" t="s">
        <v>5614</v>
      </c>
      <c r="B1895" s="115" t="s">
        <v>4406</v>
      </c>
      <c r="C1895" s="116" t="s">
        <v>20</v>
      </c>
      <c r="D1895" s="116">
        <v>0</v>
      </c>
      <c r="E1895" s="135">
        <f ca="1">OFFSET(INDEX(Composições!A:J,MATCH(Orçamentária!A1895,Composições!A:A,0),8),2,0)</f>
        <v>2.9924999999999997</v>
      </c>
      <c r="F1895" s="136">
        <f t="shared" ca="1" si="111"/>
        <v>0</v>
      </c>
      <c r="G1895" s="137" t="e">
        <f>IF(A1895&lt;&gt;"",IF(AND(#REF!="Padrão",$H$4=#REF!),BDI!$B$17,IF(AND(#REF!="Padrão",$H$4=#REF!),BDI!#REF!,IF(AND(#REF!="Diferenciado",$H$4=#REF!),BDI!$E$17,IF(AND(#REF!="Diferenciado",$H$4=#REF!),BDI!#REF!,IF(#REF!="ZERO",0))))),"")</f>
        <v>#REF!</v>
      </c>
      <c r="H1895" s="138" t="e">
        <f t="shared" ca="1" si="112"/>
        <v>#REF!</v>
      </c>
      <c r="I1895" s="136" t="e">
        <f t="shared" ca="1" si="113"/>
        <v>#REF!</v>
      </c>
    </row>
    <row r="1896" spans="1:9" hidden="1" x14ac:dyDescent="0.25">
      <c r="A1896" s="114" t="s">
        <v>5615</v>
      </c>
      <c r="B1896" s="115" t="s">
        <v>4407</v>
      </c>
      <c r="C1896" s="116" t="s">
        <v>93</v>
      </c>
      <c r="D1896" s="116">
        <v>0</v>
      </c>
      <c r="E1896" s="135">
        <f ca="1">OFFSET(INDEX(Composições!A:J,MATCH(Orçamentária!A1896,Composições!A:A,0),8),2,0)</f>
        <v>8.6165000000000003</v>
      </c>
      <c r="F1896" s="136">
        <f t="shared" ca="1" si="111"/>
        <v>0</v>
      </c>
      <c r="G1896" s="137" t="e">
        <f>IF(A1896&lt;&gt;"",IF(AND(#REF!="Padrão",$H$4=#REF!),BDI!$B$17,IF(AND(#REF!="Padrão",$H$4=#REF!),BDI!#REF!,IF(AND(#REF!="Diferenciado",$H$4=#REF!),BDI!$E$17,IF(AND(#REF!="Diferenciado",$H$4=#REF!),BDI!#REF!,IF(#REF!="ZERO",0))))),"")</f>
        <v>#REF!</v>
      </c>
      <c r="H1896" s="138" t="e">
        <f t="shared" ca="1" si="112"/>
        <v>#REF!</v>
      </c>
      <c r="I1896" s="136" t="e">
        <f t="shared" ca="1" si="113"/>
        <v>#REF!</v>
      </c>
    </row>
    <row r="1897" spans="1:9" hidden="1" x14ac:dyDescent="0.25">
      <c r="A1897" s="114" t="s">
        <v>5616</v>
      </c>
      <c r="B1897" s="115" t="s">
        <v>4408</v>
      </c>
      <c r="C1897" s="116" t="s">
        <v>20</v>
      </c>
      <c r="D1897" s="116">
        <v>0</v>
      </c>
      <c r="E1897" s="135">
        <f ca="1">OFFSET(INDEX(Composições!A:J,MATCH(Orçamentária!A1897,Composições!A:A,0),8),2,0)</f>
        <v>2.1659999999999999</v>
      </c>
      <c r="F1897" s="136">
        <f t="shared" ca="1" si="111"/>
        <v>0</v>
      </c>
      <c r="G1897" s="137" t="e">
        <f>IF(A1897&lt;&gt;"",IF(AND(#REF!="Padrão",$H$4=#REF!),BDI!$B$17,IF(AND(#REF!="Padrão",$H$4=#REF!),BDI!#REF!,IF(AND(#REF!="Diferenciado",$H$4=#REF!),BDI!$E$17,IF(AND(#REF!="Diferenciado",$H$4=#REF!),BDI!#REF!,IF(#REF!="ZERO",0))))),"")</f>
        <v>#REF!</v>
      </c>
      <c r="H1897" s="138" t="e">
        <f t="shared" ca="1" si="112"/>
        <v>#REF!</v>
      </c>
      <c r="I1897" s="136" t="e">
        <f t="shared" ca="1" si="113"/>
        <v>#REF!</v>
      </c>
    </row>
    <row r="1898" spans="1:9" hidden="1" x14ac:dyDescent="0.25">
      <c r="A1898" s="114" t="s">
        <v>5617</v>
      </c>
      <c r="B1898" s="115" t="s">
        <v>4409</v>
      </c>
      <c r="C1898" s="116" t="s">
        <v>20</v>
      </c>
      <c r="D1898" s="116">
        <v>0</v>
      </c>
      <c r="E1898" s="135">
        <f ca="1">OFFSET(INDEX(Composições!A:J,MATCH(Orçamentária!A1898,Composições!A:A,0),8),2,0)</f>
        <v>3.9425000000000003</v>
      </c>
      <c r="F1898" s="136">
        <f t="shared" ca="1" si="111"/>
        <v>0</v>
      </c>
      <c r="G1898" s="137" t="e">
        <f>IF(A1898&lt;&gt;"",IF(AND(#REF!="Padrão",$H$4=#REF!),BDI!$B$17,IF(AND(#REF!="Padrão",$H$4=#REF!),BDI!#REF!,IF(AND(#REF!="Diferenciado",$H$4=#REF!),BDI!$E$17,IF(AND(#REF!="Diferenciado",$H$4=#REF!),BDI!#REF!,IF(#REF!="ZERO",0))))),"")</f>
        <v>#REF!</v>
      </c>
      <c r="H1898" s="138" t="e">
        <f t="shared" ca="1" si="112"/>
        <v>#REF!</v>
      </c>
      <c r="I1898" s="136" t="e">
        <f t="shared" ca="1" si="113"/>
        <v>#REF!</v>
      </c>
    </row>
    <row r="1899" spans="1:9" hidden="1" x14ac:dyDescent="0.25">
      <c r="A1899" s="114" t="s">
        <v>5618</v>
      </c>
      <c r="B1899" s="115" t="s">
        <v>4410</v>
      </c>
      <c r="C1899" s="116" t="s">
        <v>93</v>
      </c>
      <c r="D1899" s="116">
        <v>0</v>
      </c>
      <c r="E1899" s="135">
        <f ca="1">OFFSET(INDEX(Composições!A:J,MATCH(Orçamentária!A1899,Composições!A:A,0),8),2,0)</f>
        <v>9.4619999999999997</v>
      </c>
      <c r="F1899" s="136">
        <f t="shared" ca="1" si="111"/>
        <v>0</v>
      </c>
      <c r="G1899" s="137" t="e">
        <f>IF(A1899&lt;&gt;"",IF(AND(#REF!="Padrão",$H$4=#REF!),BDI!$B$17,IF(AND(#REF!="Padrão",$H$4=#REF!),BDI!#REF!,IF(AND(#REF!="Diferenciado",$H$4=#REF!),BDI!$E$17,IF(AND(#REF!="Diferenciado",$H$4=#REF!),BDI!#REF!,IF(#REF!="ZERO",0))))),"")</f>
        <v>#REF!</v>
      </c>
      <c r="H1899" s="138" t="e">
        <f t="shared" ca="1" si="112"/>
        <v>#REF!</v>
      </c>
      <c r="I1899" s="136" t="e">
        <f t="shared" ca="1" si="113"/>
        <v>#REF!</v>
      </c>
    </row>
    <row r="1900" spans="1:9" hidden="1" x14ac:dyDescent="0.25">
      <c r="A1900" s="114" t="s">
        <v>5619</v>
      </c>
      <c r="B1900" s="115" t="s">
        <v>4411</v>
      </c>
      <c r="C1900" s="116" t="s">
        <v>20</v>
      </c>
      <c r="D1900" s="116">
        <v>0</v>
      </c>
      <c r="E1900" s="135">
        <f ca="1">OFFSET(INDEX(Composições!A:J,MATCH(Orçamentária!A1900,Composições!A:A,0),8),2,0)</f>
        <v>2.9830000000000001</v>
      </c>
      <c r="F1900" s="136">
        <f t="shared" ca="1" si="111"/>
        <v>0</v>
      </c>
      <c r="G1900" s="137" t="e">
        <f>IF(A1900&lt;&gt;"",IF(AND(#REF!="Padrão",$H$4=#REF!),BDI!$B$17,IF(AND(#REF!="Padrão",$H$4=#REF!),BDI!#REF!,IF(AND(#REF!="Diferenciado",$H$4=#REF!),BDI!$E$17,IF(AND(#REF!="Diferenciado",$H$4=#REF!),BDI!#REF!,IF(#REF!="ZERO",0))))),"")</f>
        <v>#REF!</v>
      </c>
      <c r="H1900" s="138" t="e">
        <f t="shared" ca="1" si="112"/>
        <v>#REF!</v>
      </c>
      <c r="I1900" s="136" t="e">
        <f t="shared" ca="1" si="113"/>
        <v>#REF!</v>
      </c>
    </row>
    <row r="1901" spans="1:9" hidden="1" x14ac:dyDescent="0.25">
      <c r="A1901" s="114" t="s">
        <v>5620</v>
      </c>
      <c r="B1901" s="115" t="s">
        <v>4412</v>
      </c>
      <c r="C1901" s="116" t="s">
        <v>20</v>
      </c>
      <c r="D1901" s="116">
        <v>0</v>
      </c>
      <c r="E1901" s="135">
        <f ca="1">OFFSET(INDEX(Composições!A:J,MATCH(Orçamentária!A1901,Composições!A:A,0),8),2,0)</f>
        <v>4.7785000000000002</v>
      </c>
      <c r="F1901" s="136">
        <f t="shared" ref="F1901:F1964" ca="1" si="114">IF(ISNUMBER(E1901),D1901*E1901,"")</f>
        <v>0</v>
      </c>
      <c r="G1901" s="137" t="e">
        <f>IF(A1901&lt;&gt;"",IF(AND(#REF!="Padrão",$H$4=#REF!),BDI!$B$17,IF(AND(#REF!="Padrão",$H$4=#REF!),BDI!#REF!,IF(AND(#REF!="Diferenciado",$H$4=#REF!),BDI!$E$17,IF(AND(#REF!="Diferenciado",$H$4=#REF!),BDI!#REF!,IF(#REF!="ZERO",0))))),"")</f>
        <v>#REF!</v>
      </c>
      <c r="H1901" s="138" t="e">
        <f t="shared" ref="H1901:H1964" ca="1" si="115">IF(ISNUMBER(E1901),ROUND(E1901*(1+G1901),2),"")</f>
        <v>#REF!</v>
      </c>
      <c r="I1901" s="136" t="e">
        <f t="shared" ref="I1901:I1964" ca="1" si="116">IF(ISNUMBER(E1901),ROUND(H1901*D1901,2),"")</f>
        <v>#REF!</v>
      </c>
    </row>
    <row r="1902" spans="1:9" hidden="1" x14ac:dyDescent="0.25">
      <c r="A1902" s="114" t="s">
        <v>5621</v>
      </c>
      <c r="B1902" s="115" t="s">
        <v>4413</v>
      </c>
      <c r="C1902" s="116" t="s">
        <v>93</v>
      </c>
      <c r="D1902" s="116">
        <v>0</v>
      </c>
      <c r="E1902" s="135">
        <f ca="1">OFFSET(INDEX(Composições!A:J,MATCH(Orçamentária!A1902,Composições!A:A,0),8),2,0)</f>
        <v>15.466000000000001</v>
      </c>
      <c r="F1902" s="136">
        <f t="shared" ca="1" si="114"/>
        <v>0</v>
      </c>
      <c r="G1902" s="137" t="e">
        <f>IF(A1902&lt;&gt;"",IF(AND(#REF!="Padrão",$H$4=#REF!),BDI!$B$17,IF(AND(#REF!="Padrão",$H$4=#REF!),BDI!#REF!,IF(AND(#REF!="Diferenciado",$H$4=#REF!),BDI!$E$17,IF(AND(#REF!="Diferenciado",$H$4=#REF!),BDI!#REF!,IF(#REF!="ZERO",0))))),"")</f>
        <v>#REF!</v>
      </c>
      <c r="H1902" s="138" t="e">
        <f t="shared" ca="1" si="115"/>
        <v>#REF!</v>
      </c>
      <c r="I1902" s="136" t="e">
        <f t="shared" ca="1" si="116"/>
        <v>#REF!</v>
      </c>
    </row>
    <row r="1903" spans="1:9" hidden="1" x14ac:dyDescent="0.25">
      <c r="A1903" s="114" t="s">
        <v>5622</v>
      </c>
      <c r="B1903" s="115" t="s">
        <v>4414</v>
      </c>
      <c r="C1903" s="116" t="s">
        <v>20</v>
      </c>
      <c r="D1903" s="116">
        <v>0</v>
      </c>
      <c r="E1903" s="135">
        <f ca="1">OFFSET(INDEX(Composições!A:J,MATCH(Orçamentária!A1903,Composições!A:A,0),8),2,0)</f>
        <v>4.3129999999999997</v>
      </c>
      <c r="F1903" s="136">
        <f t="shared" ca="1" si="114"/>
        <v>0</v>
      </c>
      <c r="G1903" s="137" t="e">
        <f>IF(A1903&lt;&gt;"",IF(AND(#REF!="Padrão",$H$4=#REF!),BDI!$B$17,IF(AND(#REF!="Padrão",$H$4=#REF!),BDI!#REF!,IF(AND(#REF!="Diferenciado",$H$4=#REF!),BDI!$E$17,IF(AND(#REF!="Diferenciado",$H$4=#REF!),BDI!#REF!,IF(#REF!="ZERO",0))))),"")</f>
        <v>#REF!</v>
      </c>
      <c r="H1903" s="138" t="e">
        <f t="shared" ca="1" si="115"/>
        <v>#REF!</v>
      </c>
      <c r="I1903" s="136" t="e">
        <f t="shared" ca="1" si="116"/>
        <v>#REF!</v>
      </c>
    </row>
    <row r="1904" spans="1:9" hidden="1" x14ac:dyDescent="0.25">
      <c r="A1904" s="114" t="s">
        <v>5623</v>
      </c>
      <c r="B1904" s="115" t="s">
        <v>4415</v>
      </c>
      <c r="C1904" s="116" t="s">
        <v>20</v>
      </c>
      <c r="D1904" s="116">
        <v>0</v>
      </c>
      <c r="E1904" s="135">
        <f ca="1">OFFSET(INDEX(Composições!A:J,MATCH(Orçamentária!A1904,Composições!A:A,0),8),2,0)</f>
        <v>7.770999999999999</v>
      </c>
      <c r="F1904" s="136">
        <f t="shared" ca="1" si="114"/>
        <v>0</v>
      </c>
      <c r="G1904" s="137" t="e">
        <f>IF(A1904&lt;&gt;"",IF(AND(#REF!="Padrão",$H$4=#REF!),BDI!$B$17,IF(AND(#REF!="Padrão",$H$4=#REF!),BDI!#REF!,IF(AND(#REF!="Diferenciado",$H$4=#REF!),BDI!$E$17,IF(AND(#REF!="Diferenciado",$H$4=#REF!),BDI!#REF!,IF(#REF!="ZERO",0))))),"")</f>
        <v>#REF!</v>
      </c>
      <c r="H1904" s="138" t="e">
        <f t="shared" ca="1" si="115"/>
        <v>#REF!</v>
      </c>
      <c r="I1904" s="136" t="e">
        <f t="shared" ca="1" si="116"/>
        <v>#REF!</v>
      </c>
    </row>
    <row r="1905" spans="1:9" hidden="1" x14ac:dyDescent="0.25">
      <c r="A1905" s="114" t="s">
        <v>5624</v>
      </c>
      <c r="B1905" s="115" t="s">
        <v>4416</v>
      </c>
      <c r="C1905" s="116" t="s">
        <v>93</v>
      </c>
      <c r="D1905" s="116">
        <v>0</v>
      </c>
      <c r="E1905" s="135">
        <f ca="1">OFFSET(INDEX(Composições!A:J,MATCH(Orçamentária!A1905,Composições!A:A,0),8),2,0)</f>
        <v>28.31</v>
      </c>
      <c r="F1905" s="136">
        <f t="shared" ca="1" si="114"/>
        <v>0</v>
      </c>
      <c r="G1905" s="137" t="e">
        <f>IF(A1905&lt;&gt;"",IF(AND(#REF!="Padrão",$H$4=#REF!),BDI!$B$17,IF(AND(#REF!="Padrão",$H$4=#REF!),BDI!#REF!,IF(AND(#REF!="Diferenciado",$H$4=#REF!),BDI!$E$17,IF(AND(#REF!="Diferenciado",$H$4=#REF!),BDI!#REF!,IF(#REF!="ZERO",0))))),"")</f>
        <v>#REF!</v>
      </c>
      <c r="H1905" s="138" t="e">
        <f t="shared" ca="1" si="115"/>
        <v>#REF!</v>
      </c>
      <c r="I1905" s="136" t="e">
        <f t="shared" ca="1" si="116"/>
        <v>#REF!</v>
      </c>
    </row>
    <row r="1906" spans="1:9" hidden="1" x14ac:dyDescent="0.25">
      <c r="A1906" s="114" t="s">
        <v>5625</v>
      </c>
      <c r="B1906" s="115" t="s">
        <v>4417</v>
      </c>
      <c r="C1906" s="116" t="s">
        <v>20</v>
      </c>
      <c r="D1906" s="116">
        <v>0</v>
      </c>
      <c r="E1906" s="135">
        <f ca="1">OFFSET(INDEX(Composições!A:J,MATCH(Orçamentária!A1906,Composições!A:A,0),8),2,0)</f>
        <v>12.891499999999999</v>
      </c>
      <c r="F1906" s="136">
        <f t="shared" ca="1" si="114"/>
        <v>0</v>
      </c>
      <c r="G1906" s="137" t="e">
        <f>IF(A1906&lt;&gt;"",IF(AND(#REF!="Padrão",$H$4=#REF!),BDI!$B$17,IF(AND(#REF!="Padrão",$H$4=#REF!),BDI!#REF!,IF(AND(#REF!="Diferenciado",$H$4=#REF!),BDI!$E$17,IF(AND(#REF!="Diferenciado",$H$4=#REF!),BDI!#REF!,IF(#REF!="ZERO",0))))),"")</f>
        <v>#REF!</v>
      </c>
      <c r="H1906" s="138" t="e">
        <f t="shared" ca="1" si="115"/>
        <v>#REF!</v>
      </c>
      <c r="I1906" s="136" t="e">
        <f t="shared" ca="1" si="116"/>
        <v>#REF!</v>
      </c>
    </row>
    <row r="1907" spans="1:9" hidden="1" x14ac:dyDescent="0.25">
      <c r="A1907" s="114" t="s">
        <v>5626</v>
      </c>
      <c r="B1907" s="115" t="s">
        <v>4418</v>
      </c>
      <c r="C1907" s="116" t="s">
        <v>20</v>
      </c>
      <c r="D1907" s="116">
        <v>0</v>
      </c>
      <c r="E1907" s="135">
        <f ca="1">OFFSET(INDEX(Composições!A:J,MATCH(Orçamentária!A1907,Composições!A:A,0),8),2,0)</f>
        <v>19.845500000000001</v>
      </c>
      <c r="F1907" s="136">
        <f t="shared" ca="1" si="114"/>
        <v>0</v>
      </c>
      <c r="G1907" s="137" t="e">
        <f>IF(A1907&lt;&gt;"",IF(AND(#REF!="Padrão",$H$4=#REF!),BDI!$B$17,IF(AND(#REF!="Padrão",$H$4=#REF!),BDI!#REF!,IF(AND(#REF!="Diferenciado",$H$4=#REF!),BDI!$E$17,IF(AND(#REF!="Diferenciado",$H$4=#REF!),BDI!#REF!,IF(#REF!="ZERO",0))))),"")</f>
        <v>#REF!</v>
      </c>
      <c r="H1907" s="138" t="e">
        <f t="shared" ca="1" si="115"/>
        <v>#REF!</v>
      </c>
      <c r="I1907" s="136" t="e">
        <f t="shared" ca="1" si="116"/>
        <v>#REF!</v>
      </c>
    </row>
    <row r="1908" spans="1:9" hidden="1" x14ac:dyDescent="0.25">
      <c r="A1908" s="114" t="s">
        <v>5627</v>
      </c>
      <c r="B1908" s="115" t="s">
        <v>4419</v>
      </c>
      <c r="C1908" s="116" t="s">
        <v>20</v>
      </c>
      <c r="D1908" s="116">
        <v>0</v>
      </c>
      <c r="E1908" s="135" t="s">
        <v>558</v>
      </c>
      <c r="F1908" s="136" t="str">
        <f t="shared" si="114"/>
        <v/>
      </c>
      <c r="G1908" s="137" t="e">
        <f>IF(A1908&lt;&gt;"",IF(AND(#REF!="Padrão",$H$4=#REF!),BDI!$B$17,IF(AND(#REF!="Padrão",$H$4=#REF!),BDI!#REF!,IF(AND(#REF!="Diferenciado",$H$4=#REF!),BDI!$E$17,IF(AND(#REF!="Diferenciado",$H$4=#REF!),BDI!#REF!,IF(#REF!="ZERO",0))))),"")</f>
        <v>#REF!</v>
      </c>
      <c r="H1908" s="138" t="str">
        <f t="shared" si="115"/>
        <v/>
      </c>
      <c r="I1908" s="136" t="str">
        <f t="shared" si="116"/>
        <v/>
      </c>
    </row>
    <row r="1909" spans="1:9" hidden="1" x14ac:dyDescent="0.25">
      <c r="A1909" s="114" t="s">
        <v>5628</v>
      </c>
      <c r="B1909" s="115" t="s">
        <v>4420</v>
      </c>
      <c r="C1909" s="116" t="s">
        <v>20</v>
      </c>
      <c r="D1909" s="116">
        <v>0</v>
      </c>
      <c r="E1909" s="135" t="s">
        <v>558</v>
      </c>
      <c r="F1909" s="136" t="str">
        <f t="shared" si="114"/>
        <v/>
      </c>
      <c r="G1909" s="137" t="e">
        <f>IF(A1909&lt;&gt;"",IF(AND(#REF!="Padrão",$H$4=#REF!),BDI!$B$17,IF(AND(#REF!="Padrão",$H$4=#REF!),BDI!#REF!,IF(AND(#REF!="Diferenciado",$H$4=#REF!),BDI!$E$17,IF(AND(#REF!="Diferenciado",$H$4=#REF!),BDI!#REF!,IF(#REF!="ZERO",0))))),"")</f>
        <v>#REF!</v>
      </c>
      <c r="H1909" s="138" t="str">
        <f t="shared" si="115"/>
        <v/>
      </c>
      <c r="I1909" s="136" t="str">
        <f t="shared" si="116"/>
        <v/>
      </c>
    </row>
    <row r="1910" spans="1:9" hidden="1" x14ac:dyDescent="0.25">
      <c r="A1910" s="114" t="s">
        <v>5629</v>
      </c>
      <c r="B1910" s="115" t="s">
        <v>4421</v>
      </c>
      <c r="C1910" s="116" t="s">
        <v>20</v>
      </c>
      <c r="D1910" s="116">
        <v>0</v>
      </c>
      <c r="E1910" s="135" t="s">
        <v>558</v>
      </c>
      <c r="F1910" s="136" t="str">
        <f t="shared" si="114"/>
        <v/>
      </c>
      <c r="G1910" s="137" t="e">
        <f>IF(A1910&lt;&gt;"",IF(AND(#REF!="Padrão",$H$4=#REF!),BDI!$B$17,IF(AND(#REF!="Padrão",$H$4=#REF!),BDI!#REF!,IF(AND(#REF!="Diferenciado",$H$4=#REF!),BDI!$E$17,IF(AND(#REF!="Diferenciado",$H$4=#REF!),BDI!#REF!,IF(#REF!="ZERO",0))))),"")</f>
        <v>#REF!</v>
      </c>
      <c r="H1910" s="138" t="str">
        <f t="shared" si="115"/>
        <v/>
      </c>
      <c r="I1910" s="136" t="str">
        <f t="shared" si="116"/>
        <v/>
      </c>
    </row>
    <row r="1911" spans="1:9" hidden="1" x14ac:dyDescent="0.25">
      <c r="A1911" s="114" t="s">
        <v>5630</v>
      </c>
      <c r="B1911" s="115" t="s">
        <v>4422</v>
      </c>
      <c r="C1911" s="116" t="s">
        <v>20</v>
      </c>
      <c r="D1911" s="116">
        <v>0</v>
      </c>
      <c r="E1911" s="135" t="s">
        <v>558</v>
      </c>
      <c r="F1911" s="136" t="str">
        <f t="shared" si="114"/>
        <v/>
      </c>
      <c r="G1911" s="137" t="e">
        <f>IF(A1911&lt;&gt;"",IF(AND(#REF!="Padrão",$H$4=#REF!),BDI!$B$17,IF(AND(#REF!="Padrão",$H$4=#REF!),BDI!#REF!,IF(AND(#REF!="Diferenciado",$H$4=#REF!),BDI!$E$17,IF(AND(#REF!="Diferenciado",$H$4=#REF!),BDI!#REF!,IF(#REF!="ZERO",0))))),"")</f>
        <v>#REF!</v>
      </c>
      <c r="H1911" s="138" t="str">
        <f t="shared" si="115"/>
        <v/>
      </c>
      <c r="I1911" s="136" t="str">
        <f t="shared" si="116"/>
        <v/>
      </c>
    </row>
    <row r="1912" spans="1:9" hidden="1" x14ac:dyDescent="0.25">
      <c r="A1912" s="114" t="s">
        <v>5631</v>
      </c>
      <c r="B1912" s="115" t="s">
        <v>4423</v>
      </c>
      <c r="C1912" s="116" t="s">
        <v>20</v>
      </c>
      <c r="D1912" s="116">
        <v>0</v>
      </c>
      <c r="E1912" s="135" t="s">
        <v>558</v>
      </c>
      <c r="F1912" s="136" t="str">
        <f t="shared" si="114"/>
        <v/>
      </c>
      <c r="G1912" s="137" t="e">
        <f>IF(A1912&lt;&gt;"",IF(AND(#REF!="Padrão",$H$4=#REF!),BDI!$B$17,IF(AND(#REF!="Padrão",$H$4=#REF!),BDI!#REF!,IF(AND(#REF!="Diferenciado",$H$4=#REF!),BDI!$E$17,IF(AND(#REF!="Diferenciado",$H$4=#REF!),BDI!#REF!,IF(#REF!="ZERO",0))))),"")</f>
        <v>#REF!</v>
      </c>
      <c r="H1912" s="138" t="str">
        <f t="shared" si="115"/>
        <v/>
      </c>
      <c r="I1912" s="136" t="str">
        <f t="shared" si="116"/>
        <v/>
      </c>
    </row>
    <row r="1913" spans="1:9" hidden="1" x14ac:dyDescent="0.25">
      <c r="A1913" s="114" t="s">
        <v>5632</v>
      </c>
      <c r="B1913" s="115" t="s">
        <v>4424</v>
      </c>
      <c r="C1913" s="116" t="s">
        <v>20</v>
      </c>
      <c r="D1913" s="116">
        <v>0</v>
      </c>
      <c r="E1913" s="135" t="s">
        <v>558</v>
      </c>
      <c r="F1913" s="136" t="str">
        <f t="shared" si="114"/>
        <v/>
      </c>
      <c r="G1913" s="137" t="e">
        <f>IF(A1913&lt;&gt;"",IF(AND(#REF!="Padrão",$H$4=#REF!),BDI!$B$17,IF(AND(#REF!="Padrão",$H$4=#REF!),BDI!#REF!,IF(AND(#REF!="Diferenciado",$H$4=#REF!),BDI!$E$17,IF(AND(#REF!="Diferenciado",$H$4=#REF!),BDI!#REF!,IF(#REF!="ZERO",0))))),"")</f>
        <v>#REF!</v>
      </c>
      <c r="H1913" s="138" t="str">
        <f t="shared" si="115"/>
        <v/>
      </c>
      <c r="I1913" s="136" t="str">
        <f t="shared" si="116"/>
        <v/>
      </c>
    </row>
    <row r="1914" spans="1:9" hidden="1" x14ac:dyDescent="0.25">
      <c r="A1914" s="114" t="s">
        <v>5633</v>
      </c>
      <c r="B1914" s="115" t="s">
        <v>4425</v>
      </c>
      <c r="C1914" s="116" t="s">
        <v>20</v>
      </c>
      <c r="D1914" s="116">
        <v>0</v>
      </c>
      <c r="E1914" s="135" t="s">
        <v>558</v>
      </c>
      <c r="F1914" s="136" t="str">
        <f t="shared" si="114"/>
        <v/>
      </c>
      <c r="G1914" s="137" t="e">
        <f>IF(A1914&lt;&gt;"",IF(AND(#REF!="Padrão",$H$4=#REF!),BDI!$B$17,IF(AND(#REF!="Padrão",$H$4=#REF!),BDI!#REF!,IF(AND(#REF!="Diferenciado",$H$4=#REF!),BDI!$E$17,IF(AND(#REF!="Diferenciado",$H$4=#REF!),BDI!#REF!,IF(#REF!="ZERO",0))))),"")</f>
        <v>#REF!</v>
      </c>
      <c r="H1914" s="138" t="str">
        <f t="shared" si="115"/>
        <v/>
      </c>
      <c r="I1914" s="136" t="str">
        <f t="shared" si="116"/>
        <v/>
      </c>
    </row>
    <row r="1915" spans="1:9" hidden="1" x14ac:dyDescent="0.25">
      <c r="A1915" s="114" t="s">
        <v>5634</v>
      </c>
      <c r="B1915" s="115" t="s">
        <v>4426</v>
      </c>
      <c r="C1915" s="116" t="s">
        <v>20</v>
      </c>
      <c r="D1915" s="116">
        <v>0</v>
      </c>
      <c r="E1915" s="135" t="s">
        <v>558</v>
      </c>
      <c r="F1915" s="136" t="str">
        <f t="shared" si="114"/>
        <v/>
      </c>
      <c r="G1915" s="137" t="e">
        <f>IF(A1915&lt;&gt;"",IF(AND(#REF!="Padrão",$H$4=#REF!),BDI!$B$17,IF(AND(#REF!="Padrão",$H$4=#REF!),BDI!#REF!,IF(AND(#REF!="Diferenciado",$H$4=#REF!),BDI!$E$17,IF(AND(#REF!="Diferenciado",$H$4=#REF!),BDI!#REF!,IF(#REF!="ZERO",0))))),"")</f>
        <v>#REF!</v>
      </c>
      <c r="H1915" s="138" t="str">
        <f t="shared" si="115"/>
        <v/>
      </c>
      <c r="I1915" s="136" t="str">
        <f t="shared" si="116"/>
        <v/>
      </c>
    </row>
    <row r="1916" spans="1:9" hidden="1" x14ac:dyDescent="0.25">
      <c r="A1916" s="114" t="s">
        <v>5635</v>
      </c>
      <c r="B1916" s="115" t="s">
        <v>4427</v>
      </c>
      <c r="C1916" s="116" t="s">
        <v>20</v>
      </c>
      <c r="D1916" s="116">
        <v>0</v>
      </c>
      <c r="E1916" s="135" t="s">
        <v>558</v>
      </c>
      <c r="F1916" s="136" t="str">
        <f t="shared" si="114"/>
        <v/>
      </c>
      <c r="G1916" s="137" t="e">
        <f>IF(A1916&lt;&gt;"",IF(AND(#REF!="Padrão",$H$4=#REF!),BDI!$B$17,IF(AND(#REF!="Padrão",$H$4=#REF!),BDI!#REF!,IF(AND(#REF!="Diferenciado",$H$4=#REF!),BDI!$E$17,IF(AND(#REF!="Diferenciado",$H$4=#REF!),BDI!#REF!,IF(#REF!="ZERO",0))))),"")</f>
        <v>#REF!</v>
      </c>
      <c r="H1916" s="138" t="str">
        <f t="shared" si="115"/>
        <v/>
      </c>
      <c r="I1916" s="136" t="str">
        <f t="shared" si="116"/>
        <v/>
      </c>
    </row>
    <row r="1917" spans="1:9" hidden="1" x14ac:dyDescent="0.25">
      <c r="A1917" s="114" t="s">
        <v>5636</v>
      </c>
      <c r="B1917" s="115" t="s">
        <v>4428</v>
      </c>
      <c r="C1917" s="116" t="s">
        <v>20</v>
      </c>
      <c r="D1917" s="116">
        <v>0</v>
      </c>
      <c r="E1917" s="135" t="s">
        <v>558</v>
      </c>
      <c r="F1917" s="136" t="str">
        <f t="shared" si="114"/>
        <v/>
      </c>
      <c r="G1917" s="137" t="e">
        <f>IF(A1917&lt;&gt;"",IF(AND(#REF!="Padrão",$H$4=#REF!),BDI!$B$17,IF(AND(#REF!="Padrão",$H$4=#REF!),BDI!#REF!,IF(AND(#REF!="Diferenciado",$H$4=#REF!),BDI!$E$17,IF(AND(#REF!="Diferenciado",$H$4=#REF!),BDI!#REF!,IF(#REF!="ZERO",0))))),"")</f>
        <v>#REF!</v>
      </c>
      <c r="H1917" s="138" t="str">
        <f t="shared" si="115"/>
        <v/>
      </c>
      <c r="I1917" s="136" t="str">
        <f t="shared" si="116"/>
        <v/>
      </c>
    </row>
    <row r="1918" spans="1:9" hidden="1" x14ac:dyDescent="0.25">
      <c r="A1918" s="114" t="s">
        <v>5637</v>
      </c>
      <c r="B1918" s="115" t="s">
        <v>4429</v>
      </c>
      <c r="C1918" s="116" t="s">
        <v>20</v>
      </c>
      <c r="D1918" s="116">
        <v>0</v>
      </c>
      <c r="E1918" s="135" t="s">
        <v>558</v>
      </c>
      <c r="F1918" s="136" t="str">
        <f t="shared" si="114"/>
        <v/>
      </c>
      <c r="G1918" s="137" t="e">
        <f>IF(A1918&lt;&gt;"",IF(AND(#REF!="Padrão",$H$4=#REF!),BDI!$B$17,IF(AND(#REF!="Padrão",$H$4=#REF!),BDI!#REF!,IF(AND(#REF!="Diferenciado",$H$4=#REF!),BDI!$E$17,IF(AND(#REF!="Diferenciado",$H$4=#REF!),BDI!#REF!,IF(#REF!="ZERO",0))))),"")</f>
        <v>#REF!</v>
      </c>
      <c r="H1918" s="138" t="str">
        <f t="shared" si="115"/>
        <v/>
      </c>
      <c r="I1918" s="136" t="str">
        <f t="shared" si="116"/>
        <v/>
      </c>
    </row>
    <row r="1919" spans="1:9" hidden="1" x14ac:dyDescent="0.25">
      <c r="A1919" s="114" t="s">
        <v>5638</v>
      </c>
      <c r="B1919" s="115" t="s">
        <v>4430</v>
      </c>
      <c r="C1919" s="116" t="s">
        <v>20</v>
      </c>
      <c r="D1919" s="116">
        <v>0</v>
      </c>
      <c r="E1919" s="135" t="s">
        <v>558</v>
      </c>
      <c r="F1919" s="136" t="str">
        <f t="shared" si="114"/>
        <v/>
      </c>
      <c r="G1919" s="137" t="e">
        <f>IF(A1919&lt;&gt;"",IF(AND(#REF!="Padrão",$H$4=#REF!),BDI!$B$17,IF(AND(#REF!="Padrão",$H$4=#REF!),BDI!#REF!,IF(AND(#REF!="Diferenciado",$H$4=#REF!),BDI!$E$17,IF(AND(#REF!="Diferenciado",$H$4=#REF!),BDI!#REF!,IF(#REF!="ZERO",0))))),"")</f>
        <v>#REF!</v>
      </c>
      <c r="H1919" s="138" t="str">
        <f t="shared" si="115"/>
        <v/>
      </c>
      <c r="I1919" s="136" t="str">
        <f t="shared" si="116"/>
        <v/>
      </c>
    </row>
    <row r="1920" spans="1:9" hidden="1" x14ac:dyDescent="0.25">
      <c r="A1920" s="114" t="s">
        <v>5639</v>
      </c>
      <c r="B1920" s="115" t="s">
        <v>4431</v>
      </c>
      <c r="C1920" s="116" t="s">
        <v>20</v>
      </c>
      <c r="D1920" s="116">
        <v>0</v>
      </c>
      <c r="E1920" s="135">
        <f ca="1">OFFSET(INDEX(Composições!A:J,MATCH(Orçamentária!A1920,Composições!A:A,0),8),2,0)</f>
        <v>0</v>
      </c>
      <c r="F1920" s="136">
        <f t="shared" ca="1" si="114"/>
        <v>0</v>
      </c>
      <c r="G1920" s="137" t="e">
        <f>IF(A1920&lt;&gt;"",IF(AND(#REF!="Padrão",$H$4=#REF!),BDI!$B$17,IF(AND(#REF!="Padrão",$H$4=#REF!),BDI!#REF!,IF(AND(#REF!="Diferenciado",$H$4=#REF!),BDI!$E$17,IF(AND(#REF!="Diferenciado",$H$4=#REF!),BDI!#REF!,IF(#REF!="ZERO",0))))),"")</f>
        <v>#REF!</v>
      </c>
      <c r="H1920" s="138" t="e">
        <f t="shared" ca="1" si="115"/>
        <v>#REF!</v>
      </c>
      <c r="I1920" s="136" t="e">
        <f t="shared" ca="1" si="116"/>
        <v>#REF!</v>
      </c>
    </row>
    <row r="1921" spans="1:9" hidden="1" x14ac:dyDescent="0.25">
      <c r="A1921" s="114" t="s">
        <v>5640</v>
      </c>
      <c r="B1921" s="115" t="s">
        <v>4432</v>
      </c>
      <c r="C1921" s="116" t="s">
        <v>20</v>
      </c>
      <c r="D1921" s="116">
        <v>0</v>
      </c>
      <c r="E1921" s="135">
        <f ca="1">OFFSET(INDEX(Composições!A:J,MATCH(Orçamentária!A1921,Composições!A:A,0),8),2,0)</f>
        <v>0</v>
      </c>
      <c r="F1921" s="136">
        <f t="shared" ca="1" si="114"/>
        <v>0</v>
      </c>
      <c r="G1921" s="137" t="e">
        <f>IF(A1921&lt;&gt;"",IF(AND(#REF!="Padrão",$H$4=#REF!),BDI!$B$17,IF(AND(#REF!="Padrão",$H$4=#REF!),BDI!#REF!,IF(AND(#REF!="Diferenciado",$H$4=#REF!),BDI!$E$17,IF(AND(#REF!="Diferenciado",$H$4=#REF!),BDI!#REF!,IF(#REF!="ZERO",0))))),"")</f>
        <v>#REF!</v>
      </c>
      <c r="H1921" s="138" t="e">
        <f t="shared" ca="1" si="115"/>
        <v>#REF!</v>
      </c>
      <c r="I1921" s="136" t="e">
        <f t="shared" ca="1" si="116"/>
        <v>#REF!</v>
      </c>
    </row>
    <row r="1922" spans="1:9" hidden="1" x14ac:dyDescent="0.25">
      <c r="A1922" s="114" t="s">
        <v>5641</v>
      </c>
      <c r="B1922" s="115" t="s">
        <v>4433</v>
      </c>
      <c r="C1922" s="116" t="s">
        <v>20</v>
      </c>
      <c r="D1922" s="116">
        <v>0</v>
      </c>
      <c r="E1922" s="135">
        <f ca="1">OFFSET(INDEX(Composições!A:J,MATCH(Orçamentária!A1922,Composições!A:A,0),8),2,0)</f>
        <v>0</v>
      </c>
      <c r="F1922" s="136">
        <f t="shared" ca="1" si="114"/>
        <v>0</v>
      </c>
      <c r="G1922" s="137" t="e">
        <f>IF(A1922&lt;&gt;"",IF(AND(#REF!="Padrão",$H$4=#REF!),BDI!$B$17,IF(AND(#REF!="Padrão",$H$4=#REF!),BDI!#REF!,IF(AND(#REF!="Diferenciado",$H$4=#REF!),BDI!$E$17,IF(AND(#REF!="Diferenciado",$H$4=#REF!),BDI!#REF!,IF(#REF!="ZERO",0))))),"")</f>
        <v>#REF!</v>
      </c>
      <c r="H1922" s="138" t="e">
        <f t="shared" ca="1" si="115"/>
        <v>#REF!</v>
      </c>
      <c r="I1922" s="136" t="e">
        <f t="shared" ca="1" si="116"/>
        <v>#REF!</v>
      </c>
    </row>
    <row r="1923" spans="1:9" hidden="1" x14ac:dyDescent="0.25">
      <c r="A1923" s="114" t="s">
        <v>5642</v>
      </c>
      <c r="B1923" s="115" t="s">
        <v>4434</v>
      </c>
      <c r="C1923" s="116" t="s">
        <v>20</v>
      </c>
      <c r="D1923" s="116">
        <v>0</v>
      </c>
      <c r="E1923" s="135">
        <f ca="1">OFFSET(INDEX(Composições!A:J,MATCH(Orçamentária!A1923,Composições!A:A,0),8),2,0)</f>
        <v>0</v>
      </c>
      <c r="F1923" s="136">
        <f t="shared" ca="1" si="114"/>
        <v>0</v>
      </c>
      <c r="G1923" s="137" t="e">
        <f>IF(A1923&lt;&gt;"",IF(AND(#REF!="Padrão",$H$4=#REF!),BDI!$B$17,IF(AND(#REF!="Padrão",$H$4=#REF!),BDI!#REF!,IF(AND(#REF!="Diferenciado",$H$4=#REF!),BDI!$E$17,IF(AND(#REF!="Diferenciado",$H$4=#REF!),BDI!#REF!,IF(#REF!="ZERO",0))))),"")</f>
        <v>#REF!</v>
      </c>
      <c r="H1923" s="138" t="e">
        <f t="shared" ca="1" si="115"/>
        <v>#REF!</v>
      </c>
      <c r="I1923" s="136" t="e">
        <f t="shared" ca="1" si="116"/>
        <v>#REF!</v>
      </c>
    </row>
    <row r="1924" spans="1:9" hidden="1" x14ac:dyDescent="0.25">
      <c r="A1924" s="114" t="s">
        <v>5643</v>
      </c>
      <c r="B1924" s="115" t="s">
        <v>4435</v>
      </c>
      <c r="C1924" s="116" t="s">
        <v>20</v>
      </c>
      <c r="D1924" s="116">
        <v>0</v>
      </c>
      <c r="E1924" s="135">
        <f ca="1">OFFSET(INDEX(Composições!A:J,MATCH(Orçamentária!A1924,Composições!A:A,0),8),2,0)</f>
        <v>0</v>
      </c>
      <c r="F1924" s="136">
        <f t="shared" ca="1" si="114"/>
        <v>0</v>
      </c>
      <c r="G1924" s="137" t="e">
        <f>IF(A1924&lt;&gt;"",IF(AND(#REF!="Padrão",$H$4=#REF!),BDI!$B$17,IF(AND(#REF!="Padrão",$H$4=#REF!),BDI!#REF!,IF(AND(#REF!="Diferenciado",$H$4=#REF!),BDI!$E$17,IF(AND(#REF!="Diferenciado",$H$4=#REF!),BDI!#REF!,IF(#REF!="ZERO",0))))),"")</f>
        <v>#REF!</v>
      </c>
      <c r="H1924" s="138" t="e">
        <f t="shared" ca="1" si="115"/>
        <v>#REF!</v>
      </c>
      <c r="I1924" s="136" t="e">
        <f t="shared" ca="1" si="116"/>
        <v>#REF!</v>
      </c>
    </row>
    <row r="1925" spans="1:9" hidden="1" x14ac:dyDescent="0.25">
      <c r="A1925" s="114" t="s">
        <v>5644</v>
      </c>
      <c r="B1925" s="115" t="s">
        <v>4436</v>
      </c>
      <c r="C1925" s="116" t="s">
        <v>20</v>
      </c>
      <c r="D1925" s="116">
        <v>0</v>
      </c>
      <c r="E1925" s="135" t="s">
        <v>558</v>
      </c>
      <c r="F1925" s="136" t="str">
        <f t="shared" si="114"/>
        <v/>
      </c>
      <c r="G1925" s="137" t="e">
        <f>IF(A1925&lt;&gt;"",IF(AND(#REF!="Padrão",$H$4=#REF!),BDI!$B$17,IF(AND(#REF!="Padrão",$H$4=#REF!),BDI!#REF!,IF(AND(#REF!="Diferenciado",$H$4=#REF!),BDI!$E$17,IF(AND(#REF!="Diferenciado",$H$4=#REF!),BDI!#REF!,IF(#REF!="ZERO",0))))),"")</f>
        <v>#REF!</v>
      </c>
      <c r="H1925" s="138" t="str">
        <f t="shared" si="115"/>
        <v/>
      </c>
      <c r="I1925" s="136" t="str">
        <f t="shared" si="116"/>
        <v/>
      </c>
    </row>
    <row r="1926" spans="1:9" hidden="1" x14ac:dyDescent="0.25">
      <c r="A1926" s="114" t="s">
        <v>5645</v>
      </c>
      <c r="B1926" s="115" t="s">
        <v>4437</v>
      </c>
      <c r="C1926" s="116" t="s">
        <v>20</v>
      </c>
      <c r="D1926" s="116">
        <v>0</v>
      </c>
      <c r="E1926" s="135">
        <f ca="1">OFFSET(INDEX(Composições!A:J,MATCH(Orçamentária!A1926,Composições!A:A,0),8),2,0)</f>
        <v>0</v>
      </c>
      <c r="F1926" s="136">
        <f t="shared" ca="1" si="114"/>
        <v>0</v>
      </c>
      <c r="G1926" s="137" t="e">
        <f>IF(A1926&lt;&gt;"",IF(AND(#REF!="Padrão",$H$4=#REF!),BDI!$B$17,IF(AND(#REF!="Padrão",$H$4=#REF!),BDI!#REF!,IF(AND(#REF!="Diferenciado",$H$4=#REF!),BDI!$E$17,IF(AND(#REF!="Diferenciado",$H$4=#REF!),BDI!#REF!,IF(#REF!="ZERO",0))))),"")</f>
        <v>#REF!</v>
      </c>
      <c r="H1926" s="138" t="e">
        <f t="shared" ca="1" si="115"/>
        <v>#REF!</v>
      </c>
      <c r="I1926" s="136" t="e">
        <f t="shared" ca="1" si="116"/>
        <v>#REF!</v>
      </c>
    </row>
    <row r="1927" spans="1:9" hidden="1" x14ac:dyDescent="0.25">
      <c r="A1927" s="114" t="s">
        <v>5646</v>
      </c>
      <c r="B1927" s="115" t="s">
        <v>4438</v>
      </c>
      <c r="C1927" s="116" t="s">
        <v>20</v>
      </c>
      <c r="D1927" s="116">
        <v>0</v>
      </c>
      <c r="E1927" s="135" t="s">
        <v>558</v>
      </c>
      <c r="F1927" s="136" t="str">
        <f t="shared" si="114"/>
        <v/>
      </c>
      <c r="G1927" s="137" t="e">
        <f>IF(A1927&lt;&gt;"",IF(AND(#REF!="Padrão",$H$4=#REF!),BDI!$B$17,IF(AND(#REF!="Padrão",$H$4=#REF!),BDI!#REF!,IF(AND(#REF!="Diferenciado",$H$4=#REF!),BDI!$E$17,IF(AND(#REF!="Diferenciado",$H$4=#REF!),BDI!#REF!,IF(#REF!="ZERO",0))))),"")</f>
        <v>#REF!</v>
      </c>
      <c r="H1927" s="138" t="str">
        <f t="shared" si="115"/>
        <v/>
      </c>
      <c r="I1927" s="136" t="str">
        <f t="shared" si="116"/>
        <v/>
      </c>
    </row>
    <row r="1928" spans="1:9" hidden="1" x14ac:dyDescent="0.25">
      <c r="A1928" s="114" t="s">
        <v>5647</v>
      </c>
      <c r="B1928" s="115" t="s">
        <v>4439</v>
      </c>
      <c r="C1928" s="116" t="s">
        <v>20</v>
      </c>
      <c r="D1928" s="116">
        <v>0</v>
      </c>
      <c r="E1928" s="135">
        <f ca="1">OFFSET(INDEX(Composições!A:J,MATCH(Orçamentária!A1928,Composições!A:A,0),8),2,0)</f>
        <v>0</v>
      </c>
      <c r="F1928" s="136">
        <f t="shared" ca="1" si="114"/>
        <v>0</v>
      </c>
      <c r="G1928" s="137" t="e">
        <f>IF(A1928&lt;&gt;"",IF(AND(#REF!="Padrão",$H$4=#REF!),BDI!$B$17,IF(AND(#REF!="Padrão",$H$4=#REF!),BDI!#REF!,IF(AND(#REF!="Diferenciado",$H$4=#REF!),BDI!$E$17,IF(AND(#REF!="Diferenciado",$H$4=#REF!),BDI!#REF!,IF(#REF!="ZERO",0))))),"")</f>
        <v>#REF!</v>
      </c>
      <c r="H1928" s="138" t="e">
        <f t="shared" ca="1" si="115"/>
        <v>#REF!</v>
      </c>
      <c r="I1928" s="136" t="e">
        <f t="shared" ca="1" si="116"/>
        <v>#REF!</v>
      </c>
    </row>
    <row r="1929" spans="1:9" hidden="1" x14ac:dyDescent="0.25">
      <c r="A1929" s="114" t="s">
        <v>5648</v>
      </c>
      <c r="B1929" s="115" t="s">
        <v>4440</v>
      </c>
      <c r="C1929" s="116" t="s">
        <v>20</v>
      </c>
      <c r="D1929" s="116">
        <v>0</v>
      </c>
      <c r="E1929" s="135" t="s">
        <v>558</v>
      </c>
      <c r="F1929" s="136" t="str">
        <f t="shared" si="114"/>
        <v/>
      </c>
      <c r="G1929" s="137" t="e">
        <f>IF(A1929&lt;&gt;"",IF(AND(#REF!="Padrão",$H$4=#REF!),BDI!$B$17,IF(AND(#REF!="Padrão",$H$4=#REF!),BDI!#REF!,IF(AND(#REF!="Diferenciado",$H$4=#REF!),BDI!$E$17,IF(AND(#REF!="Diferenciado",$H$4=#REF!),BDI!#REF!,IF(#REF!="ZERO",0))))),"")</f>
        <v>#REF!</v>
      </c>
      <c r="H1929" s="138" t="str">
        <f t="shared" si="115"/>
        <v/>
      </c>
      <c r="I1929" s="136" t="str">
        <f t="shared" si="116"/>
        <v/>
      </c>
    </row>
    <row r="1930" spans="1:9" hidden="1" x14ac:dyDescent="0.25">
      <c r="A1930" s="114" t="s">
        <v>5649</v>
      </c>
      <c r="B1930" s="115" t="s">
        <v>4441</v>
      </c>
      <c r="C1930" s="116" t="s">
        <v>20</v>
      </c>
      <c r="D1930" s="116">
        <v>0</v>
      </c>
      <c r="E1930" s="135">
        <f ca="1">OFFSET(INDEX(Composições!A:J,MATCH(Orçamentária!A1930,Composições!A:A,0),8),2,0)</f>
        <v>0</v>
      </c>
      <c r="F1930" s="136">
        <f t="shared" ca="1" si="114"/>
        <v>0</v>
      </c>
      <c r="G1930" s="137" t="e">
        <f>IF(A1930&lt;&gt;"",IF(AND(#REF!="Padrão",$H$4=#REF!),BDI!$B$17,IF(AND(#REF!="Padrão",$H$4=#REF!),BDI!#REF!,IF(AND(#REF!="Diferenciado",$H$4=#REF!),BDI!$E$17,IF(AND(#REF!="Diferenciado",$H$4=#REF!),BDI!#REF!,IF(#REF!="ZERO",0))))),"")</f>
        <v>#REF!</v>
      </c>
      <c r="H1930" s="138" t="e">
        <f t="shared" ca="1" si="115"/>
        <v>#REF!</v>
      </c>
      <c r="I1930" s="136" t="e">
        <f t="shared" ca="1" si="116"/>
        <v>#REF!</v>
      </c>
    </row>
    <row r="1931" spans="1:9" hidden="1" x14ac:dyDescent="0.25">
      <c r="A1931" s="114" t="s">
        <v>5650</v>
      </c>
      <c r="B1931" s="115" t="s">
        <v>4442</v>
      </c>
      <c r="C1931" s="116" t="s">
        <v>20</v>
      </c>
      <c r="D1931" s="116">
        <v>0</v>
      </c>
      <c r="E1931" s="135" t="s">
        <v>558</v>
      </c>
      <c r="F1931" s="136" t="str">
        <f t="shared" si="114"/>
        <v/>
      </c>
      <c r="G1931" s="137" t="e">
        <f>IF(A1931&lt;&gt;"",IF(AND(#REF!="Padrão",$H$4=#REF!),BDI!$B$17,IF(AND(#REF!="Padrão",$H$4=#REF!),BDI!#REF!,IF(AND(#REF!="Diferenciado",$H$4=#REF!),BDI!$E$17,IF(AND(#REF!="Diferenciado",$H$4=#REF!),BDI!#REF!,IF(#REF!="ZERO",0))))),"")</f>
        <v>#REF!</v>
      </c>
      <c r="H1931" s="138" t="str">
        <f t="shared" si="115"/>
        <v/>
      </c>
      <c r="I1931" s="136" t="str">
        <f t="shared" si="116"/>
        <v/>
      </c>
    </row>
    <row r="1932" spans="1:9" hidden="1" x14ac:dyDescent="0.25">
      <c r="A1932" s="114" t="s">
        <v>5651</v>
      </c>
      <c r="B1932" s="115" t="s">
        <v>4443</v>
      </c>
      <c r="C1932" s="116" t="s">
        <v>20</v>
      </c>
      <c r="D1932" s="116">
        <v>0</v>
      </c>
      <c r="E1932" s="135" t="s">
        <v>558</v>
      </c>
      <c r="F1932" s="136" t="str">
        <f t="shared" si="114"/>
        <v/>
      </c>
      <c r="G1932" s="137" t="e">
        <f>IF(A1932&lt;&gt;"",IF(AND(#REF!="Padrão",$H$4=#REF!),BDI!$B$17,IF(AND(#REF!="Padrão",$H$4=#REF!),BDI!#REF!,IF(AND(#REF!="Diferenciado",$H$4=#REF!),BDI!$E$17,IF(AND(#REF!="Diferenciado",$H$4=#REF!),BDI!#REF!,IF(#REF!="ZERO",0))))),"")</f>
        <v>#REF!</v>
      </c>
      <c r="H1932" s="138" t="str">
        <f t="shared" si="115"/>
        <v/>
      </c>
      <c r="I1932" s="136" t="str">
        <f t="shared" si="116"/>
        <v/>
      </c>
    </row>
    <row r="1933" spans="1:9" hidden="1" x14ac:dyDescent="0.25">
      <c r="A1933" s="114" t="s">
        <v>5652</v>
      </c>
      <c r="B1933" s="115" t="s">
        <v>4444</v>
      </c>
      <c r="C1933" s="116" t="s">
        <v>20</v>
      </c>
      <c r="D1933" s="116">
        <v>0</v>
      </c>
      <c r="E1933" s="135">
        <f ca="1">OFFSET(INDEX(Composições!A:J,MATCH(Orçamentária!A1933,Composições!A:A,0),8),2,0)</f>
        <v>3.7145000000000001</v>
      </c>
      <c r="F1933" s="136">
        <f t="shared" ca="1" si="114"/>
        <v>0</v>
      </c>
      <c r="G1933" s="137" t="e">
        <f>IF(A1933&lt;&gt;"",IF(AND(#REF!="Padrão",$H$4=#REF!),BDI!$B$17,IF(AND(#REF!="Padrão",$H$4=#REF!),BDI!#REF!,IF(AND(#REF!="Diferenciado",$H$4=#REF!),BDI!$E$17,IF(AND(#REF!="Diferenciado",$H$4=#REF!),BDI!#REF!,IF(#REF!="ZERO",0))))),"")</f>
        <v>#REF!</v>
      </c>
      <c r="H1933" s="138" t="e">
        <f t="shared" ca="1" si="115"/>
        <v>#REF!</v>
      </c>
      <c r="I1933" s="136" t="e">
        <f t="shared" ca="1" si="116"/>
        <v>#REF!</v>
      </c>
    </row>
    <row r="1934" spans="1:9" hidden="1" x14ac:dyDescent="0.25">
      <c r="A1934" s="114" t="s">
        <v>5653</v>
      </c>
      <c r="B1934" s="115" t="s">
        <v>4445</v>
      </c>
      <c r="C1934" s="116" t="s">
        <v>20</v>
      </c>
      <c r="D1934" s="116">
        <v>0</v>
      </c>
      <c r="E1934" s="135" t="s">
        <v>558</v>
      </c>
      <c r="F1934" s="136" t="str">
        <f t="shared" si="114"/>
        <v/>
      </c>
      <c r="G1934" s="137" t="e">
        <f>IF(A1934&lt;&gt;"",IF(AND(#REF!="Padrão",$H$4=#REF!),BDI!$B$17,IF(AND(#REF!="Padrão",$H$4=#REF!),BDI!#REF!,IF(AND(#REF!="Diferenciado",$H$4=#REF!),BDI!$E$17,IF(AND(#REF!="Diferenciado",$H$4=#REF!),BDI!#REF!,IF(#REF!="ZERO",0))))),"")</f>
        <v>#REF!</v>
      </c>
      <c r="H1934" s="138" t="str">
        <f t="shared" si="115"/>
        <v/>
      </c>
      <c r="I1934" s="136" t="str">
        <f t="shared" si="116"/>
        <v/>
      </c>
    </row>
    <row r="1935" spans="1:9" hidden="1" x14ac:dyDescent="0.25">
      <c r="A1935" s="114" t="s">
        <v>5654</v>
      </c>
      <c r="B1935" s="115" t="s">
        <v>4446</v>
      </c>
      <c r="C1935" s="116" t="s">
        <v>20</v>
      </c>
      <c r="D1935" s="116">
        <v>0</v>
      </c>
      <c r="E1935" s="135" t="s">
        <v>558</v>
      </c>
      <c r="F1935" s="136" t="str">
        <f t="shared" si="114"/>
        <v/>
      </c>
      <c r="G1935" s="137" t="e">
        <f>IF(A1935&lt;&gt;"",IF(AND(#REF!="Padrão",$H$4=#REF!),BDI!$B$17,IF(AND(#REF!="Padrão",$H$4=#REF!),BDI!#REF!,IF(AND(#REF!="Diferenciado",$H$4=#REF!),BDI!$E$17,IF(AND(#REF!="Diferenciado",$H$4=#REF!),BDI!#REF!,IF(#REF!="ZERO",0))))),"")</f>
        <v>#REF!</v>
      </c>
      <c r="H1935" s="138" t="str">
        <f t="shared" si="115"/>
        <v/>
      </c>
      <c r="I1935" s="136" t="str">
        <f t="shared" si="116"/>
        <v/>
      </c>
    </row>
    <row r="1936" spans="1:9" hidden="1" x14ac:dyDescent="0.25">
      <c r="A1936" s="114" t="s">
        <v>5655</v>
      </c>
      <c r="B1936" s="115" t="s">
        <v>4447</v>
      </c>
      <c r="C1936" s="116" t="s">
        <v>20</v>
      </c>
      <c r="D1936" s="116">
        <v>0</v>
      </c>
      <c r="E1936" s="135" t="s">
        <v>558</v>
      </c>
      <c r="F1936" s="136" t="str">
        <f t="shared" si="114"/>
        <v/>
      </c>
      <c r="G1936" s="137" t="e">
        <f>IF(A1936&lt;&gt;"",IF(AND(#REF!="Padrão",$H$4=#REF!),BDI!$B$17,IF(AND(#REF!="Padrão",$H$4=#REF!),BDI!#REF!,IF(AND(#REF!="Diferenciado",$H$4=#REF!),BDI!$E$17,IF(AND(#REF!="Diferenciado",$H$4=#REF!),BDI!#REF!,IF(#REF!="ZERO",0))))),"")</f>
        <v>#REF!</v>
      </c>
      <c r="H1936" s="138" t="str">
        <f t="shared" si="115"/>
        <v/>
      </c>
      <c r="I1936" s="136" t="str">
        <f t="shared" si="116"/>
        <v/>
      </c>
    </row>
    <row r="1937" spans="1:9" hidden="1" x14ac:dyDescent="0.25">
      <c r="A1937" s="114" t="s">
        <v>5656</v>
      </c>
      <c r="B1937" s="115" t="s">
        <v>4448</v>
      </c>
      <c r="C1937" s="116" t="s">
        <v>20</v>
      </c>
      <c r="D1937" s="116">
        <v>0</v>
      </c>
      <c r="E1937" s="135" t="s">
        <v>558</v>
      </c>
      <c r="F1937" s="136" t="str">
        <f t="shared" si="114"/>
        <v/>
      </c>
      <c r="G1937" s="137" t="e">
        <f>IF(A1937&lt;&gt;"",IF(AND(#REF!="Padrão",$H$4=#REF!),BDI!$B$17,IF(AND(#REF!="Padrão",$H$4=#REF!),BDI!#REF!,IF(AND(#REF!="Diferenciado",$H$4=#REF!),BDI!$E$17,IF(AND(#REF!="Diferenciado",$H$4=#REF!),BDI!#REF!,IF(#REF!="ZERO",0))))),"")</f>
        <v>#REF!</v>
      </c>
      <c r="H1937" s="138" t="str">
        <f t="shared" si="115"/>
        <v/>
      </c>
      <c r="I1937" s="136" t="str">
        <f t="shared" si="116"/>
        <v/>
      </c>
    </row>
    <row r="1938" spans="1:9" hidden="1" x14ac:dyDescent="0.25">
      <c r="A1938" s="114" t="s">
        <v>5657</v>
      </c>
      <c r="B1938" s="115" t="s">
        <v>4449</v>
      </c>
      <c r="C1938" s="116" t="s">
        <v>20</v>
      </c>
      <c r="D1938" s="116">
        <v>0</v>
      </c>
      <c r="E1938" s="135" t="s">
        <v>558</v>
      </c>
      <c r="F1938" s="136" t="str">
        <f t="shared" si="114"/>
        <v/>
      </c>
      <c r="G1938" s="137" t="e">
        <f>IF(A1938&lt;&gt;"",IF(AND(#REF!="Padrão",$H$4=#REF!),BDI!$B$17,IF(AND(#REF!="Padrão",$H$4=#REF!),BDI!#REF!,IF(AND(#REF!="Diferenciado",$H$4=#REF!),BDI!$E$17,IF(AND(#REF!="Diferenciado",$H$4=#REF!),BDI!#REF!,IF(#REF!="ZERO",0))))),"")</f>
        <v>#REF!</v>
      </c>
      <c r="H1938" s="138" t="str">
        <f t="shared" si="115"/>
        <v/>
      </c>
      <c r="I1938" s="136" t="str">
        <f t="shared" si="116"/>
        <v/>
      </c>
    </row>
    <row r="1939" spans="1:9" hidden="1" x14ac:dyDescent="0.25">
      <c r="A1939" s="114" t="s">
        <v>5658</v>
      </c>
      <c r="B1939" s="115" t="s">
        <v>4450</v>
      </c>
      <c r="C1939" s="116" t="s">
        <v>20</v>
      </c>
      <c r="D1939" s="116">
        <v>0</v>
      </c>
      <c r="E1939" s="135" t="s">
        <v>558</v>
      </c>
      <c r="F1939" s="136" t="str">
        <f t="shared" si="114"/>
        <v/>
      </c>
      <c r="G1939" s="137" t="e">
        <f>IF(A1939&lt;&gt;"",IF(AND(#REF!="Padrão",$H$4=#REF!),BDI!$B$17,IF(AND(#REF!="Padrão",$H$4=#REF!),BDI!#REF!,IF(AND(#REF!="Diferenciado",$H$4=#REF!),BDI!$E$17,IF(AND(#REF!="Diferenciado",$H$4=#REF!),BDI!#REF!,IF(#REF!="ZERO",0))))),"")</f>
        <v>#REF!</v>
      </c>
      <c r="H1939" s="138" t="str">
        <f t="shared" si="115"/>
        <v/>
      </c>
      <c r="I1939" s="136" t="str">
        <f t="shared" si="116"/>
        <v/>
      </c>
    </row>
    <row r="1940" spans="1:9" hidden="1" x14ac:dyDescent="0.25">
      <c r="A1940" s="114" t="s">
        <v>5659</v>
      </c>
      <c r="B1940" s="115" t="s">
        <v>4451</v>
      </c>
      <c r="C1940" s="116" t="s">
        <v>20</v>
      </c>
      <c r="D1940" s="116">
        <v>0</v>
      </c>
      <c r="E1940" s="135" t="s">
        <v>558</v>
      </c>
      <c r="F1940" s="136" t="str">
        <f t="shared" si="114"/>
        <v/>
      </c>
      <c r="G1940" s="137" t="e">
        <f>IF(A1940&lt;&gt;"",IF(AND(#REF!="Padrão",$H$4=#REF!),BDI!$B$17,IF(AND(#REF!="Padrão",$H$4=#REF!),BDI!#REF!,IF(AND(#REF!="Diferenciado",$H$4=#REF!),BDI!$E$17,IF(AND(#REF!="Diferenciado",$H$4=#REF!),BDI!#REF!,IF(#REF!="ZERO",0))))),"")</f>
        <v>#REF!</v>
      </c>
      <c r="H1940" s="138" t="str">
        <f t="shared" si="115"/>
        <v/>
      </c>
      <c r="I1940" s="136" t="str">
        <f t="shared" si="116"/>
        <v/>
      </c>
    </row>
    <row r="1941" spans="1:9" hidden="1" x14ac:dyDescent="0.25">
      <c r="A1941" s="114" t="s">
        <v>5660</v>
      </c>
      <c r="B1941" s="115" t="s">
        <v>4452</v>
      </c>
      <c r="C1941" s="116" t="s">
        <v>20</v>
      </c>
      <c r="D1941" s="116">
        <v>0</v>
      </c>
      <c r="E1941" s="135" t="s">
        <v>558</v>
      </c>
      <c r="F1941" s="136" t="str">
        <f t="shared" si="114"/>
        <v/>
      </c>
      <c r="G1941" s="137" t="e">
        <f>IF(A1941&lt;&gt;"",IF(AND(#REF!="Padrão",$H$4=#REF!),BDI!$B$17,IF(AND(#REF!="Padrão",$H$4=#REF!),BDI!#REF!,IF(AND(#REF!="Diferenciado",$H$4=#REF!),BDI!$E$17,IF(AND(#REF!="Diferenciado",$H$4=#REF!),BDI!#REF!,IF(#REF!="ZERO",0))))),"")</f>
        <v>#REF!</v>
      </c>
      <c r="H1941" s="138" t="str">
        <f t="shared" si="115"/>
        <v/>
      </c>
      <c r="I1941" s="136" t="str">
        <f t="shared" si="116"/>
        <v/>
      </c>
    </row>
    <row r="1942" spans="1:9" hidden="1" x14ac:dyDescent="0.25">
      <c r="A1942" s="114" t="s">
        <v>5661</v>
      </c>
      <c r="B1942" s="115" t="s">
        <v>4453</v>
      </c>
      <c r="C1942" s="116" t="s">
        <v>20</v>
      </c>
      <c r="D1942" s="116">
        <v>0</v>
      </c>
      <c r="E1942" s="135" t="s">
        <v>558</v>
      </c>
      <c r="F1942" s="136" t="str">
        <f t="shared" si="114"/>
        <v/>
      </c>
      <c r="G1942" s="137" t="e">
        <f>IF(A1942&lt;&gt;"",IF(AND(#REF!="Padrão",$H$4=#REF!),BDI!$B$17,IF(AND(#REF!="Padrão",$H$4=#REF!),BDI!#REF!,IF(AND(#REF!="Diferenciado",$H$4=#REF!),BDI!$E$17,IF(AND(#REF!="Diferenciado",$H$4=#REF!),BDI!#REF!,IF(#REF!="ZERO",0))))),"")</f>
        <v>#REF!</v>
      </c>
      <c r="H1942" s="138" t="str">
        <f t="shared" si="115"/>
        <v/>
      </c>
      <c r="I1942" s="136" t="str">
        <f t="shared" si="116"/>
        <v/>
      </c>
    </row>
    <row r="1943" spans="1:9" hidden="1" x14ac:dyDescent="0.25">
      <c r="A1943" s="114" t="s">
        <v>5662</v>
      </c>
      <c r="B1943" s="115" t="s">
        <v>4454</v>
      </c>
      <c r="C1943" s="116" t="s">
        <v>20</v>
      </c>
      <c r="D1943" s="116">
        <v>0</v>
      </c>
      <c r="E1943" s="135" t="s">
        <v>558</v>
      </c>
      <c r="F1943" s="136" t="str">
        <f t="shared" si="114"/>
        <v/>
      </c>
      <c r="G1943" s="137" t="e">
        <f>IF(A1943&lt;&gt;"",IF(AND(#REF!="Padrão",$H$4=#REF!),BDI!$B$17,IF(AND(#REF!="Padrão",$H$4=#REF!),BDI!#REF!,IF(AND(#REF!="Diferenciado",$H$4=#REF!),BDI!$E$17,IF(AND(#REF!="Diferenciado",$H$4=#REF!),BDI!#REF!,IF(#REF!="ZERO",0))))),"")</f>
        <v>#REF!</v>
      </c>
      <c r="H1943" s="138" t="str">
        <f t="shared" si="115"/>
        <v/>
      </c>
      <c r="I1943" s="136" t="str">
        <f t="shared" si="116"/>
        <v/>
      </c>
    </row>
    <row r="1944" spans="1:9" hidden="1" x14ac:dyDescent="0.25">
      <c r="A1944" s="114" t="s">
        <v>5663</v>
      </c>
      <c r="B1944" s="115" t="s">
        <v>4455</v>
      </c>
      <c r="C1944" s="116" t="s">
        <v>20</v>
      </c>
      <c r="D1944" s="116">
        <v>0</v>
      </c>
      <c r="E1944" s="135" t="s">
        <v>558</v>
      </c>
      <c r="F1944" s="136" t="str">
        <f t="shared" si="114"/>
        <v/>
      </c>
      <c r="G1944" s="137" t="e">
        <f>IF(A1944&lt;&gt;"",IF(AND(#REF!="Padrão",$H$4=#REF!),BDI!$B$17,IF(AND(#REF!="Padrão",$H$4=#REF!),BDI!#REF!,IF(AND(#REF!="Diferenciado",$H$4=#REF!),BDI!$E$17,IF(AND(#REF!="Diferenciado",$H$4=#REF!),BDI!#REF!,IF(#REF!="ZERO",0))))),"")</f>
        <v>#REF!</v>
      </c>
      <c r="H1944" s="138" t="str">
        <f t="shared" si="115"/>
        <v/>
      </c>
      <c r="I1944" s="136" t="str">
        <f t="shared" si="116"/>
        <v/>
      </c>
    </row>
    <row r="1945" spans="1:9" hidden="1" x14ac:dyDescent="0.25">
      <c r="A1945" s="114" t="s">
        <v>5664</v>
      </c>
      <c r="B1945" s="115" t="s">
        <v>4456</v>
      </c>
      <c r="C1945" s="116" t="s">
        <v>20</v>
      </c>
      <c r="D1945" s="116">
        <v>0</v>
      </c>
      <c r="E1945" s="135" t="s">
        <v>558</v>
      </c>
      <c r="F1945" s="136" t="str">
        <f t="shared" si="114"/>
        <v/>
      </c>
      <c r="G1945" s="137" t="e">
        <f>IF(A1945&lt;&gt;"",IF(AND(#REF!="Padrão",$H$4=#REF!),BDI!$B$17,IF(AND(#REF!="Padrão",$H$4=#REF!),BDI!#REF!,IF(AND(#REF!="Diferenciado",$H$4=#REF!),BDI!$E$17,IF(AND(#REF!="Diferenciado",$H$4=#REF!),BDI!#REF!,IF(#REF!="ZERO",0))))),"")</f>
        <v>#REF!</v>
      </c>
      <c r="H1945" s="138" t="str">
        <f t="shared" si="115"/>
        <v/>
      </c>
      <c r="I1945" s="136" t="str">
        <f t="shared" si="116"/>
        <v/>
      </c>
    </row>
    <row r="1946" spans="1:9" hidden="1" x14ac:dyDescent="0.25">
      <c r="A1946" s="114" t="s">
        <v>5665</v>
      </c>
      <c r="B1946" s="115" t="s">
        <v>4457</v>
      </c>
      <c r="C1946" s="116" t="s">
        <v>20</v>
      </c>
      <c r="D1946" s="116">
        <v>0</v>
      </c>
      <c r="E1946" s="135" t="s">
        <v>558</v>
      </c>
      <c r="F1946" s="136" t="str">
        <f t="shared" si="114"/>
        <v/>
      </c>
      <c r="G1946" s="137" t="e">
        <f>IF(A1946&lt;&gt;"",IF(AND(#REF!="Padrão",$H$4=#REF!),BDI!$B$17,IF(AND(#REF!="Padrão",$H$4=#REF!),BDI!#REF!,IF(AND(#REF!="Diferenciado",$H$4=#REF!),BDI!$E$17,IF(AND(#REF!="Diferenciado",$H$4=#REF!),BDI!#REF!,IF(#REF!="ZERO",0))))),"")</f>
        <v>#REF!</v>
      </c>
      <c r="H1946" s="138" t="str">
        <f t="shared" si="115"/>
        <v/>
      </c>
      <c r="I1946" s="136" t="str">
        <f t="shared" si="116"/>
        <v/>
      </c>
    </row>
    <row r="1947" spans="1:9" hidden="1" x14ac:dyDescent="0.25">
      <c r="A1947" s="114" t="s">
        <v>5666</v>
      </c>
      <c r="B1947" s="115" t="s">
        <v>4458</v>
      </c>
      <c r="C1947" s="116" t="s">
        <v>20</v>
      </c>
      <c r="D1947" s="116">
        <v>0</v>
      </c>
      <c r="E1947" s="135" t="s">
        <v>558</v>
      </c>
      <c r="F1947" s="136" t="str">
        <f t="shared" si="114"/>
        <v/>
      </c>
      <c r="G1947" s="137" t="e">
        <f>IF(A1947&lt;&gt;"",IF(AND(#REF!="Padrão",$H$4=#REF!),BDI!$B$17,IF(AND(#REF!="Padrão",$H$4=#REF!),BDI!#REF!,IF(AND(#REF!="Diferenciado",$H$4=#REF!),BDI!$E$17,IF(AND(#REF!="Diferenciado",$H$4=#REF!),BDI!#REF!,IF(#REF!="ZERO",0))))),"")</f>
        <v>#REF!</v>
      </c>
      <c r="H1947" s="138" t="str">
        <f t="shared" si="115"/>
        <v/>
      </c>
      <c r="I1947" s="136" t="str">
        <f t="shared" si="116"/>
        <v/>
      </c>
    </row>
    <row r="1948" spans="1:9" hidden="1" x14ac:dyDescent="0.25">
      <c r="A1948" s="114" t="s">
        <v>5667</v>
      </c>
      <c r="B1948" s="115" t="s">
        <v>4459</v>
      </c>
      <c r="C1948" s="116" t="s">
        <v>20</v>
      </c>
      <c r="D1948" s="116">
        <v>0</v>
      </c>
      <c r="E1948" s="135" t="s">
        <v>558</v>
      </c>
      <c r="F1948" s="136" t="str">
        <f t="shared" si="114"/>
        <v/>
      </c>
      <c r="G1948" s="137" t="e">
        <f>IF(A1948&lt;&gt;"",IF(AND(#REF!="Padrão",$H$4=#REF!),BDI!$B$17,IF(AND(#REF!="Padrão",$H$4=#REF!),BDI!#REF!,IF(AND(#REF!="Diferenciado",$H$4=#REF!),BDI!$E$17,IF(AND(#REF!="Diferenciado",$H$4=#REF!),BDI!#REF!,IF(#REF!="ZERO",0))))),"")</f>
        <v>#REF!</v>
      </c>
      <c r="H1948" s="138" t="str">
        <f t="shared" si="115"/>
        <v/>
      </c>
      <c r="I1948" s="136" t="str">
        <f t="shared" si="116"/>
        <v/>
      </c>
    </row>
    <row r="1949" spans="1:9" hidden="1" x14ac:dyDescent="0.25">
      <c r="A1949" s="114" t="s">
        <v>5668</v>
      </c>
      <c r="B1949" s="115" t="s">
        <v>4460</v>
      </c>
      <c r="C1949" s="116" t="s">
        <v>20</v>
      </c>
      <c r="D1949" s="116">
        <v>0</v>
      </c>
      <c r="E1949" s="135" t="s">
        <v>558</v>
      </c>
      <c r="F1949" s="136" t="str">
        <f t="shared" si="114"/>
        <v/>
      </c>
      <c r="G1949" s="137" t="e">
        <f>IF(A1949&lt;&gt;"",IF(AND(#REF!="Padrão",$H$4=#REF!),BDI!$B$17,IF(AND(#REF!="Padrão",$H$4=#REF!),BDI!#REF!,IF(AND(#REF!="Diferenciado",$H$4=#REF!),BDI!$E$17,IF(AND(#REF!="Diferenciado",$H$4=#REF!),BDI!#REF!,IF(#REF!="ZERO",0))))),"")</f>
        <v>#REF!</v>
      </c>
      <c r="H1949" s="138" t="str">
        <f t="shared" si="115"/>
        <v/>
      </c>
      <c r="I1949" s="136" t="str">
        <f t="shared" si="116"/>
        <v/>
      </c>
    </row>
    <row r="1950" spans="1:9" hidden="1" x14ac:dyDescent="0.25">
      <c r="A1950" s="114" t="s">
        <v>5669</v>
      </c>
      <c r="B1950" s="115" t="s">
        <v>4461</v>
      </c>
      <c r="C1950" s="116" t="s">
        <v>20</v>
      </c>
      <c r="D1950" s="116">
        <v>0</v>
      </c>
      <c r="E1950" s="135" t="s">
        <v>558</v>
      </c>
      <c r="F1950" s="136" t="str">
        <f t="shared" si="114"/>
        <v/>
      </c>
      <c r="G1950" s="137" t="e">
        <f>IF(A1950&lt;&gt;"",IF(AND(#REF!="Padrão",$H$4=#REF!),BDI!$B$17,IF(AND(#REF!="Padrão",$H$4=#REF!),BDI!#REF!,IF(AND(#REF!="Diferenciado",$H$4=#REF!),BDI!$E$17,IF(AND(#REF!="Diferenciado",$H$4=#REF!),BDI!#REF!,IF(#REF!="ZERO",0))))),"")</f>
        <v>#REF!</v>
      </c>
      <c r="H1950" s="138" t="str">
        <f t="shared" si="115"/>
        <v/>
      </c>
      <c r="I1950" s="136" t="str">
        <f t="shared" si="116"/>
        <v/>
      </c>
    </row>
    <row r="1951" spans="1:9" hidden="1" x14ac:dyDescent="0.25">
      <c r="A1951" s="114" t="s">
        <v>5670</v>
      </c>
      <c r="B1951" s="115" t="s">
        <v>4462</v>
      </c>
      <c r="C1951" s="116" t="s">
        <v>20</v>
      </c>
      <c r="D1951" s="116">
        <v>0</v>
      </c>
      <c r="E1951" s="135">
        <f ca="1">OFFSET(INDEX(Composições!A:J,MATCH(Orçamentária!A1951,Composições!A:A,0),8),2,0)</f>
        <v>2077.0039999999999</v>
      </c>
      <c r="F1951" s="136">
        <f t="shared" ca="1" si="114"/>
        <v>0</v>
      </c>
      <c r="G1951" s="137" t="e">
        <f>IF(A1951&lt;&gt;"",IF(AND(#REF!="Padrão",$H$4=#REF!),BDI!$B$17,IF(AND(#REF!="Padrão",$H$4=#REF!),BDI!#REF!,IF(AND(#REF!="Diferenciado",$H$4=#REF!),BDI!$E$17,IF(AND(#REF!="Diferenciado",$H$4=#REF!),BDI!#REF!,IF(#REF!="ZERO",0))))),"")</f>
        <v>#REF!</v>
      </c>
      <c r="H1951" s="138" t="e">
        <f t="shared" ca="1" si="115"/>
        <v>#REF!</v>
      </c>
      <c r="I1951" s="136" t="e">
        <f t="shared" ca="1" si="116"/>
        <v>#REF!</v>
      </c>
    </row>
    <row r="1952" spans="1:9" hidden="1" x14ac:dyDescent="0.25">
      <c r="A1952" s="114" t="s">
        <v>5671</v>
      </c>
      <c r="B1952" s="115" t="s">
        <v>4463</v>
      </c>
      <c r="C1952" s="116" t="s">
        <v>20</v>
      </c>
      <c r="D1952" s="116">
        <v>0</v>
      </c>
      <c r="E1952" s="135" t="s">
        <v>558</v>
      </c>
      <c r="F1952" s="136" t="str">
        <f t="shared" si="114"/>
        <v/>
      </c>
      <c r="G1952" s="137" t="e">
        <f>IF(A1952&lt;&gt;"",IF(AND(#REF!="Padrão",$H$4=#REF!),BDI!$B$17,IF(AND(#REF!="Padrão",$H$4=#REF!),BDI!#REF!,IF(AND(#REF!="Diferenciado",$H$4=#REF!),BDI!$E$17,IF(AND(#REF!="Diferenciado",$H$4=#REF!),BDI!#REF!,IF(#REF!="ZERO",0))))),"")</f>
        <v>#REF!</v>
      </c>
      <c r="H1952" s="138" t="str">
        <f t="shared" si="115"/>
        <v/>
      </c>
      <c r="I1952" s="136" t="str">
        <f t="shared" si="116"/>
        <v/>
      </c>
    </row>
    <row r="1953" spans="1:9" hidden="1" x14ac:dyDescent="0.25">
      <c r="A1953" s="114" t="s">
        <v>5672</v>
      </c>
      <c r="B1953" s="115" t="s">
        <v>4464</v>
      </c>
      <c r="C1953" s="116" t="s">
        <v>20</v>
      </c>
      <c r="D1953" s="116">
        <v>0</v>
      </c>
      <c r="E1953" s="135">
        <f ca="1">OFFSET(INDEX(Composições!A:J,MATCH(Orçamentária!A1953,Composições!A:A,0),8),2,0)</f>
        <v>2445.6799999999998</v>
      </c>
      <c r="F1953" s="136">
        <f t="shared" ca="1" si="114"/>
        <v>0</v>
      </c>
      <c r="G1953" s="137" t="e">
        <f>IF(A1953&lt;&gt;"",IF(AND(#REF!="Padrão",$H$4=#REF!),BDI!$B$17,IF(AND(#REF!="Padrão",$H$4=#REF!),BDI!#REF!,IF(AND(#REF!="Diferenciado",$H$4=#REF!),BDI!$E$17,IF(AND(#REF!="Diferenciado",$H$4=#REF!),BDI!#REF!,IF(#REF!="ZERO",0))))),"")</f>
        <v>#REF!</v>
      </c>
      <c r="H1953" s="138" t="e">
        <f t="shared" ca="1" si="115"/>
        <v>#REF!</v>
      </c>
      <c r="I1953" s="136" t="e">
        <f t="shared" ca="1" si="116"/>
        <v>#REF!</v>
      </c>
    </row>
    <row r="1954" spans="1:9" hidden="1" x14ac:dyDescent="0.25">
      <c r="A1954" s="114" t="s">
        <v>5673</v>
      </c>
      <c r="B1954" s="115" t="s">
        <v>4465</v>
      </c>
      <c r="C1954" s="116" t="s">
        <v>20</v>
      </c>
      <c r="D1954" s="116">
        <v>0</v>
      </c>
      <c r="E1954" s="135">
        <f ca="1">OFFSET(INDEX(Composições!A:J,MATCH(Orçamentária!A1954,Composições!A:A,0),8),2,0)</f>
        <v>27.721</v>
      </c>
      <c r="F1954" s="136">
        <f t="shared" ca="1" si="114"/>
        <v>0</v>
      </c>
      <c r="G1954" s="137" t="e">
        <f>IF(A1954&lt;&gt;"",IF(AND(#REF!="Padrão",$H$4=#REF!),BDI!$B$17,IF(AND(#REF!="Padrão",$H$4=#REF!),BDI!#REF!,IF(AND(#REF!="Diferenciado",$H$4=#REF!),BDI!$E$17,IF(AND(#REF!="Diferenciado",$H$4=#REF!),BDI!#REF!,IF(#REF!="ZERO",0))))),"")</f>
        <v>#REF!</v>
      </c>
      <c r="H1954" s="138" t="e">
        <f t="shared" ca="1" si="115"/>
        <v>#REF!</v>
      </c>
      <c r="I1954" s="136" t="e">
        <f t="shared" ca="1" si="116"/>
        <v>#REF!</v>
      </c>
    </row>
    <row r="1955" spans="1:9" hidden="1" x14ac:dyDescent="0.25">
      <c r="A1955" s="114" t="s">
        <v>5674</v>
      </c>
      <c r="B1955" s="115" t="s">
        <v>4466</v>
      </c>
      <c r="C1955" s="116" t="s">
        <v>20</v>
      </c>
      <c r="D1955" s="116">
        <v>0</v>
      </c>
      <c r="E1955" s="135" t="s">
        <v>558</v>
      </c>
      <c r="F1955" s="136" t="str">
        <f t="shared" si="114"/>
        <v/>
      </c>
      <c r="G1955" s="137" t="e">
        <f>IF(A1955&lt;&gt;"",IF(AND(#REF!="Padrão",$H$4=#REF!),BDI!$B$17,IF(AND(#REF!="Padrão",$H$4=#REF!),BDI!#REF!,IF(AND(#REF!="Diferenciado",$H$4=#REF!),BDI!$E$17,IF(AND(#REF!="Diferenciado",$H$4=#REF!),BDI!#REF!,IF(#REF!="ZERO",0))))),"")</f>
        <v>#REF!</v>
      </c>
      <c r="H1955" s="138" t="str">
        <f t="shared" si="115"/>
        <v/>
      </c>
      <c r="I1955" s="136" t="str">
        <f t="shared" si="116"/>
        <v/>
      </c>
    </row>
    <row r="1956" spans="1:9" hidden="1" x14ac:dyDescent="0.25">
      <c r="A1956" s="114" t="s">
        <v>5675</v>
      </c>
      <c r="B1956" s="115" t="s">
        <v>4467</v>
      </c>
      <c r="C1956" s="116" t="s">
        <v>20</v>
      </c>
      <c r="D1956" s="116">
        <v>0</v>
      </c>
      <c r="E1956" s="135" t="s">
        <v>558</v>
      </c>
      <c r="F1956" s="136" t="str">
        <f t="shared" si="114"/>
        <v/>
      </c>
      <c r="G1956" s="137" t="e">
        <f>IF(A1956&lt;&gt;"",IF(AND(#REF!="Padrão",$H$4=#REF!),BDI!$B$17,IF(AND(#REF!="Padrão",$H$4=#REF!),BDI!#REF!,IF(AND(#REF!="Diferenciado",$H$4=#REF!),BDI!$E$17,IF(AND(#REF!="Diferenciado",$H$4=#REF!),BDI!#REF!,IF(#REF!="ZERO",0))))),"")</f>
        <v>#REF!</v>
      </c>
      <c r="H1956" s="138" t="str">
        <f t="shared" si="115"/>
        <v/>
      </c>
      <c r="I1956" s="136" t="str">
        <f t="shared" si="116"/>
        <v/>
      </c>
    </row>
    <row r="1957" spans="1:9" hidden="1" x14ac:dyDescent="0.25">
      <c r="A1957" s="114" t="s">
        <v>5676</v>
      </c>
      <c r="B1957" s="115" t="s">
        <v>4468</v>
      </c>
      <c r="C1957" s="116" t="s">
        <v>20</v>
      </c>
      <c r="D1957" s="116">
        <v>0</v>
      </c>
      <c r="E1957" s="135" t="s">
        <v>558</v>
      </c>
      <c r="F1957" s="136" t="str">
        <f t="shared" si="114"/>
        <v/>
      </c>
      <c r="G1957" s="137" t="e">
        <f>IF(A1957&lt;&gt;"",IF(AND(#REF!="Padrão",$H$4=#REF!),BDI!$B$17,IF(AND(#REF!="Padrão",$H$4=#REF!),BDI!#REF!,IF(AND(#REF!="Diferenciado",$H$4=#REF!),BDI!$E$17,IF(AND(#REF!="Diferenciado",$H$4=#REF!),BDI!#REF!,IF(#REF!="ZERO",0))))),"")</f>
        <v>#REF!</v>
      </c>
      <c r="H1957" s="138" t="str">
        <f t="shared" si="115"/>
        <v/>
      </c>
      <c r="I1957" s="136" t="str">
        <f t="shared" si="116"/>
        <v/>
      </c>
    </row>
    <row r="1958" spans="1:9" hidden="1" x14ac:dyDescent="0.25">
      <c r="A1958" s="114" t="s">
        <v>5677</v>
      </c>
      <c r="B1958" s="115" t="s">
        <v>4469</v>
      </c>
      <c r="C1958" s="116" t="s">
        <v>20</v>
      </c>
      <c r="D1958" s="116">
        <v>0</v>
      </c>
      <c r="E1958" s="135" t="s">
        <v>558</v>
      </c>
      <c r="F1958" s="136" t="str">
        <f t="shared" si="114"/>
        <v/>
      </c>
      <c r="G1958" s="137" t="e">
        <f>IF(A1958&lt;&gt;"",IF(AND(#REF!="Padrão",$H$4=#REF!),BDI!$B$17,IF(AND(#REF!="Padrão",$H$4=#REF!),BDI!#REF!,IF(AND(#REF!="Diferenciado",$H$4=#REF!),BDI!$E$17,IF(AND(#REF!="Diferenciado",$H$4=#REF!),BDI!#REF!,IF(#REF!="ZERO",0))))),"")</f>
        <v>#REF!</v>
      </c>
      <c r="H1958" s="138" t="str">
        <f t="shared" si="115"/>
        <v/>
      </c>
      <c r="I1958" s="136" t="str">
        <f t="shared" si="116"/>
        <v/>
      </c>
    </row>
    <row r="1959" spans="1:9" hidden="1" x14ac:dyDescent="0.25">
      <c r="A1959" s="114" t="s">
        <v>5678</v>
      </c>
      <c r="B1959" s="115" t="s">
        <v>4470</v>
      </c>
      <c r="C1959" s="116" t="s">
        <v>20</v>
      </c>
      <c r="D1959" s="116">
        <v>0</v>
      </c>
      <c r="E1959" s="135" t="s">
        <v>558</v>
      </c>
      <c r="F1959" s="136" t="str">
        <f t="shared" si="114"/>
        <v/>
      </c>
      <c r="G1959" s="137" t="e">
        <f>IF(A1959&lt;&gt;"",IF(AND(#REF!="Padrão",$H$4=#REF!),BDI!$B$17,IF(AND(#REF!="Padrão",$H$4=#REF!),BDI!#REF!,IF(AND(#REF!="Diferenciado",$H$4=#REF!),BDI!$E$17,IF(AND(#REF!="Diferenciado",$H$4=#REF!),BDI!#REF!,IF(#REF!="ZERO",0))))),"")</f>
        <v>#REF!</v>
      </c>
      <c r="H1959" s="138" t="str">
        <f t="shared" si="115"/>
        <v/>
      </c>
      <c r="I1959" s="136" t="str">
        <f t="shared" si="116"/>
        <v/>
      </c>
    </row>
    <row r="1960" spans="1:9" hidden="1" x14ac:dyDescent="0.25">
      <c r="A1960" s="114" t="s">
        <v>5679</v>
      </c>
      <c r="B1960" s="115" t="s">
        <v>4471</v>
      </c>
      <c r="C1960" s="116" t="s">
        <v>20</v>
      </c>
      <c r="D1960" s="116">
        <v>0</v>
      </c>
      <c r="E1960" s="135" t="s">
        <v>558</v>
      </c>
      <c r="F1960" s="136" t="str">
        <f t="shared" si="114"/>
        <v/>
      </c>
      <c r="G1960" s="137" t="e">
        <f>IF(A1960&lt;&gt;"",IF(AND(#REF!="Padrão",$H$4=#REF!),BDI!$B$17,IF(AND(#REF!="Padrão",$H$4=#REF!),BDI!#REF!,IF(AND(#REF!="Diferenciado",$H$4=#REF!),BDI!$E$17,IF(AND(#REF!="Diferenciado",$H$4=#REF!),BDI!#REF!,IF(#REF!="ZERO",0))))),"")</f>
        <v>#REF!</v>
      </c>
      <c r="H1960" s="138" t="str">
        <f t="shared" si="115"/>
        <v/>
      </c>
      <c r="I1960" s="136" t="str">
        <f t="shared" si="116"/>
        <v/>
      </c>
    </row>
    <row r="1961" spans="1:9" hidden="1" x14ac:dyDescent="0.25">
      <c r="A1961" s="114" t="s">
        <v>5680</v>
      </c>
      <c r="B1961" s="115" t="s">
        <v>4472</v>
      </c>
      <c r="C1961" s="116" t="s">
        <v>20</v>
      </c>
      <c r="D1961" s="116">
        <v>0</v>
      </c>
      <c r="E1961" s="135" t="s">
        <v>558</v>
      </c>
      <c r="F1961" s="136" t="str">
        <f t="shared" si="114"/>
        <v/>
      </c>
      <c r="G1961" s="137" t="e">
        <f>IF(A1961&lt;&gt;"",IF(AND(#REF!="Padrão",$H$4=#REF!),BDI!$B$17,IF(AND(#REF!="Padrão",$H$4=#REF!),BDI!#REF!,IF(AND(#REF!="Diferenciado",$H$4=#REF!),BDI!$E$17,IF(AND(#REF!="Diferenciado",$H$4=#REF!),BDI!#REF!,IF(#REF!="ZERO",0))))),"")</f>
        <v>#REF!</v>
      </c>
      <c r="H1961" s="138" t="str">
        <f t="shared" si="115"/>
        <v/>
      </c>
      <c r="I1961" s="136" t="str">
        <f t="shared" si="116"/>
        <v/>
      </c>
    </row>
    <row r="1962" spans="1:9" hidden="1" x14ac:dyDescent="0.25">
      <c r="A1962" s="114" t="s">
        <v>5681</v>
      </c>
      <c r="B1962" s="115" t="s">
        <v>4473</v>
      </c>
      <c r="C1962" s="116" t="s">
        <v>20</v>
      </c>
      <c r="D1962" s="116">
        <v>0</v>
      </c>
      <c r="E1962" s="135" t="s">
        <v>558</v>
      </c>
      <c r="F1962" s="136" t="str">
        <f t="shared" si="114"/>
        <v/>
      </c>
      <c r="G1962" s="137" t="e">
        <f>IF(A1962&lt;&gt;"",IF(AND(#REF!="Padrão",$H$4=#REF!),BDI!$B$17,IF(AND(#REF!="Padrão",$H$4=#REF!),BDI!#REF!,IF(AND(#REF!="Diferenciado",$H$4=#REF!),BDI!$E$17,IF(AND(#REF!="Diferenciado",$H$4=#REF!),BDI!#REF!,IF(#REF!="ZERO",0))))),"")</f>
        <v>#REF!</v>
      </c>
      <c r="H1962" s="138" t="str">
        <f t="shared" si="115"/>
        <v/>
      </c>
      <c r="I1962" s="136" t="str">
        <f t="shared" si="116"/>
        <v/>
      </c>
    </row>
    <row r="1963" spans="1:9" hidden="1" x14ac:dyDescent="0.25">
      <c r="A1963" s="114" t="s">
        <v>5682</v>
      </c>
      <c r="B1963" s="115" t="s">
        <v>4474</v>
      </c>
      <c r="C1963" s="116" t="s">
        <v>20</v>
      </c>
      <c r="D1963" s="116">
        <v>0</v>
      </c>
      <c r="E1963" s="135" t="s">
        <v>558</v>
      </c>
      <c r="F1963" s="136" t="str">
        <f t="shared" si="114"/>
        <v/>
      </c>
      <c r="G1963" s="137" t="e">
        <f>IF(A1963&lt;&gt;"",IF(AND(#REF!="Padrão",$H$4=#REF!),BDI!$B$17,IF(AND(#REF!="Padrão",$H$4=#REF!),BDI!#REF!,IF(AND(#REF!="Diferenciado",$H$4=#REF!),BDI!$E$17,IF(AND(#REF!="Diferenciado",$H$4=#REF!),BDI!#REF!,IF(#REF!="ZERO",0))))),"")</f>
        <v>#REF!</v>
      </c>
      <c r="H1963" s="138" t="str">
        <f t="shared" si="115"/>
        <v/>
      </c>
      <c r="I1963" s="136" t="str">
        <f t="shared" si="116"/>
        <v/>
      </c>
    </row>
    <row r="1964" spans="1:9" hidden="1" x14ac:dyDescent="0.25">
      <c r="A1964" s="114" t="s">
        <v>5683</v>
      </c>
      <c r="B1964" s="115" t="s">
        <v>4475</v>
      </c>
      <c r="C1964" s="116" t="s">
        <v>20</v>
      </c>
      <c r="D1964" s="116">
        <v>0</v>
      </c>
      <c r="E1964" s="135" t="s">
        <v>558</v>
      </c>
      <c r="F1964" s="136" t="str">
        <f t="shared" si="114"/>
        <v/>
      </c>
      <c r="G1964" s="137" t="e">
        <f>IF(A1964&lt;&gt;"",IF(AND(#REF!="Padrão",$H$4=#REF!),BDI!$B$17,IF(AND(#REF!="Padrão",$H$4=#REF!),BDI!#REF!,IF(AND(#REF!="Diferenciado",$H$4=#REF!),BDI!$E$17,IF(AND(#REF!="Diferenciado",$H$4=#REF!),BDI!#REF!,IF(#REF!="ZERO",0))))),"")</f>
        <v>#REF!</v>
      </c>
      <c r="H1964" s="138" t="str">
        <f t="shared" si="115"/>
        <v/>
      </c>
      <c r="I1964" s="136" t="str">
        <f t="shared" si="116"/>
        <v/>
      </c>
    </row>
    <row r="1965" spans="1:9" hidden="1" x14ac:dyDescent="0.25">
      <c r="A1965" s="114" t="s">
        <v>5684</v>
      </c>
      <c r="B1965" s="115" t="s">
        <v>4476</v>
      </c>
      <c r="C1965" s="116" t="s">
        <v>20</v>
      </c>
      <c r="D1965" s="116">
        <v>0</v>
      </c>
      <c r="E1965" s="135" t="s">
        <v>558</v>
      </c>
      <c r="F1965" s="136" t="str">
        <f t="shared" ref="F1965:F2028" si="117">IF(ISNUMBER(E1965),D1965*E1965,"")</f>
        <v/>
      </c>
      <c r="G1965" s="137" t="e">
        <f>IF(A1965&lt;&gt;"",IF(AND(#REF!="Padrão",$H$4=#REF!),BDI!$B$17,IF(AND(#REF!="Padrão",$H$4=#REF!),BDI!#REF!,IF(AND(#REF!="Diferenciado",$H$4=#REF!),BDI!$E$17,IF(AND(#REF!="Diferenciado",$H$4=#REF!),BDI!#REF!,IF(#REF!="ZERO",0))))),"")</f>
        <v>#REF!</v>
      </c>
      <c r="H1965" s="138" t="str">
        <f t="shared" ref="H1965:H2028" si="118">IF(ISNUMBER(E1965),ROUND(E1965*(1+G1965),2),"")</f>
        <v/>
      </c>
      <c r="I1965" s="136" t="str">
        <f t="shared" ref="I1965:I2028" si="119">IF(ISNUMBER(E1965),ROUND(H1965*D1965,2),"")</f>
        <v/>
      </c>
    </row>
    <row r="1966" spans="1:9" hidden="1" x14ac:dyDescent="0.25">
      <c r="A1966" s="114" t="s">
        <v>5685</v>
      </c>
      <c r="B1966" s="115" t="s">
        <v>4477</v>
      </c>
      <c r="C1966" s="116" t="s">
        <v>20</v>
      </c>
      <c r="D1966" s="116">
        <v>0</v>
      </c>
      <c r="E1966" s="135" t="s">
        <v>558</v>
      </c>
      <c r="F1966" s="136" t="str">
        <f t="shared" si="117"/>
        <v/>
      </c>
      <c r="G1966" s="137" t="e">
        <f>IF(A1966&lt;&gt;"",IF(AND(#REF!="Padrão",$H$4=#REF!),BDI!$B$17,IF(AND(#REF!="Padrão",$H$4=#REF!),BDI!#REF!,IF(AND(#REF!="Diferenciado",$H$4=#REF!),BDI!$E$17,IF(AND(#REF!="Diferenciado",$H$4=#REF!),BDI!#REF!,IF(#REF!="ZERO",0))))),"")</f>
        <v>#REF!</v>
      </c>
      <c r="H1966" s="138" t="str">
        <f t="shared" si="118"/>
        <v/>
      </c>
      <c r="I1966" s="136" t="str">
        <f t="shared" si="119"/>
        <v/>
      </c>
    </row>
    <row r="1967" spans="1:9" hidden="1" x14ac:dyDescent="0.25">
      <c r="A1967" s="114" t="s">
        <v>5686</v>
      </c>
      <c r="B1967" s="115" t="s">
        <v>4478</v>
      </c>
      <c r="C1967" s="116" t="s">
        <v>20</v>
      </c>
      <c r="D1967" s="116">
        <v>0</v>
      </c>
      <c r="E1967" s="135" t="s">
        <v>558</v>
      </c>
      <c r="F1967" s="136" t="str">
        <f t="shared" si="117"/>
        <v/>
      </c>
      <c r="G1967" s="137" t="e">
        <f>IF(A1967&lt;&gt;"",IF(AND(#REF!="Padrão",$H$4=#REF!),BDI!$B$17,IF(AND(#REF!="Padrão",$H$4=#REF!),BDI!#REF!,IF(AND(#REF!="Diferenciado",$H$4=#REF!),BDI!$E$17,IF(AND(#REF!="Diferenciado",$H$4=#REF!),BDI!#REF!,IF(#REF!="ZERO",0))))),"")</f>
        <v>#REF!</v>
      </c>
      <c r="H1967" s="138" t="str">
        <f t="shared" si="118"/>
        <v/>
      </c>
      <c r="I1967" s="136" t="str">
        <f t="shared" si="119"/>
        <v/>
      </c>
    </row>
    <row r="1968" spans="1:9" hidden="1" x14ac:dyDescent="0.25">
      <c r="A1968" s="114" t="s">
        <v>5687</v>
      </c>
      <c r="B1968" s="115" t="s">
        <v>4479</v>
      </c>
      <c r="C1968" s="116" t="s">
        <v>20</v>
      </c>
      <c r="D1968" s="116">
        <v>0</v>
      </c>
      <c r="E1968" s="135" t="s">
        <v>558</v>
      </c>
      <c r="F1968" s="136" t="str">
        <f t="shared" si="117"/>
        <v/>
      </c>
      <c r="G1968" s="137" t="e">
        <f>IF(A1968&lt;&gt;"",IF(AND(#REF!="Padrão",$H$4=#REF!),BDI!$B$17,IF(AND(#REF!="Padrão",$H$4=#REF!),BDI!#REF!,IF(AND(#REF!="Diferenciado",$H$4=#REF!),BDI!$E$17,IF(AND(#REF!="Diferenciado",$H$4=#REF!),BDI!#REF!,IF(#REF!="ZERO",0))))),"")</f>
        <v>#REF!</v>
      </c>
      <c r="H1968" s="138" t="str">
        <f t="shared" si="118"/>
        <v/>
      </c>
      <c r="I1968" s="136" t="str">
        <f t="shared" si="119"/>
        <v/>
      </c>
    </row>
    <row r="1969" spans="1:9" hidden="1" x14ac:dyDescent="0.25">
      <c r="A1969" s="114" t="s">
        <v>5688</v>
      </c>
      <c r="B1969" s="115" t="s">
        <v>4480</v>
      </c>
      <c r="C1969" s="116" t="s">
        <v>20</v>
      </c>
      <c r="D1969" s="116">
        <v>0</v>
      </c>
      <c r="E1969" s="135" t="s">
        <v>558</v>
      </c>
      <c r="F1969" s="136" t="str">
        <f t="shared" si="117"/>
        <v/>
      </c>
      <c r="G1969" s="137" t="e">
        <f>IF(A1969&lt;&gt;"",IF(AND(#REF!="Padrão",$H$4=#REF!),BDI!$B$17,IF(AND(#REF!="Padrão",$H$4=#REF!),BDI!#REF!,IF(AND(#REF!="Diferenciado",$H$4=#REF!),BDI!$E$17,IF(AND(#REF!="Diferenciado",$H$4=#REF!),BDI!#REF!,IF(#REF!="ZERO",0))))),"")</f>
        <v>#REF!</v>
      </c>
      <c r="H1969" s="138" t="str">
        <f t="shared" si="118"/>
        <v/>
      </c>
      <c r="I1969" s="136" t="str">
        <f t="shared" si="119"/>
        <v/>
      </c>
    </row>
    <row r="1970" spans="1:9" hidden="1" x14ac:dyDescent="0.25">
      <c r="A1970" s="114" t="s">
        <v>5689</v>
      </c>
      <c r="B1970" s="115" t="s">
        <v>4481</v>
      </c>
      <c r="C1970" s="116" t="s">
        <v>20</v>
      </c>
      <c r="D1970" s="116">
        <v>0</v>
      </c>
      <c r="E1970" s="135" t="s">
        <v>558</v>
      </c>
      <c r="F1970" s="136" t="str">
        <f t="shared" si="117"/>
        <v/>
      </c>
      <c r="G1970" s="137" t="e">
        <f>IF(A1970&lt;&gt;"",IF(AND(#REF!="Padrão",$H$4=#REF!),BDI!$B$17,IF(AND(#REF!="Padrão",$H$4=#REF!),BDI!#REF!,IF(AND(#REF!="Diferenciado",$H$4=#REF!),BDI!$E$17,IF(AND(#REF!="Diferenciado",$H$4=#REF!),BDI!#REF!,IF(#REF!="ZERO",0))))),"")</f>
        <v>#REF!</v>
      </c>
      <c r="H1970" s="138" t="str">
        <f t="shared" si="118"/>
        <v/>
      </c>
      <c r="I1970" s="136" t="str">
        <f t="shared" si="119"/>
        <v/>
      </c>
    </row>
    <row r="1971" spans="1:9" hidden="1" x14ac:dyDescent="0.25">
      <c r="A1971" s="114" t="s">
        <v>5690</v>
      </c>
      <c r="B1971" s="115" t="s">
        <v>4482</v>
      </c>
      <c r="C1971" s="116" t="s">
        <v>20</v>
      </c>
      <c r="D1971" s="116">
        <v>0</v>
      </c>
      <c r="E1971" s="135" t="s">
        <v>558</v>
      </c>
      <c r="F1971" s="136" t="str">
        <f t="shared" si="117"/>
        <v/>
      </c>
      <c r="G1971" s="137" t="e">
        <f>IF(A1971&lt;&gt;"",IF(AND(#REF!="Padrão",$H$4=#REF!),BDI!$B$17,IF(AND(#REF!="Padrão",$H$4=#REF!),BDI!#REF!,IF(AND(#REF!="Diferenciado",$H$4=#REF!),BDI!$E$17,IF(AND(#REF!="Diferenciado",$H$4=#REF!),BDI!#REF!,IF(#REF!="ZERO",0))))),"")</f>
        <v>#REF!</v>
      </c>
      <c r="H1971" s="138" t="str">
        <f t="shared" si="118"/>
        <v/>
      </c>
      <c r="I1971" s="136" t="str">
        <f t="shared" si="119"/>
        <v/>
      </c>
    </row>
    <row r="1972" spans="1:9" hidden="1" x14ac:dyDescent="0.25">
      <c r="A1972" s="114" t="s">
        <v>5691</v>
      </c>
      <c r="B1972" s="115" t="s">
        <v>4483</v>
      </c>
      <c r="C1972" s="116" t="s">
        <v>20</v>
      </c>
      <c r="D1972" s="116">
        <v>0</v>
      </c>
      <c r="E1972" s="135" t="s">
        <v>558</v>
      </c>
      <c r="F1972" s="136" t="str">
        <f t="shared" si="117"/>
        <v/>
      </c>
      <c r="G1972" s="137" t="e">
        <f>IF(A1972&lt;&gt;"",IF(AND(#REF!="Padrão",$H$4=#REF!),BDI!$B$17,IF(AND(#REF!="Padrão",$H$4=#REF!),BDI!#REF!,IF(AND(#REF!="Diferenciado",$H$4=#REF!),BDI!$E$17,IF(AND(#REF!="Diferenciado",$H$4=#REF!),BDI!#REF!,IF(#REF!="ZERO",0))))),"")</f>
        <v>#REF!</v>
      </c>
      <c r="H1972" s="138" t="str">
        <f t="shared" si="118"/>
        <v/>
      </c>
      <c r="I1972" s="136" t="str">
        <f t="shared" si="119"/>
        <v/>
      </c>
    </row>
    <row r="1973" spans="1:9" hidden="1" x14ac:dyDescent="0.25">
      <c r="A1973" s="114" t="s">
        <v>5692</v>
      </c>
      <c r="B1973" s="115" t="s">
        <v>4484</v>
      </c>
      <c r="C1973" s="116" t="s">
        <v>20</v>
      </c>
      <c r="D1973" s="116">
        <v>0</v>
      </c>
      <c r="E1973" s="135" t="s">
        <v>558</v>
      </c>
      <c r="F1973" s="136" t="str">
        <f t="shared" si="117"/>
        <v/>
      </c>
      <c r="G1973" s="137" t="e">
        <f>IF(A1973&lt;&gt;"",IF(AND(#REF!="Padrão",$H$4=#REF!),BDI!$B$17,IF(AND(#REF!="Padrão",$H$4=#REF!),BDI!#REF!,IF(AND(#REF!="Diferenciado",$H$4=#REF!),BDI!$E$17,IF(AND(#REF!="Diferenciado",$H$4=#REF!),BDI!#REF!,IF(#REF!="ZERO",0))))),"")</f>
        <v>#REF!</v>
      </c>
      <c r="H1973" s="138" t="str">
        <f t="shared" si="118"/>
        <v/>
      </c>
      <c r="I1973" s="136" t="str">
        <f t="shared" si="119"/>
        <v/>
      </c>
    </row>
    <row r="1974" spans="1:9" hidden="1" x14ac:dyDescent="0.25">
      <c r="A1974" s="114" t="s">
        <v>5693</v>
      </c>
      <c r="B1974" s="115" t="s">
        <v>4485</v>
      </c>
      <c r="C1974" s="116" t="s">
        <v>20</v>
      </c>
      <c r="D1974" s="116">
        <v>0</v>
      </c>
      <c r="E1974" s="135" t="s">
        <v>558</v>
      </c>
      <c r="F1974" s="136" t="str">
        <f t="shared" si="117"/>
        <v/>
      </c>
      <c r="G1974" s="137" t="e">
        <f>IF(A1974&lt;&gt;"",IF(AND(#REF!="Padrão",$H$4=#REF!),BDI!$B$17,IF(AND(#REF!="Padrão",$H$4=#REF!),BDI!#REF!,IF(AND(#REF!="Diferenciado",$H$4=#REF!),BDI!$E$17,IF(AND(#REF!="Diferenciado",$H$4=#REF!),BDI!#REF!,IF(#REF!="ZERO",0))))),"")</f>
        <v>#REF!</v>
      </c>
      <c r="H1974" s="138" t="str">
        <f t="shared" si="118"/>
        <v/>
      </c>
      <c r="I1974" s="136" t="str">
        <f t="shared" si="119"/>
        <v/>
      </c>
    </row>
    <row r="1975" spans="1:9" hidden="1" x14ac:dyDescent="0.25">
      <c r="A1975" s="114" t="s">
        <v>5694</v>
      </c>
      <c r="B1975" s="115" t="s">
        <v>4486</v>
      </c>
      <c r="C1975" s="116" t="s">
        <v>20</v>
      </c>
      <c r="D1975" s="116">
        <v>0</v>
      </c>
      <c r="E1975" s="135" t="s">
        <v>558</v>
      </c>
      <c r="F1975" s="136" t="str">
        <f t="shared" si="117"/>
        <v/>
      </c>
      <c r="G1975" s="137" t="e">
        <f>IF(A1975&lt;&gt;"",IF(AND(#REF!="Padrão",$H$4=#REF!),BDI!$B$17,IF(AND(#REF!="Padrão",$H$4=#REF!),BDI!#REF!,IF(AND(#REF!="Diferenciado",$H$4=#REF!),BDI!$E$17,IF(AND(#REF!="Diferenciado",$H$4=#REF!),BDI!#REF!,IF(#REF!="ZERO",0))))),"")</f>
        <v>#REF!</v>
      </c>
      <c r="H1975" s="138" t="str">
        <f t="shared" si="118"/>
        <v/>
      </c>
      <c r="I1975" s="136" t="str">
        <f t="shared" si="119"/>
        <v/>
      </c>
    </row>
    <row r="1976" spans="1:9" hidden="1" x14ac:dyDescent="0.25">
      <c r="A1976" s="114" t="s">
        <v>5695</v>
      </c>
      <c r="B1976" s="115" t="s">
        <v>4487</v>
      </c>
      <c r="C1976" s="116" t="s">
        <v>20</v>
      </c>
      <c r="D1976" s="116">
        <v>0</v>
      </c>
      <c r="E1976" s="135" t="s">
        <v>558</v>
      </c>
      <c r="F1976" s="136" t="str">
        <f t="shared" si="117"/>
        <v/>
      </c>
      <c r="G1976" s="137" t="e">
        <f>IF(A1976&lt;&gt;"",IF(AND(#REF!="Padrão",$H$4=#REF!),BDI!$B$17,IF(AND(#REF!="Padrão",$H$4=#REF!),BDI!#REF!,IF(AND(#REF!="Diferenciado",$H$4=#REF!),BDI!$E$17,IF(AND(#REF!="Diferenciado",$H$4=#REF!),BDI!#REF!,IF(#REF!="ZERO",0))))),"")</f>
        <v>#REF!</v>
      </c>
      <c r="H1976" s="138" t="str">
        <f t="shared" si="118"/>
        <v/>
      </c>
      <c r="I1976" s="136" t="str">
        <f t="shared" si="119"/>
        <v/>
      </c>
    </row>
    <row r="1977" spans="1:9" hidden="1" x14ac:dyDescent="0.25">
      <c r="A1977" s="114" t="s">
        <v>5696</v>
      </c>
      <c r="B1977" s="115" t="s">
        <v>4488</v>
      </c>
      <c r="C1977" s="116" t="s">
        <v>20</v>
      </c>
      <c r="D1977" s="116">
        <v>0</v>
      </c>
      <c r="E1977" s="135" t="s">
        <v>558</v>
      </c>
      <c r="F1977" s="136" t="str">
        <f t="shared" si="117"/>
        <v/>
      </c>
      <c r="G1977" s="137" t="e">
        <f>IF(A1977&lt;&gt;"",IF(AND(#REF!="Padrão",$H$4=#REF!),BDI!$B$17,IF(AND(#REF!="Padrão",$H$4=#REF!),BDI!#REF!,IF(AND(#REF!="Diferenciado",$H$4=#REF!),BDI!$E$17,IF(AND(#REF!="Diferenciado",$H$4=#REF!),BDI!#REF!,IF(#REF!="ZERO",0))))),"")</f>
        <v>#REF!</v>
      </c>
      <c r="H1977" s="138" t="str">
        <f t="shared" si="118"/>
        <v/>
      </c>
      <c r="I1977" s="136" t="str">
        <f t="shared" si="119"/>
        <v/>
      </c>
    </row>
    <row r="1978" spans="1:9" hidden="1" x14ac:dyDescent="0.25">
      <c r="A1978" s="114" t="s">
        <v>5697</v>
      </c>
      <c r="B1978" s="115" t="s">
        <v>4489</v>
      </c>
      <c r="C1978" s="116" t="s">
        <v>20</v>
      </c>
      <c r="D1978" s="116">
        <v>0</v>
      </c>
      <c r="E1978" s="135" t="s">
        <v>558</v>
      </c>
      <c r="F1978" s="136" t="str">
        <f t="shared" si="117"/>
        <v/>
      </c>
      <c r="G1978" s="137" t="e">
        <f>IF(A1978&lt;&gt;"",IF(AND(#REF!="Padrão",$H$4=#REF!),BDI!$B$17,IF(AND(#REF!="Padrão",$H$4=#REF!),BDI!#REF!,IF(AND(#REF!="Diferenciado",$H$4=#REF!),BDI!$E$17,IF(AND(#REF!="Diferenciado",$H$4=#REF!),BDI!#REF!,IF(#REF!="ZERO",0))))),"")</f>
        <v>#REF!</v>
      </c>
      <c r="H1978" s="138" t="str">
        <f t="shared" si="118"/>
        <v/>
      </c>
      <c r="I1978" s="136" t="str">
        <f t="shared" si="119"/>
        <v/>
      </c>
    </row>
    <row r="1979" spans="1:9" hidden="1" x14ac:dyDescent="0.25">
      <c r="A1979" s="114" t="s">
        <v>5698</v>
      </c>
      <c r="B1979" s="115" t="s">
        <v>4490</v>
      </c>
      <c r="C1979" s="116" t="s">
        <v>20</v>
      </c>
      <c r="D1979" s="116">
        <v>0</v>
      </c>
      <c r="E1979" s="135" t="s">
        <v>558</v>
      </c>
      <c r="F1979" s="136" t="str">
        <f t="shared" si="117"/>
        <v/>
      </c>
      <c r="G1979" s="137" t="e">
        <f>IF(A1979&lt;&gt;"",IF(AND(#REF!="Padrão",$H$4=#REF!),BDI!$B$17,IF(AND(#REF!="Padrão",$H$4=#REF!),BDI!#REF!,IF(AND(#REF!="Diferenciado",$H$4=#REF!),BDI!$E$17,IF(AND(#REF!="Diferenciado",$H$4=#REF!),BDI!#REF!,IF(#REF!="ZERO",0))))),"")</f>
        <v>#REF!</v>
      </c>
      <c r="H1979" s="138" t="str">
        <f t="shared" si="118"/>
        <v/>
      </c>
      <c r="I1979" s="136" t="str">
        <f t="shared" si="119"/>
        <v/>
      </c>
    </row>
    <row r="1980" spans="1:9" hidden="1" x14ac:dyDescent="0.25">
      <c r="A1980" s="114" t="s">
        <v>5699</v>
      </c>
      <c r="B1980" s="115" t="s">
        <v>4491</v>
      </c>
      <c r="C1980" s="116" t="s">
        <v>20</v>
      </c>
      <c r="D1980" s="116">
        <v>0</v>
      </c>
      <c r="E1980" s="135" t="s">
        <v>558</v>
      </c>
      <c r="F1980" s="136" t="str">
        <f t="shared" si="117"/>
        <v/>
      </c>
      <c r="G1980" s="137" t="e">
        <f>IF(A1980&lt;&gt;"",IF(AND(#REF!="Padrão",$H$4=#REF!),BDI!$B$17,IF(AND(#REF!="Padrão",$H$4=#REF!),BDI!#REF!,IF(AND(#REF!="Diferenciado",$H$4=#REF!),BDI!$E$17,IF(AND(#REF!="Diferenciado",$H$4=#REF!),BDI!#REF!,IF(#REF!="ZERO",0))))),"")</f>
        <v>#REF!</v>
      </c>
      <c r="H1980" s="138" t="str">
        <f t="shared" si="118"/>
        <v/>
      </c>
      <c r="I1980" s="136" t="str">
        <f t="shared" si="119"/>
        <v/>
      </c>
    </row>
    <row r="1981" spans="1:9" hidden="1" x14ac:dyDescent="0.25">
      <c r="A1981" s="114" t="s">
        <v>5700</v>
      </c>
      <c r="B1981" s="115" t="s">
        <v>4492</v>
      </c>
      <c r="C1981" s="116" t="s">
        <v>20</v>
      </c>
      <c r="D1981" s="116">
        <v>0</v>
      </c>
      <c r="E1981" s="135" t="s">
        <v>558</v>
      </c>
      <c r="F1981" s="136" t="str">
        <f t="shared" si="117"/>
        <v/>
      </c>
      <c r="G1981" s="137" t="e">
        <f>IF(A1981&lt;&gt;"",IF(AND(#REF!="Padrão",$H$4=#REF!),BDI!$B$17,IF(AND(#REF!="Padrão",$H$4=#REF!),BDI!#REF!,IF(AND(#REF!="Diferenciado",$H$4=#REF!),BDI!$E$17,IF(AND(#REF!="Diferenciado",$H$4=#REF!),BDI!#REF!,IF(#REF!="ZERO",0))))),"")</f>
        <v>#REF!</v>
      </c>
      <c r="H1981" s="138" t="str">
        <f t="shared" si="118"/>
        <v/>
      </c>
      <c r="I1981" s="136" t="str">
        <f t="shared" si="119"/>
        <v/>
      </c>
    </row>
    <row r="1982" spans="1:9" hidden="1" x14ac:dyDescent="0.25">
      <c r="A1982" s="114" t="s">
        <v>5701</v>
      </c>
      <c r="B1982" s="115" t="s">
        <v>4493</v>
      </c>
      <c r="C1982" s="116" t="s">
        <v>20</v>
      </c>
      <c r="D1982" s="116">
        <v>0</v>
      </c>
      <c r="E1982" s="135" t="s">
        <v>558</v>
      </c>
      <c r="F1982" s="136" t="str">
        <f t="shared" si="117"/>
        <v/>
      </c>
      <c r="G1982" s="137" t="e">
        <f>IF(A1982&lt;&gt;"",IF(AND(#REF!="Padrão",$H$4=#REF!),BDI!$B$17,IF(AND(#REF!="Padrão",$H$4=#REF!),BDI!#REF!,IF(AND(#REF!="Diferenciado",$H$4=#REF!),BDI!$E$17,IF(AND(#REF!="Diferenciado",$H$4=#REF!),BDI!#REF!,IF(#REF!="ZERO",0))))),"")</f>
        <v>#REF!</v>
      </c>
      <c r="H1982" s="138" t="str">
        <f t="shared" si="118"/>
        <v/>
      </c>
      <c r="I1982" s="136" t="str">
        <f t="shared" si="119"/>
        <v/>
      </c>
    </row>
    <row r="1983" spans="1:9" hidden="1" x14ac:dyDescent="0.25">
      <c r="A1983" s="114" t="s">
        <v>5702</v>
      </c>
      <c r="B1983" s="115" t="s">
        <v>4494</v>
      </c>
      <c r="C1983" s="116" t="s">
        <v>20</v>
      </c>
      <c r="D1983" s="116">
        <v>0</v>
      </c>
      <c r="E1983" s="135" t="s">
        <v>558</v>
      </c>
      <c r="F1983" s="136" t="str">
        <f t="shared" si="117"/>
        <v/>
      </c>
      <c r="G1983" s="137" t="e">
        <f>IF(A1983&lt;&gt;"",IF(AND(#REF!="Padrão",$H$4=#REF!),BDI!$B$17,IF(AND(#REF!="Padrão",$H$4=#REF!),BDI!#REF!,IF(AND(#REF!="Diferenciado",$H$4=#REF!),BDI!$E$17,IF(AND(#REF!="Diferenciado",$H$4=#REF!),BDI!#REF!,IF(#REF!="ZERO",0))))),"")</f>
        <v>#REF!</v>
      </c>
      <c r="H1983" s="138" t="str">
        <f t="shared" si="118"/>
        <v/>
      </c>
      <c r="I1983" s="136" t="str">
        <f t="shared" si="119"/>
        <v/>
      </c>
    </row>
    <row r="1984" spans="1:9" hidden="1" x14ac:dyDescent="0.25">
      <c r="A1984" s="114" t="s">
        <v>5703</v>
      </c>
      <c r="B1984" s="115" t="s">
        <v>4495</v>
      </c>
      <c r="C1984" s="116" t="s">
        <v>20</v>
      </c>
      <c r="D1984" s="116">
        <v>0</v>
      </c>
      <c r="E1984" s="135" t="s">
        <v>558</v>
      </c>
      <c r="F1984" s="136" t="str">
        <f t="shared" si="117"/>
        <v/>
      </c>
      <c r="G1984" s="137" t="e">
        <f>IF(A1984&lt;&gt;"",IF(AND(#REF!="Padrão",$H$4=#REF!),BDI!$B$17,IF(AND(#REF!="Padrão",$H$4=#REF!),BDI!#REF!,IF(AND(#REF!="Diferenciado",$H$4=#REF!),BDI!$E$17,IF(AND(#REF!="Diferenciado",$H$4=#REF!),BDI!#REF!,IF(#REF!="ZERO",0))))),"")</f>
        <v>#REF!</v>
      </c>
      <c r="H1984" s="138" t="str">
        <f t="shared" si="118"/>
        <v/>
      </c>
      <c r="I1984" s="136" t="str">
        <f t="shared" si="119"/>
        <v/>
      </c>
    </row>
    <row r="1985" spans="1:9" hidden="1" x14ac:dyDescent="0.25">
      <c r="A1985" s="114" t="s">
        <v>5704</v>
      </c>
      <c r="B1985" s="115" t="s">
        <v>4496</v>
      </c>
      <c r="C1985" s="116" t="s">
        <v>20</v>
      </c>
      <c r="D1985" s="116">
        <v>0</v>
      </c>
      <c r="E1985" s="135" t="s">
        <v>558</v>
      </c>
      <c r="F1985" s="136" t="str">
        <f t="shared" si="117"/>
        <v/>
      </c>
      <c r="G1985" s="137" t="e">
        <f>IF(A1985&lt;&gt;"",IF(AND(#REF!="Padrão",$H$4=#REF!),BDI!$B$17,IF(AND(#REF!="Padrão",$H$4=#REF!),BDI!#REF!,IF(AND(#REF!="Diferenciado",$H$4=#REF!),BDI!$E$17,IF(AND(#REF!="Diferenciado",$H$4=#REF!),BDI!#REF!,IF(#REF!="ZERO",0))))),"")</f>
        <v>#REF!</v>
      </c>
      <c r="H1985" s="138" t="str">
        <f t="shared" si="118"/>
        <v/>
      </c>
      <c r="I1985" s="136" t="str">
        <f t="shared" si="119"/>
        <v/>
      </c>
    </row>
    <row r="1986" spans="1:9" hidden="1" x14ac:dyDescent="0.25">
      <c r="A1986" s="114" t="s">
        <v>5705</v>
      </c>
      <c r="B1986" s="115" t="s">
        <v>4497</v>
      </c>
      <c r="C1986" s="116" t="s">
        <v>20</v>
      </c>
      <c r="D1986" s="116">
        <v>0</v>
      </c>
      <c r="E1986" s="135" t="s">
        <v>558</v>
      </c>
      <c r="F1986" s="136" t="str">
        <f t="shared" si="117"/>
        <v/>
      </c>
      <c r="G1986" s="137" t="e">
        <f>IF(A1986&lt;&gt;"",IF(AND(#REF!="Padrão",$H$4=#REF!),BDI!$B$17,IF(AND(#REF!="Padrão",$H$4=#REF!),BDI!#REF!,IF(AND(#REF!="Diferenciado",$H$4=#REF!),BDI!$E$17,IF(AND(#REF!="Diferenciado",$H$4=#REF!),BDI!#REF!,IF(#REF!="ZERO",0))))),"")</f>
        <v>#REF!</v>
      </c>
      <c r="H1986" s="138" t="str">
        <f t="shared" si="118"/>
        <v/>
      </c>
      <c r="I1986" s="136" t="str">
        <f t="shared" si="119"/>
        <v/>
      </c>
    </row>
    <row r="1987" spans="1:9" hidden="1" x14ac:dyDescent="0.25">
      <c r="A1987" s="114" t="s">
        <v>5706</v>
      </c>
      <c r="B1987" s="115" t="s">
        <v>4498</v>
      </c>
      <c r="C1987" s="116" t="s">
        <v>20</v>
      </c>
      <c r="D1987" s="116">
        <v>0</v>
      </c>
      <c r="E1987" s="135" t="s">
        <v>558</v>
      </c>
      <c r="F1987" s="136" t="str">
        <f t="shared" si="117"/>
        <v/>
      </c>
      <c r="G1987" s="137" t="e">
        <f>IF(A1987&lt;&gt;"",IF(AND(#REF!="Padrão",$H$4=#REF!),BDI!$B$17,IF(AND(#REF!="Padrão",$H$4=#REF!),BDI!#REF!,IF(AND(#REF!="Diferenciado",$H$4=#REF!),BDI!$E$17,IF(AND(#REF!="Diferenciado",$H$4=#REF!),BDI!#REF!,IF(#REF!="ZERO",0))))),"")</f>
        <v>#REF!</v>
      </c>
      <c r="H1987" s="138" t="str">
        <f t="shared" si="118"/>
        <v/>
      </c>
      <c r="I1987" s="136" t="str">
        <f t="shared" si="119"/>
        <v/>
      </c>
    </row>
    <row r="1988" spans="1:9" hidden="1" x14ac:dyDescent="0.25">
      <c r="A1988" s="114" t="s">
        <v>5707</v>
      </c>
      <c r="B1988" s="115" t="s">
        <v>4499</v>
      </c>
      <c r="C1988" s="116" t="s">
        <v>20</v>
      </c>
      <c r="D1988" s="116">
        <v>0</v>
      </c>
      <c r="E1988" s="135" t="s">
        <v>558</v>
      </c>
      <c r="F1988" s="136" t="str">
        <f t="shared" si="117"/>
        <v/>
      </c>
      <c r="G1988" s="137" t="e">
        <f>IF(A1988&lt;&gt;"",IF(AND(#REF!="Padrão",$H$4=#REF!),BDI!$B$17,IF(AND(#REF!="Padrão",$H$4=#REF!),BDI!#REF!,IF(AND(#REF!="Diferenciado",$H$4=#REF!),BDI!$E$17,IF(AND(#REF!="Diferenciado",$H$4=#REF!),BDI!#REF!,IF(#REF!="ZERO",0))))),"")</f>
        <v>#REF!</v>
      </c>
      <c r="H1988" s="138" t="str">
        <f t="shared" si="118"/>
        <v/>
      </c>
      <c r="I1988" s="136" t="str">
        <f t="shared" si="119"/>
        <v/>
      </c>
    </row>
    <row r="1989" spans="1:9" hidden="1" x14ac:dyDescent="0.25">
      <c r="A1989" s="114" t="s">
        <v>5708</v>
      </c>
      <c r="B1989" s="115" t="s">
        <v>4500</v>
      </c>
      <c r="C1989" s="116" t="s">
        <v>20</v>
      </c>
      <c r="D1989" s="116">
        <v>0</v>
      </c>
      <c r="E1989" s="135" t="s">
        <v>558</v>
      </c>
      <c r="F1989" s="136" t="str">
        <f t="shared" si="117"/>
        <v/>
      </c>
      <c r="G1989" s="137" t="e">
        <f>IF(A1989&lt;&gt;"",IF(AND(#REF!="Padrão",$H$4=#REF!),BDI!$B$17,IF(AND(#REF!="Padrão",$H$4=#REF!),BDI!#REF!,IF(AND(#REF!="Diferenciado",$H$4=#REF!),BDI!$E$17,IF(AND(#REF!="Diferenciado",$H$4=#REF!),BDI!#REF!,IF(#REF!="ZERO",0))))),"")</f>
        <v>#REF!</v>
      </c>
      <c r="H1989" s="138" t="str">
        <f t="shared" si="118"/>
        <v/>
      </c>
      <c r="I1989" s="136" t="str">
        <f t="shared" si="119"/>
        <v/>
      </c>
    </row>
    <row r="1990" spans="1:9" hidden="1" x14ac:dyDescent="0.25">
      <c r="A1990" s="114" t="s">
        <v>5709</v>
      </c>
      <c r="B1990" s="115" t="s">
        <v>4501</v>
      </c>
      <c r="C1990" s="116" t="s">
        <v>20</v>
      </c>
      <c r="D1990" s="116">
        <v>0</v>
      </c>
      <c r="E1990" s="135" t="s">
        <v>558</v>
      </c>
      <c r="F1990" s="136" t="str">
        <f t="shared" si="117"/>
        <v/>
      </c>
      <c r="G1990" s="137" t="e">
        <f>IF(A1990&lt;&gt;"",IF(AND(#REF!="Padrão",$H$4=#REF!),BDI!$B$17,IF(AND(#REF!="Padrão",$H$4=#REF!),BDI!#REF!,IF(AND(#REF!="Diferenciado",$H$4=#REF!),BDI!$E$17,IF(AND(#REF!="Diferenciado",$H$4=#REF!),BDI!#REF!,IF(#REF!="ZERO",0))))),"")</f>
        <v>#REF!</v>
      </c>
      <c r="H1990" s="138" t="str">
        <f t="shared" si="118"/>
        <v/>
      </c>
      <c r="I1990" s="136" t="str">
        <f t="shared" si="119"/>
        <v/>
      </c>
    </row>
    <row r="1991" spans="1:9" hidden="1" x14ac:dyDescent="0.25">
      <c r="A1991" s="114" t="s">
        <v>5710</v>
      </c>
      <c r="B1991" s="115" t="s">
        <v>4502</v>
      </c>
      <c r="C1991" s="116" t="s">
        <v>20</v>
      </c>
      <c r="D1991" s="116">
        <v>0</v>
      </c>
      <c r="E1991" s="135" t="s">
        <v>558</v>
      </c>
      <c r="F1991" s="136" t="str">
        <f t="shared" si="117"/>
        <v/>
      </c>
      <c r="G1991" s="137" t="e">
        <f>IF(A1991&lt;&gt;"",IF(AND(#REF!="Padrão",$H$4=#REF!),BDI!$B$17,IF(AND(#REF!="Padrão",$H$4=#REF!),BDI!#REF!,IF(AND(#REF!="Diferenciado",$H$4=#REF!),BDI!$E$17,IF(AND(#REF!="Diferenciado",$H$4=#REF!),BDI!#REF!,IF(#REF!="ZERO",0))))),"")</f>
        <v>#REF!</v>
      </c>
      <c r="H1991" s="138" t="str">
        <f t="shared" si="118"/>
        <v/>
      </c>
      <c r="I1991" s="136" t="str">
        <f t="shared" si="119"/>
        <v/>
      </c>
    </row>
    <row r="1992" spans="1:9" hidden="1" x14ac:dyDescent="0.25">
      <c r="A1992" s="114" t="s">
        <v>5711</v>
      </c>
      <c r="B1992" s="115" t="s">
        <v>4503</v>
      </c>
      <c r="C1992" s="116" t="s">
        <v>20</v>
      </c>
      <c r="D1992" s="116">
        <v>0</v>
      </c>
      <c r="E1992" s="135" t="s">
        <v>558</v>
      </c>
      <c r="F1992" s="136" t="str">
        <f t="shared" si="117"/>
        <v/>
      </c>
      <c r="G1992" s="137" t="e">
        <f>IF(A1992&lt;&gt;"",IF(AND(#REF!="Padrão",$H$4=#REF!),BDI!$B$17,IF(AND(#REF!="Padrão",$H$4=#REF!),BDI!#REF!,IF(AND(#REF!="Diferenciado",$H$4=#REF!),BDI!$E$17,IF(AND(#REF!="Diferenciado",$H$4=#REF!),BDI!#REF!,IF(#REF!="ZERO",0))))),"")</f>
        <v>#REF!</v>
      </c>
      <c r="H1992" s="138" t="str">
        <f t="shared" si="118"/>
        <v/>
      </c>
      <c r="I1992" s="136" t="str">
        <f t="shared" si="119"/>
        <v/>
      </c>
    </row>
    <row r="1993" spans="1:9" hidden="1" x14ac:dyDescent="0.25">
      <c r="A1993" s="114" t="s">
        <v>5712</v>
      </c>
      <c r="B1993" s="115" t="s">
        <v>4504</v>
      </c>
      <c r="C1993" s="116" t="s">
        <v>20</v>
      </c>
      <c r="D1993" s="116">
        <v>0</v>
      </c>
      <c r="E1993" s="135" t="s">
        <v>558</v>
      </c>
      <c r="F1993" s="136" t="str">
        <f t="shared" si="117"/>
        <v/>
      </c>
      <c r="G1993" s="137" t="e">
        <f>IF(A1993&lt;&gt;"",IF(AND(#REF!="Padrão",$H$4=#REF!),BDI!$B$17,IF(AND(#REF!="Padrão",$H$4=#REF!),BDI!#REF!,IF(AND(#REF!="Diferenciado",$H$4=#REF!),BDI!$E$17,IF(AND(#REF!="Diferenciado",$H$4=#REF!),BDI!#REF!,IF(#REF!="ZERO",0))))),"")</f>
        <v>#REF!</v>
      </c>
      <c r="H1993" s="138" t="str">
        <f t="shared" si="118"/>
        <v/>
      </c>
      <c r="I1993" s="136" t="str">
        <f t="shared" si="119"/>
        <v/>
      </c>
    </row>
    <row r="1994" spans="1:9" hidden="1" x14ac:dyDescent="0.25">
      <c r="A1994" s="114" t="s">
        <v>5713</v>
      </c>
      <c r="B1994" s="115" t="s">
        <v>4505</v>
      </c>
      <c r="C1994" s="116" t="s">
        <v>20</v>
      </c>
      <c r="D1994" s="116">
        <v>0</v>
      </c>
      <c r="E1994" s="135" t="s">
        <v>558</v>
      </c>
      <c r="F1994" s="136" t="str">
        <f t="shared" si="117"/>
        <v/>
      </c>
      <c r="G1994" s="137" t="e">
        <f>IF(A1994&lt;&gt;"",IF(AND(#REF!="Padrão",$H$4=#REF!),BDI!$B$17,IF(AND(#REF!="Padrão",$H$4=#REF!),BDI!#REF!,IF(AND(#REF!="Diferenciado",$H$4=#REF!),BDI!$E$17,IF(AND(#REF!="Diferenciado",$H$4=#REF!),BDI!#REF!,IF(#REF!="ZERO",0))))),"")</f>
        <v>#REF!</v>
      </c>
      <c r="H1994" s="138" t="str">
        <f t="shared" si="118"/>
        <v/>
      </c>
      <c r="I1994" s="136" t="str">
        <f t="shared" si="119"/>
        <v/>
      </c>
    </row>
    <row r="1995" spans="1:9" hidden="1" x14ac:dyDescent="0.25">
      <c r="A1995" s="114" t="s">
        <v>5714</v>
      </c>
      <c r="B1995" s="115" t="s">
        <v>4506</v>
      </c>
      <c r="C1995" s="116" t="s">
        <v>20</v>
      </c>
      <c r="D1995" s="116">
        <v>0</v>
      </c>
      <c r="E1995" s="135" t="s">
        <v>558</v>
      </c>
      <c r="F1995" s="136" t="str">
        <f t="shared" si="117"/>
        <v/>
      </c>
      <c r="G1995" s="137" t="e">
        <f>IF(A1995&lt;&gt;"",IF(AND(#REF!="Padrão",$H$4=#REF!),BDI!$B$17,IF(AND(#REF!="Padrão",$H$4=#REF!),BDI!#REF!,IF(AND(#REF!="Diferenciado",$H$4=#REF!),BDI!$E$17,IF(AND(#REF!="Diferenciado",$H$4=#REF!),BDI!#REF!,IF(#REF!="ZERO",0))))),"")</f>
        <v>#REF!</v>
      </c>
      <c r="H1995" s="138" t="str">
        <f t="shared" si="118"/>
        <v/>
      </c>
      <c r="I1995" s="136" t="str">
        <f t="shared" si="119"/>
        <v/>
      </c>
    </row>
    <row r="1996" spans="1:9" hidden="1" x14ac:dyDescent="0.25">
      <c r="A1996" s="114" t="s">
        <v>5715</v>
      </c>
      <c r="B1996" s="115" t="s">
        <v>4507</v>
      </c>
      <c r="C1996" s="116" t="s">
        <v>20</v>
      </c>
      <c r="D1996" s="116">
        <v>0</v>
      </c>
      <c r="E1996" s="135" t="s">
        <v>558</v>
      </c>
      <c r="F1996" s="136" t="str">
        <f t="shared" si="117"/>
        <v/>
      </c>
      <c r="G1996" s="137" t="e">
        <f>IF(A1996&lt;&gt;"",IF(AND(#REF!="Padrão",$H$4=#REF!),BDI!$B$17,IF(AND(#REF!="Padrão",$H$4=#REF!),BDI!#REF!,IF(AND(#REF!="Diferenciado",$H$4=#REF!),BDI!$E$17,IF(AND(#REF!="Diferenciado",$H$4=#REF!),BDI!#REF!,IF(#REF!="ZERO",0))))),"")</f>
        <v>#REF!</v>
      </c>
      <c r="H1996" s="138" t="str">
        <f t="shared" si="118"/>
        <v/>
      </c>
      <c r="I1996" s="136" t="str">
        <f t="shared" si="119"/>
        <v/>
      </c>
    </row>
    <row r="1997" spans="1:9" hidden="1" x14ac:dyDescent="0.25">
      <c r="A1997" s="114" t="s">
        <v>5716</v>
      </c>
      <c r="B1997" s="115" t="s">
        <v>4508</v>
      </c>
      <c r="C1997" s="116" t="s">
        <v>20</v>
      </c>
      <c r="D1997" s="116">
        <v>0</v>
      </c>
      <c r="E1997" s="135" t="s">
        <v>558</v>
      </c>
      <c r="F1997" s="136" t="str">
        <f t="shared" si="117"/>
        <v/>
      </c>
      <c r="G1997" s="137" t="e">
        <f>IF(A1997&lt;&gt;"",IF(AND(#REF!="Padrão",$H$4=#REF!),BDI!$B$17,IF(AND(#REF!="Padrão",$H$4=#REF!),BDI!#REF!,IF(AND(#REF!="Diferenciado",$H$4=#REF!),BDI!$E$17,IF(AND(#REF!="Diferenciado",$H$4=#REF!),BDI!#REF!,IF(#REF!="ZERO",0))))),"")</f>
        <v>#REF!</v>
      </c>
      <c r="H1997" s="138" t="str">
        <f t="shared" si="118"/>
        <v/>
      </c>
      <c r="I1997" s="136" t="str">
        <f t="shared" si="119"/>
        <v/>
      </c>
    </row>
    <row r="1998" spans="1:9" hidden="1" x14ac:dyDescent="0.25">
      <c r="A1998" s="114" t="s">
        <v>5717</v>
      </c>
      <c r="B1998" s="115" t="s">
        <v>4509</v>
      </c>
      <c r="C1998" s="116" t="s">
        <v>20</v>
      </c>
      <c r="D1998" s="116">
        <v>0</v>
      </c>
      <c r="E1998" s="135" t="s">
        <v>558</v>
      </c>
      <c r="F1998" s="136" t="str">
        <f t="shared" si="117"/>
        <v/>
      </c>
      <c r="G1998" s="137" t="e">
        <f>IF(A1998&lt;&gt;"",IF(AND(#REF!="Padrão",$H$4=#REF!),BDI!$B$17,IF(AND(#REF!="Padrão",$H$4=#REF!),BDI!#REF!,IF(AND(#REF!="Diferenciado",$H$4=#REF!),BDI!$E$17,IF(AND(#REF!="Diferenciado",$H$4=#REF!),BDI!#REF!,IF(#REF!="ZERO",0))))),"")</f>
        <v>#REF!</v>
      </c>
      <c r="H1998" s="138" t="str">
        <f t="shared" si="118"/>
        <v/>
      </c>
      <c r="I1998" s="136" t="str">
        <f t="shared" si="119"/>
        <v/>
      </c>
    </row>
    <row r="1999" spans="1:9" hidden="1" x14ac:dyDescent="0.25">
      <c r="A1999" s="114" t="s">
        <v>5718</v>
      </c>
      <c r="B1999" s="115" t="s">
        <v>4510</v>
      </c>
      <c r="C1999" s="116" t="s">
        <v>20</v>
      </c>
      <c r="D1999" s="116">
        <v>0</v>
      </c>
      <c r="E1999" s="135" t="s">
        <v>558</v>
      </c>
      <c r="F1999" s="136" t="str">
        <f t="shared" si="117"/>
        <v/>
      </c>
      <c r="G1999" s="137" t="e">
        <f>IF(A1999&lt;&gt;"",IF(AND(#REF!="Padrão",$H$4=#REF!),BDI!$B$17,IF(AND(#REF!="Padrão",$H$4=#REF!),BDI!#REF!,IF(AND(#REF!="Diferenciado",$H$4=#REF!),BDI!$E$17,IF(AND(#REF!="Diferenciado",$H$4=#REF!),BDI!#REF!,IF(#REF!="ZERO",0))))),"")</f>
        <v>#REF!</v>
      </c>
      <c r="H1999" s="138" t="str">
        <f t="shared" si="118"/>
        <v/>
      </c>
      <c r="I1999" s="136" t="str">
        <f t="shared" si="119"/>
        <v/>
      </c>
    </row>
    <row r="2000" spans="1:9" hidden="1" x14ac:dyDescent="0.25">
      <c r="A2000" s="114" t="s">
        <v>5719</v>
      </c>
      <c r="B2000" s="115" t="s">
        <v>4511</v>
      </c>
      <c r="C2000" s="116" t="s">
        <v>20</v>
      </c>
      <c r="D2000" s="116">
        <v>0</v>
      </c>
      <c r="E2000" s="135" t="s">
        <v>558</v>
      </c>
      <c r="F2000" s="136" t="str">
        <f t="shared" si="117"/>
        <v/>
      </c>
      <c r="G2000" s="137" t="e">
        <f>IF(A2000&lt;&gt;"",IF(AND(#REF!="Padrão",$H$4=#REF!),BDI!$B$17,IF(AND(#REF!="Padrão",$H$4=#REF!),BDI!#REF!,IF(AND(#REF!="Diferenciado",$H$4=#REF!),BDI!$E$17,IF(AND(#REF!="Diferenciado",$H$4=#REF!),BDI!#REF!,IF(#REF!="ZERO",0))))),"")</f>
        <v>#REF!</v>
      </c>
      <c r="H2000" s="138" t="str">
        <f t="shared" si="118"/>
        <v/>
      </c>
      <c r="I2000" s="136" t="str">
        <f t="shared" si="119"/>
        <v/>
      </c>
    </row>
    <row r="2001" spans="1:9" hidden="1" x14ac:dyDescent="0.25">
      <c r="A2001" s="114" t="s">
        <v>5720</v>
      </c>
      <c r="B2001" s="115" t="s">
        <v>4512</v>
      </c>
      <c r="C2001" s="116" t="s">
        <v>20</v>
      </c>
      <c r="D2001" s="116">
        <v>0</v>
      </c>
      <c r="E2001" s="135" t="s">
        <v>558</v>
      </c>
      <c r="F2001" s="136" t="str">
        <f t="shared" si="117"/>
        <v/>
      </c>
      <c r="G2001" s="137" t="e">
        <f>IF(A2001&lt;&gt;"",IF(AND(#REF!="Padrão",$H$4=#REF!),BDI!$B$17,IF(AND(#REF!="Padrão",$H$4=#REF!),BDI!#REF!,IF(AND(#REF!="Diferenciado",$H$4=#REF!),BDI!$E$17,IF(AND(#REF!="Diferenciado",$H$4=#REF!),BDI!#REF!,IF(#REF!="ZERO",0))))),"")</f>
        <v>#REF!</v>
      </c>
      <c r="H2001" s="138" t="str">
        <f t="shared" si="118"/>
        <v/>
      </c>
      <c r="I2001" s="136" t="str">
        <f t="shared" si="119"/>
        <v/>
      </c>
    </row>
    <row r="2002" spans="1:9" hidden="1" x14ac:dyDescent="0.25">
      <c r="A2002" s="114" t="s">
        <v>5721</v>
      </c>
      <c r="B2002" s="115" t="s">
        <v>4513</v>
      </c>
      <c r="C2002" s="116" t="s">
        <v>20</v>
      </c>
      <c r="D2002" s="116">
        <v>0</v>
      </c>
      <c r="E2002" s="135" t="s">
        <v>558</v>
      </c>
      <c r="F2002" s="136" t="str">
        <f t="shared" si="117"/>
        <v/>
      </c>
      <c r="G2002" s="137" t="e">
        <f>IF(A2002&lt;&gt;"",IF(AND(#REF!="Padrão",$H$4=#REF!),BDI!$B$17,IF(AND(#REF!="Padrão",$H$4=#REF!),BDI!#REF!,IF(AND(#REF!="Diferenciado",$H$4=#REF!),BDI!$E$17,IF(AND(#REF!="Diferenciado",$H$4=#REF!),BDI!#REF!,IF(#REF!="ZERO",0))))),"")</f>
        <v>#REF!</v>
      </c>
      <c r="H2002" s="138" t="str">
        <f t="shared" si="118"/>
        <v/>
      </c>
      <c r="I2002" s="136" t="str">
        <f t="shared" si="119"/>
        <v/>
      </c>
    </row>
    <row r="2003" spans="1:9" hidden="1" x14ac:dyDescent="0.25">
      <c r="A2003" s="114" t="s">
        <v>5722</v>
      </c>
      <c r="B2003" s="115" t="s">
        <v>4514</v>
      </c>
      <c r="C2003" s="116" t="s">
        <v>20</v>
      </c>
      <c r="D2003" s="116">
        <v>0</v>
      </c>
      <c r="E2003" s="135" t="s">
        <v>558</v>
      </c>
      <c r="F2003" s="136" t="str">
        <f t="shared" si="117"/>
        <v/>
      </c>
      <c r="G2003" s="137" t="e">
        <f>IF(A2003&lt;&gt;"",IF(AND(#REF!="Padrão",$H$4=#REF!),BDI!$B$17,IF(AND(#REF!="Padrão",$H$4=#REF!),BDI!#REF!,IF(AND(#REF!="Diferenciado",$H$4=#REF!),BDI!$E$17,IF(AND(#REF!="Diferenciado",$H$4=#REF!),BDI!#REF!,IF(#REF!="ZERO",0))))),"")</f>
        <v>#REF!</v>
      </c>
      <c r="H2003" s="138" t="str">
        <f t="shared" si="118"/>
        <v/>
      </c>
      <c r="I2003" s="136" t="str">
        <f t="shared" si="119"/>
        <v/>
      </c>
    </row>
    <row r="2004" spans="1:9" hidden="1" x14ac:dyDescent="0.25">
      <c r="A2004" s="114" t="s">
        <v>5723</v>
      </c>
      <c r="B2004" s="115" t="s">
        <v>4515</v>
      </c>
      <c r="C2004" s="116" t="s">
        <v>20</v>
      </c>
      <c r="D2004" s="116">
        <v>0</v>
      </c>
      <c r="E2004" s="135" t="s">
        <v>558</v>
      </c>
      <c r="F2004" s="136" t="str">
        <f t="shared" si="117"/>
        <v/>
      </c>
      <c r="G2004" s="137" t="e">
        <f>IF(A2004&lt;&gt;"",IF(AND(#REF!="Padrão",$H$4=#REF!),BDI!$B$17,IF(AND(#REF!="Padrão",$H$4=#REF!),BDI!#REF!,IF(AND(#REF!="Diferenciado",$H$4=#REF!),BDI!$E$17,IF(AND(#REF!="Diferenciado",$H$4=#REF!),BDI!#REF!,IF(#REF!="ZERO",0))))),"")</f>
        <v>#REF!</v>
      </c>
      <c r="H2004" s="138" t="str">
        <f t="shared" si="118"/>
        <v/>
      </c>
      <c r="I2004" s="136" t="str">
        <f t="shared" si="119"/>
        <v/>
      </c>
    </row>
    <row r="2005" spans="1:9" hidden="1" x14ac:dyDescent="0.25">
      <c r="A2005" s="114" t="s">
        <v>5724</v>
      </c>
      <c r="B2005" s="115" t="s">
        <v>4516</v>
      </c>
      <c r="C2005" s="116" t="s">
        <v>20</v>
      </c>
      <c r="D2005" s="116">
        <v>0</v>
      </c>
      <c r="E2005" s="135" t="s">
        <v>558</v>
      </c>
      <c r="F2005" s="136" t="str">
        <f t="shared" si="117"/>
        <v/>
      </c>
      <c r="G2005" s="137" t="e">
        <f>IF(A2005&lt;&gt;"",IF(AND(#REF!="Padrão",$H$4=#REF!),BDI!$B$17,IF(AND(#REF!="Padrão",$H$4=#REF!),BDI!#REF!,IF(AND(#REF!="Diferenciado",$H$4=#REF!),BDI!$E$17,IF(AND(#REF!="Diferenciado",$H$4=#REF!),BDI!#REF!,IF(#REF!="ZERO",0))))),"")</f>
        <v>#REF!</v>
      </c>
      <c r="H2005" s="138" t="str">
        <f t="shared" si="118"/>
        <v/>
      </c>
      <c r="I2005" s="136" t="str">
        <f t="shared" si="119"/>
        <v/>
      </c>
    </row>
    <row r="2006" spans="1:9" hidden="1" x14ac:dyDescent="0.25">
      <c r="A2006" s="114" t="s">
        <v>5725</v>
      </c>
      <c r="B2006" s="115" t="s">
        <v>4517</v>
      </c>
      <c r="C2006" s="116" t="s">
        <v>20</v>
      </c>
      <c r="D2006" s="116">
        <v>0</v>
      </c>
      <c r="E2006" s="135" t="s">
        <v>558</v>
      </c>
      <c r="F2006" s="136" t="str">
        <f t="shared" si="117"/>
        <v/>
      </c>
      <c r="G2006" s="137" t="e">
        <f>IF(A2006&lt;&gt;"",IF(AND(#REF!="Padrão",$H$4=#REF!),BDI!$B$17,IF(AND(#REF!="Padrão",$H$4=#REF!),BDI!#REF!,IF(AND(#REF!="Diferenciado",$H$4=#REF!),BDI!$E$17,IF(AND(#REF!="Diferenciado",$H$4=#REF!),BDI!#REF!,IF(#REF!="ZERO",0))))),"")</f>
        <v>#REF!</v>
      </c>
      <c r="H2006" s="138" t="str">
        <f t="shared" si="118"/>
        <v/>
      </c>
      <c r="I2006" s="136" t="str">
        <f t="shared" si="119"/>
        <v/>
      </c>
    </row>
    <row r="2007" spans="1:9" hidden="1" x14ac:dyDescent="0.25">
      <c r="A2007" s="114" t="s">
        <v>5726</v>
      </c>
      <c r="B2007" s="115" t="s">
        <v>4518</v>
      </c>
      <c r="C2007" s="116" t="s">
        <v>20</v>
      </c>
      <c r="D2007" s="116">
        <v>0</v>
      </c>
      <c r="E2007" s="135" t="s">
        <v>558</v>
      </c>
      <c r="F2007" s="136" t="str">
        <f t="shared" si="117"/>
        <v/>
      </c>
      <c r="G2007" s="137" t="e">
        <f>IF(A2007&lt;&gt;"",IF(AND(#REF!="Padrão",$H$4=#REF!),BDI!$B$17,IF(AND(#REF!="Padrão",$H$4=#REF!),BDI!#REF!,IF(AND(#REF!="Diferenciado",$H$4=#REF!),BDI!$E$17,IF(AND(#REF!="Diferenciado",$H$4=#REF!),BDI!#REF!,IF(#REF!="ZERO",0))))),"")</f>
        <v>#REF!</v>
      </c>
      <c r="H2007" s="138" t="str">
        <f t="shared" si="118"/>
        <v/>
      </c>
      <c r="I2007" s="136" t="str">
        <f t="shared" si="119"/>
        <v/>
      </c>
    </row>
    <row r="2008" spans="1:9" hidden="1" x14ac:dyDescent="0.25">
      <c r="A2008" s="114" t="s">
        <v>5727</v>
      </c>
      <c r="B2008" s="115" t="s">
        <v>4519</v>
      </c>
      <c r="C2008" s="116" t="s">
        <v>20</v>
      </c>
      <c r="D2008" s="116">
        <v>0</v>
      </c>
      <c r="E2008" s="135" t="s">
        <v>558</v>
      </c>
      <c r="F2008" s="136" t="str">
        <f t="shared" si="117"/>
        <v/>
      </c>
      <c r="G2008" s="137" t="e">
        <f>IF(A2008&lt;&gt;"",IF(AND(#REF!="Padrão",$H$4=#REF!),BDI!$B$17,IF(AND(#REF!="Padrão",$H$4=#REF!),BDI!#REF!,IF(AND(#REF!="Diferenciado",$H$4=#REF!),BDI!$E$17,IF(AND(#REF!="Diferenciado",$H$4=#REF!),BDI!#REF!,IF(#REF!="ZERO",0))))),"")</f>
        <v>#REF!</v>
      </c>
      <c r="H2008" s="138" t="str">
        <f t="shared" si="118"/>
        <v/>
      </c>
      <c r="I2008" s="136" t="str">
        <f t="shared" si="119"/>
        <v/>
      </c>
    </row>
    <row r="2009" spans="1:9" hidden="1" x14ac:dyDescent="0.25">
      <c r="A2009" s="114" t="s">
        <v>5728</v>
      </c>
      <c r="B2009" s="115" t="s">
        <v>4520</v>
      </c>
      <c r="C2009" s="116" t="s">
        <v>20</v>
      </c>
      <c r="D2009" s="116">
        <v>0</v>
      </c>
      <c r="E2009" s="135" t="s">
        <v>558</v>
      </c>
      <c r="F2009" s="136" t="str">
        <f t="shared" si="117"/>
        <v/>
      </c>
      <c r="G2009" s="137" t="e">
        <f>IF(A2009&lt;&gt;"",IF(AND(#REF!="Padrão",$H$4=#REF!),BDI!$B$17,IF(AND(#REF!="Padrão",$H$4=#REF!),BDI!#REF!,IF(AND(#REF!="Diferenciado",$H$4=#REF!),BDI!$E$17,IF(AND(#REF!="Diferenciado",$H$4=#REF!),BDI!#REF!,IF(#REF!="ZERO",0))))),"")</f>
        <v>#REF!</v>
      </c>
      <c r="H2009" s="138" t="str">
        <f t="shared" si="118"/>
        <v/>
      </c>
      <c r="I2009" s="136" t="str">
        <f t="shared" si="119"/>
        <v/>
      </c>
    </row>
    <row r="2010" spans="1:9" hidden="1" x14ac:dyDescent="0.25">
      <c r="A2010" s="114" t="s">
        <v>5729</v>
      </c>
      <c r="B2010" s="115" t="s">
        <v>4521</v>
      </c>
      <c r="C2010" s="116" t="s">
        <v>20</v>
      </c>
      <c r="D2010" s="116">
        <v>0</v>
      </c>
      <c r="E2010" s="135" t="s">
        <v>558</v>
      </c>
      <c r="F2010" s="136" t="str">
        <f t="shared" si="117"/>
        <v/>
      </c>
      <c r="G2010" s="137" t="e">
        <f>IF(A2010&lt;&gt;"",IF(AND(#REF!="Padrão",$H$4=#REF!),BDI!$B$17,IF(AND(#REF!="Padrão",$H$4=#REF!),BDI!#REF!,IF(AND(#REF!="Diferenciado",$H$4=#REF!),BDI!$E$17,IF(AND(#REF!="Diferenciado",$H$4=#REF!),BDI!#REF!,IF(#REF!="ZERO",0))))),"")</f>
        <v>#REF!</v>
      </c>
      <c r="H2010" s="138" t="str">
        <f t="shared" si="118"/>
        <v/>
      </c>
      <c r="I2010" s="136" t="str">
        <f t="shared" si="119"/>
        <v/>
      </c>
    </row>
    <row r="2011" spans="1:9" hidden="1" x14ac:dyDescent="0.25">
      <c r="A2011" s="114" t="s">
        <v>5730</v>
      </c>
      <c r="B2011" s="115" t="s">
        <v>4522</v>
      </c>
      <c r="C2011" s="116" t="s">
        <v>20</v>
      </c>
      <c r="D2011" s="116">
        <v>0</v>
      </c>
      <c r="E2011" s="135" t="s">
        <v>558</v>
      </c>
      <c r="F2011" s="136" t="str">
        <f t="shared" si="117"/>
        <v/>
      </c>
      <c r="G2011" s="137" t="e">
        <f>IF(A2011&lt;&gt;"",IF(AND(#REF!="Padrão",$H$4=#REF!),BDI!$B$17,IF(AND(#REF!="Padrão",$H$4=#REF!),BDI!#REF!,IF(AND(#REF!="Diferenciado",$H$4=#REF!),BDI!$E$17,IF(AND(#REF!="Diferenciado",$H$4=#REF!),BDI!#REF!,IF(#REF!="ZERO",0))))),"")</f>
        <v>#REF!</v>
      </c>
      <c r="H2011" s="138" t="str">
        <f t="shared" si="118"/>
        <v/>
      </c>
      <c r="I2011" s="136" t="str">
        <f t="shared" si="119"/>
        <v/>
      </c>
    </row>
    <row r="2012" spans="1:9" hidden="1" x14ac:dyDescent="0.25">
      <c r="A2012" s="114" t="s">
        <v>5731</v>
      </c>
      <c r="B2012" s="115" t="s">
        <v>4523</v>
      </c>
      <c r="C2012" s="116" t="s">
        <v>20</v>
      </c>
      <c r="D2012" s="116">
        <v>0</v>
      </c>
      <c r="E2012" s="135" t="s">
        <v>558</v>
      </c>
      <c r="F2012" s="136" t="str">
        <f t="shared" si="117"/>
        <v/>
      </c>
      <c r="G2012" s="137" t="e">
        <f>IF(A2012&lt;&gt;"",IF(AND(#REF!="Padrão",$H$4=#REF!),BDI!$B$17,IF(AND(#REF!="Padrão",$H$4=#REF!),BDI!#REF!,IF(AND(#REF!="Diferenciado",$H$4=#REF!),BDI!$E$17,IF(AND(#REF!="Diferenciado",$H$4=#REF!),BDI!#REF!,IF(#REF!="ZERO",0))))),"")</f>
        <v>#REF!</v>
      </c>
      <c r="H2012" s="138" t="str">
        <f t="shared" si="118"/>
        <v/>
      </c>
      <c r="I2012" s="136" t="str">
        <f t="shared" si="119"/>
        <v/>
      </c>
    </row>
    <row r="2013" spans="1:9" hidden="1" x14ac:dyDescent="0.25">
      <c r="A2013" s="114" t="s">
        <v>5732</v>
      </c>
      <c r="B2013" s="115" t="s">
        <v>4524</v>
      </c>
      <c r="C2013" s="116" t="s">
        <v>20</v>
      </c>
      <c r="D2013" s="116">
        <v>0</v>
      </c>
      <c r="E2013" s="135" t="s">
        <v>558</v>
      </c>
      <c r="F2013" s="136" t="str">
        <f t="shared" si="117"/>
        <v/>
      </c>
      <c r="G2013" s="137" t="e">
        <f>IF(A2013&lt;&gt;"",IF(AND(#REF!="Padrão",$H$4=#REF!),BDI!$B$17,IF(AND(#REF!="Padrão",$H$4=#REF!),BDI!#REF!,IF(AND(#REF!="Diferenciado",$H$4=#REF!),BDI!$E$17,IF(AND(#REF!="Diferenciado",$H$4=#REF!),BDI!#REF!,IF(#REF!="ZERO",0))))),"")</f>
        <v>#REF!</v>
      </c>
      <c r="H2013" s="138" t="str">
        <f t="shared" si="118"/>
        <v/>
      </c>
      <c r="I2013" s="136" t="str">
        <f t="shared" si="119"/>
        <v/>
      </c>
    </row>
    <row r="2014" spans="1:9" hidden="1" x14ac:dyDescent="0.25">
      <c r="A2014" s="114" t="s">
        <v>5733</v>
      </c>
      <c r="B2014" s="115" t="s">
        <v>4525</v>
      </c>
      <c r="C2014" s="116" t="s">
        <v>20</v>
      </c>
      <c r="D2014" s="116">
        <v>0</v>
      </c>
      <c r="E2014" s="135" t="s">
        <v>558</v>
      </c>
      <c r="F2014" s="136" t="str">
        <f t="shared" si="117"/>
        <v/>
      </c>
      <c r="G2014" s="137" t="e">
        <f>IF(A2014&lt;&gt;"",IF(AND(#REF!="Padrão",$H$4=#REF!),BDI!$B$17,IF(AND(#REF!="Padrão",$H$4=#REF!),BDI!#REF!,IF(AND(#REF!="Diferenciado",$H$4=#REF!),BDI!$E$17,IF(AND(#REF!="Diferenciado",$H$4=#REF!),BDI!#REF!,IF(#REF!="ZERO",0))))),"")</f>
        <v>#REF!</v>
      </c>
      <c r="H2014" s="138" t="str">
        <f t="shared" si="118"/>
        <v/>
      </c>
      <c r="I2014" s="136" t="str">
        <f t="shared" si="119"/>
        <v/>
      </c>
    </row>
    <row r="2015" spans="1:9" hidden="1" x14ac:dyDescent="0.25">
      <c r="A2015" s="114" t="s">
        <v>5734</v>
      </c>
      <c r="B2015" s="115" t="s">
        <v>4526</v>
      </c>
      <c r="C2015" s="116" t="s">
        <v>20</v>
      </c>
      <c r="D2015" s="116">
        <v>0</v>
      </c>
      <c r="E2015" s="135" t="s">
        <v>558</v>
      </c>
      <c r="F2015" s="136" t="str">
        <f t="shared" si="117"/>
        <v/>
      </c>
      <c r="G2015" s="137" t="e">
        <f>IF(A2015&lt;&gt;"",IF(AND(#REF!="Padrão",$H$4=#REF!),BDI!$B$17,IF(AND(#REF!="Padrão",$H$4=#REF!),BDI!#REF!,IF(AND(#REF!="Diferenciado",$H$4=#REF!),BDI!$E$17,IF(AND(#REF!="Diferenciado",$H$4=#REF!),BDI!#REF!,IF(#REF!="ZERO",0))))),"")</f>
        <v>#REF!</v>
      </c>
      <c r="H2015" s="138" t="str">
        <f t="shared" si="118"/>
        <v/>
      </c>
      <c r="I2015" s="136" t="str">
        <f t="shared" si="119"/>
        <v/>
      </c>
    </row>
    <row r="2016" spans="1:9" hidden="1" x14ac:dyDescent="0.25">
      <c r="A2016" s="114" t="s">
        <v>5735</v>
      </c>
      <c r="B2016" s="115" t="s">
        <v>4527</v>
      </c>
      <c r="C2016" s="116" t="s">
        <v>20</v>
      </c>
      <c r="D2016" s="116">
        <v>0</v>
      </c>
      <c r="E2016" s="135" t="s">
        <v>558</v>
      </c>
      <c r="F2016" s="136" t="str">
        <f t="shared" si="117"/>
        <v/>
      </c>
      <c r="G2016" s="137" t="e">
        <f>IF(A2016&lt;&gt;"",IF(AND(#REF!="Padrão",$H$4=#REF!),BDI!$B$17,IF(AND(#REF!="Padrão",$H$4=#REF!),BDI!#REF!,IF(AND(#REF!="Diferenciado",$H$4=#REF!),BDI!$E$17,IF(AND(#REF!="Diferenciado",$H$4=#REF!),BDI!#REF!,IF(#REF!="ZERO",0))))),"")</f>
        <v>#REF!</v>
      </c>
      <c r="H2016" s="138" t="str">
        <f t="shared" si="118"/>
        <v/>
      </c>
      <c r="I2016" s="136" t="str">
        <f t="shared" si="119"/>
        <v/>
      </c>
    </row>
    <row r="2017" spans="1:9" hidden="1" x14ac:dyDescent="0.25">
      <c r="A2017" s="114" t="s">
        <v>5736</v>
      </c>
      <c r="B2017" s="115" t="s">
        <v>4528</v>
      </c>
      <c r="C2017" s="116" t="s">
        <v>20</v>
      </c>
      <c r="D2017" s="116">
        <v>0</v>
      </c>
      <c r="E2017" s="135" t="s">
        <v>558</v>
      </c>
      <c r="F2017" s="136" t="str">
        <f t="shared" si="117"/>
        <v/>
      </c>
      <c r="G2017" s="137" t="e">
        <f>IF(A2017&lt;&gt;"",IF(AND(#REF!="Padrão",$H$4=#REF!),BDI!$B$17,IF(AND(#REF!="Padrão",$H$4=#REF!),BDI!#REF!,IF(AND(#REF!="Diferenciado",$H$4=#REF!),BDI!$E$17,IF(AND(#REF!="Diferenciado",$H$4=#REF!),BDI!#REF!,IF(#REF!="ZERO",0))))),"")</f>
        <v>#REF!</v>
      </c>
      <c r="H2017" s="138" t="str">
        <f t="shared" si="118"/>
        <v/>
      </c>
      <c r="I2017" s="136" t="str">
        <f t="shared" si="119"/>
        <v/>
      </c>
    </row>
    <row r="2018" spans="1:9" hidden="1" x14ac:dyDescent="0.25">
      <c r="A2018" s="114" t="s">
        <v>5737</v>
      </c>
      <c r="B2018" s="115" t="s">
        <v>4529</v>
      </c>
      <c r="C2018" s="116" t="s">
        <v>20</v>
      </c>
      <c r="D2018" s="116">
        <v>0</v>
      </c>
      <c r="E2018" s="135" t="s">
        <v>558</v>
      </c>
      <c r="F2018" s="136" t="str">
        <f t="shared" si="117"/>
        <v/>
      </c>
      <c r="G2018" s="137" t="e">
        <f>IF(A2018&lt;&gt;"",IF(AND(#REF!="Padrão",$H$4=#REF!),BDI!$B$17,IF(AND(#REF!="Padrão",$H$4=#REF!),BDI!#REF!,IF(AND(#REF!="Diferenciado",$H$4=#REF!),BDI!$E$17,IF(AND(#REF!="Diferenciado",$H$4=#REF!),BDI!#REF!,IF(#REF!="ZERO",0))))),"")</f>
        <v>#REF!</v>
      </c>
      <c r="H2018" s="138" t="str">
        <f t="shared" si="118"/>
        <v/>
      </c>
      <c r="I2018" s="136" t="str">
        <f t="shared" si="119"/>
        <v/>
      </c>
    </row>
    <row r="2019" spans="1:9" hidden="1" x14ac:dyDescent="0.25">
      <c r="A2019" s="114" t="s">
        <v>5738</v>
      </c>
      <c r="B2019" s="115" t="s">
        <v>4530</v>
      </c>
      <c r="C2019" s="116" t="s">
        <v>20</v>
      </c>
      <c r="D2019" s="116">
        <v>0</v>
      </c>
      <c r="E2019" s="135" t="s">
        <v>558</v>
      </c>
      <c r="F2019" s="136" t="str">
        <f t="shared" si="117"/>
        <v/>
      </c>
      <c r="G2019" s="137" t="e">
        <f>IF(A2019&lt;&gt;"",IF(AND(#REF!="Padrão",$H$4=#REF!),BDI!$B$17,IF(AND(#REF!="Padrão",$H$4=#REF!),BDI!#REF!,IF(AND(#REF!="Diferenciado",$H$4=#REF!),BDI!$E$17,IF(AND(#REF!="Diferenciado",$H$4=#REF!),BDI!#REF!,IF(#REF!="ZERO",0))))),"")</f>
        <v>#REF!</v>
      </c>
      <c r="H2019" s="138" t="str">
        <f t="shared" si="118"/>
        <v/>
      </c>
      <c r="I2019" s="136" t="str">
        <f t="shared" si="119"/>
        <v/>
      </c>
    </row>
    <row r="2020" spans="1:9" hidden="1" x14ac:dyDescent="0.25">
      <c r="A2020" s="114" t="s">
        <v>5739</v>
      </c>
      <c r="B2020" s="115" t="s">
        <v>4531</v>
      </c>
      <c r="C2020" s="116" t="s">
        <v>20</v>
      </c>
      <c r="D2020" s="116">
        <v>0</v>
      </c>
      <c r="E2020" s="135" t="s">
        <v>558</v>
      </c>
      <c r="F2020" s="136" t="str">
        <f t="shared" si="117"/>
        <v/>
      </c>
      <c r="G2020" s="137" t="e">
        <f>IF(A2020&lt;&gt;"",IF(AND(#REF!="Padrão",$H$4=#REF!),BDI!$B$17,IF(AND(#REF!="Padrão",$H$4=#REF!),BDI!#REF!,IF(AND(#REF!="Diferenciado",$H$4=#REF!),BDI!$E$17,IF(AND(#REF!="Diferenciado",$H$4=#REF!),BDI!#REF!,IF(#REF!="ZERO",0))))),"")</f>
        <v>#REF!</v>
      </c>
      <c r="H2020" s="138" t="str">
        <f t="shared" si="118"/>
        <v/>
      </c>
      <c r="I2020" s="136" t="str">
        <f t="shared" si="119"/>
        <v/>
      </c>
    </row>
    <row r="2021" spans="1:9" hidden="1" x14ac:dyDescent="0.25">
      <c r="A2021" s="114" t="s">
        <v>5740</v>
      </c>
      <c r="B2021" s="115" t="s">
        <v>4532</v>
      </c>
      <c r="C2021" s="116" t="s">
        <v>20</v>
      </c>
      <c r="D2021" s="116">
        <v>0</v>
      </c>
      <c r="E2021" s="135" t="s">
        <v>558</v>
      </c>
      <c r="F2021" s="136" t="str">
        <f t="shared" si="117"/>
        <v/>
      </c>
      <c r="G2021" s="137" t="e">
        <f>IF(A2021&lt;&gt;"",IF(AND(#REF!="Padrão",$H$4=#REF!),BDI!$B$17,IF(AND(#REF!="Padrão",$H$4=#REF!),BDI!#REF!,IF(AND(#REF!="Diferenciado",$H$4=#REF!),BDI!$E$17,IF(AND(#REF!="Diferenciado",$H$4=#REF!),BDI!#REF!,IF(#REF!="ZERO",0))))),"")</f>
        <v>#REF!</v>
      </c>
      <c r="H2021" s="138" t="str">
        <f t="shared" si="118"/>
        <v/>
      </c>
      <c r="I2021" s="136" t="str">
        <f t="shared" si="119"/>
        <v/>
      </c>
    </row>
    <row r="2022" spans="1:9" hidden="1" x14ac:dyDescent="0.25">
      <c r="A2022" s="114" t="s">
        <v>5741</v>
      </c>
      <c r="B2022" s="115" t="s">
        <v>4533</v>
      </c>
      <c r="C2022" s="116" t="s">
        <v>20</v>
      </c>
      <c r="D2022" s="116">
        <v>0</v>
      </c>
      <c r="E2022" s="135" t="s">
        <v>558</v>
      </c>
      <c r="F2022" s="136" t="str">
        <f t="shared" si="117"/>
        <v/>
      </c>
      <c r="G2022" s="137" t="e">
        <f>IF(A2022&lt;&gt;"",IF(AND(#REF!="Padrão",$H$4=#REF!),BDI!$B$17,IF(AND(#REF!="Padrão",$H$4=#REF!),BDI!#REF!,IF(AND(#REF!="Diferenciado",$H$4=#REF!),BDI!$E$17,IF(AND(#REF!="Diferenciado",$H$4=#REF!),BDI!#REF!,IF(#REF!="ZERO",0))))),"")</f>
        <v>#REF!</v>
      </c>
      <c r="H2022" s="138" t="str">
        <f t="shared" si="118"/>
        <v/>
      </c>
      <c r="I2022" s="136" t="str">
        <f t="shared" si="119"/>
        <v/>
      </c>
    </row>
    <row r="2023" spans="1:9" hidden="1" x14ac:dyDescent="0.25">
      <c r="A2023" s="114" t="s">
        <v>5742</v>
      </c>
      <c r="B2023" s="115" t="s">
        <v>4534</v>
      </c>
      <c r="C2023" s="116" t="s">
        <v>20</v>
      </c>
      <c r="D2023" s="116">
        <v>0</v>
      </c>
      <c r="E2023" s="135" t="s">
        <v>558</v>
      </c>
      <c r="F2023" s="136" t="str">
        <f t="shared" si="117"/>
        <v/>
      </c>
      <c r="G2023" s="137" t="e">
        <f>IF(A2023&lt;&gt;"",IF(AND(#REF!="Padrão",$H$4=#REF!),BDI!$B$17,IF(AND(#REF!="Padrão",$H$4=#REF!),BDI!#REF!,IF(AND(#REF!="Diferenciado",$H$4=#REF!),BDI!$E$17,IF(AND(#REF!="Diferenciado",$H$4=#REF!),BDI!#REF!,IF(#REF!="ZERO",0))))),"")</f>
        <v>#REF!</v>
      </c>
      <c r="H2023" s="138" t="str">
        <f t="shared" si="118"/>
        <v/>
      </c>
      <c r="I2023" s="136" t="str">
        <f t="shared" si="119"/>
        <v/>
      </c>
    </row>
    <row r="2024" spans="1:9" hidden="1" x14ac:dyDescent="0.25">
      <c r="A2024" s="114" t="s">
        <v>5743</v>
      </c>
      <c r="B2024" s="115" t="s">
        <v>4535</v>
      </c>
      <c r="C2024" s="116" t="s">
        <v>20</v>
      </c>
      <c r="D2024" s="116">
        <v>0</v>
      </c>
      <c r="E2024" s="135" t="s">
        <v>558</v>
      </c>
      <c r="F2024" s="136" t="str">
        <f t="shared" si="117"/>
        <v/>
      </c>
      <c r="G2024" s="137" t="e">
        <f>IF(A2024&lt;&gt;"",IF(AND(#REF!="Padrão",$H$4=#REF!),BDI!$B$17,IF(AND(#REF!="Padrão",$H$4=#REF!),BDI!#REF!,IF(AND(#REF!="Diferenciado",$H$4=#REF!),BDI!$E$17,IF(AND(#REF!="Diferenciado",$H$4=#REF!),BDI!#REF!,IF(#REF!="ZERO",0))))),"")</f>
        <v>#REF!</v>
      </c>
      <c r="H2024" s="138" t="str">
        <f t="shared" si="118"/>
        <v/>
      </c>
      <c r="I2024" s="136" t="str">
        <f t="shared" si="119"/>
        <v/>
      </c>
    </row>
    <row r="2025" spans="1:9" hidden="1" x14ac:dyDescent="0.25">
      <c r="A2025" s="114" t="s">
        <v>5744</v>
      </c>
      <c r="B2025" s="115" t="s">
        <v>4536</v>
      </c>
      <c r="C2025" s="116" t="s">
        <v>20</v>
      </c>
      <c r="D2025" s="116">
        <v>0</v>
      </c>
      <c r="E2025" s="135" t="s">
        <v>558</v>
      </c>
      <c r="F2025" s="136" t="str">
        <f t="shared" si="117"/>
        <v/>
      </c>
      <c r="G2025" s="137" t="e">
        <f>IF(A2025&lt;&gt;"",IF(AND(#REF!="Padrão",$H$4=#REF!),BDI!$B$17,IF(AND(#REF!="Padrão",$H$4=#REF!),BDI!#REF!,IF(AND(#REF!="Diferenciado",$H$4=#REF!),BDI!$E$17,IF(AND(#REF!="Diferenciado",$H$4=#REF!),BDI!#REF!,IF(#REF!="ZERO",0))))),"")</f>
        <v>#REF!</v>
      </c>
      <c r="H2025" s="138" t="str">
        <f t="shared" si="118"/>
        <v/>
      </c>
      <c r="I2025" s="136" t="str">
        <f t="shared" si="119"/>
        <v/>
      </c>
    </row>
    <row r="2026" spans="1:9" hidden="1" x14ac:dyDescent="0.25">
      <c r="A2026" s="114" t="s">
        <v>5745</v>
      </c>
      <c r="B2026" s="115" t="s">
        <v>4537</v>
      </c>
      <c r="C2026" s="116" t="s">
        <v>20</v>
      </c>
      <c r="D2026" s="116">
        <v>0</v>
      </c>
      <c r="E2026" s="135" t="s">
        <v>558</v>
      </c>
      <c r="F2026" s="136" t="str">
        <f t="shared" si="117"/>
        <v/>
      </c>
      <c r="G2026" s="137" t="e">
        <f>IF(A2026&lt;&gt;"",IF(AND(#REF!="Padrão",$H$4=#REF!),BDI!$B$17,IF(AND(#REF!="Padrão",$H$4=#REF!),BDI!#REF!,IF(AND(#REF!="Diferenciado",$H$4=#REF!),BDI!$E$17,IF(AND(#REF!="Diferenciado",$H$4=#REF!),BDI!#REF!,IF(#REF!="ZERO",0))))),"")</f>
        <v>#REF!</v>
      </c>
      <c r="H2026" s="138" t="str">
        <f t="shared" si="118"/>
        <v/>
      </c>
      <c r="I2026" s="136" t="str">
        <f t="shared" si="119"/>
        <v/>
      </c>
    </row>
    <row r="2027" spans="1:9" hidden="1" x14ac:dyDescent="0.25">
      <c r="A2027" s="114" t="s">
        <v>5746</v>
      </c>
      <c r="B2027" s="115" t="s">
        <v>4538</v>
      </c>
      <c r="C2027" s="116" t="s">
        <v>20</v>
      </c>
      <c r="D2027" s="116">
        <v>0</v>
      </c>
      <c r="E2027" s="135" t="s">
        <v>558</v>
      </c>
      <c r="F2027" s="136" t="str">
        <f t="shared" si="117"/>
        <v/>
      </c>
      <c r="G2027" s="137" t="e">
        <f>IF(A2027&lt;&gt;"",IF(AND(#REF!="Padrão",$H$4=#REF!),BDI!$B$17,IF(AND(#REF!="Padrão",$H$4=#REF!),BDI!#REF!,IF(AND(#REF!="Diferenciado",$H$4=#REF!),BDI!$E$17,IF(AND(#REF!="Diferenciado",$H$4=#REF!),BDI!#REF!,IF(#REF!="ZERO",0))))),"")</f>
        <v>#REF!</v>
      </c>
      <c r="H2027" s="138" t="str">
        <f t="shared" si="118"/>
        <v/>
      </c>
      <c r="I2027" s="136" t="str">
        <f t="shared" si="119"/>
        <v/>
      </c>
    </row>
    <row r="2028" spans="1:9" hidden="1" x14ac:dyDescent="0.25">
      <c r="A2028" s="114" t="s">
        <v>5747</v>
      </c>
      <c r="B2028" s="115" t="s">
        <v>4539</v>
      </c>
      <c r="C2028" s="116" t="s">
        <v>20</v>
      </c>
      <c r="D2028" s="116">
        <v>0</v>
      </c>
      <c r="E2028" s="135" t="s">
        <v>558</v>
      </c>
      <c r="F2028" s="136" t="str">
        <f t="shared" si="117"/>
        <v/>
      </c>
      <c r="G2028" s="137" t="e">
        <f>IF(A2028&lt;&gt;"",IF(AND(#REF!="Padrão",$H$4=#REF!),BDI!$B$17,IF(AND(#REF!="Padrão",$H$4=#REF!),BDI!#REF!,IF(AND(#REF!="Diferenciado",$H$4=#REF!),BDI!$E$17,IF(AND(#REF!="Diferenciado",$H$4=#REF!),BDI!#REF!,IF(#REF!="ZERO",0))))),"")</f>
        <v>#REF!</v>
      </c>
      <c r="H2028" s="138" t="str">
        <f t="shared" si="118"/>
        <v/>
      </c>
      <c r="I2028" s="136" t="str">
        <f t="shared" si="119"/>
        <v/>
      </c>
    </row>
    <row r="2029" spans="1:9" hidden="1" x14ac:dyDescent="0.25">
      <c r="A2029" s="114" t="s">
        <v>5748</v>
      </c>
      <c r="B2029" s="115" t="s">
        <v>4540</v>
      </c>
      <c r="C2029" s="116" t="s">
        <v>20</v>
      </c>
      <c r="D2029" s="116">
        <v>0</v>
      </c>
      <c r="E2029" s="135" t="s">
        <v>558</v>
      </c>
      <c r="F2029" s="136" t="str">
        <f t="shared" ref="F2029:F2092" si="120">IF(ISNUMBER(E2029),D2029*E2029,"")</f>
        <v/>
      </c>
      <c r="G2029" s="137" t="e">
        <f>IF(A2029&lt;&gt;"",IF(AND(#REF!="Padrão",$H$4=#REF!),BDI!$B$17,IF(AND(#REF!="Padrão",$H$4=#REF!),BDI!#REF!,IF(AND(#REF!="Diferenciado",$H$4=#REF!),BDI!$E$17,IF(AND(#REF!="Diferenciado",$H$4=#REF!),BDI!#REF!,IF(#REF!="ZERO",0))))),"")</f>
        <v>#REF!</v>
      </c>
      <c r="H2029" s="138" t="str">
        <f t="shared" ref="H2029:H2092" si="121">IF(ISNUMBER(E2029),ROUND(E2029*(1+G2029),2),"")</f>
        <v/>
      </c>
      <c r="I2029" s="136" t="str">
        <f t="shared" ref="I2029:I2092" si="122">IF(ISNUMBER(E2029),ROUND(H2029*D2029,2),"")</f>
        <v/>
      </c>
    </row>
    <row r="2030" spans="1:9" hidden="1" x14ac:dyDescent="0.25">
      <c r="A2030" s="114" t="s">
        <v>5749</v>
      </c>
      <c r="B2030" s="115" t="s">
        <v>4541</v>
      </c>
      <c r="C2030" s="116" t="s">
        <v>20</v>
      </c>
      <c r="D2030" s="116">
        <v>0</v>
      </c>
      <c r="E2030" s="135" t="s">
        <v>558</v>
      </c>
      <c r="F2030" s="136" t="str">
        <f t="shared" si="120"/>
        <v/>
      </c>
      <c r="G2030" s="137" t="e">
        <f>IF(A2030&lt;&gt;"",IF(AND(#REF!="Padrão",$H$4=#REF!),BDI!$B$17,IF(AND(#REF!="Padrão",$H$4=#REF!),BDI!#REF!,IF(AND(#REF!="Diferenciado",$H$4=#REF!),BDI!$E$17,IF(AND(#REF!="Diferenciado",$H$4=#REF!),BDI!#REF!,IF(#REF!="ZERO",0))))),"")</f>
        <v>#REF!</v>
      </c>
      <c r="H2030" s="138" t="str">
        <f t="shared" si="121"/>
        <v/>
      </c>
      <c r="I2030" s="136" t="str">
        <f t="shared" si="122"/>
        <v/>
      </c>
    </row>
    <row r="2031" spans="1:9" hidden="1" x14ac:dyDescent="0.25">
      <c r="A2031" s="114" t="s">
        <v>5750</v>
      </c>
      <c r="B2031" s="115" t="s">
        <v>4542</v>
      </c>
      <c r="C2031" s="116" t="s">
        <v>20</v>
      </c>
      <c r="D2031" s="116">
        <v>0</v>
      </c>
      <c r="E2031" s="135" t="s">
        <v>558</v>
      </c>
      <c r="F2031" s="136" t="str">
        <f t="shared" si="120"/>
        <v/>
      </c>
      <c r="G2031" s="137" t="e">
        <f>IF(A2031&lt;&gt;"",IF(AND(#REF!="Padrão",$H$4=#REF!),BDI!$B$17,IF(AND(#REF!="Padrão",$H$4=#REF!),BDI!#REF!,IF(AND(#REF!="Diferenciado",$H$4=#REF!),BDI!$E$17,IF(AND(#REF!="Diferenciado",$H$4=#REF!),BDI!#REF!,IF(#REF!="ZERO",0))))),"")</f>
        <v>#REF!</v>
      </c>
      <c r="H2031" s="138" t="str">
        <f t="shared" si="121"/>
        <v/>
      </c>
      <c r="I2031" s="136" t="str">
        <f t="shared" si="122"/>
        <v/>
      </c>
    </row>
    <row r="2032" spans="1:9" hidden="1" x14ac:dyDescent="0.25">
      <c r="A2032" s="114" t="s">
        <v>5751</v>
      </c>
      <c r="B2032" s="115" t="s">
        <v>4543</v>
      </c>
      <c r="C2032" s="116" t="s">
        <v>20</v>
      </c>
      <c r="D2032" s="116">
        <v>0</v>
      </c>
      <c r="E2032" s="135" t="s">
        <v>558</v>
      </c>
      <c r="F2032" s="136" t="str">
        <f t="shared" si="120"/>
        <v/>
      </c>
      <c r="G2032" s="137" t="e">
        <f>IF(A2032&lt;&gt;"",IF(AND(#REF!="Padrão",$H$4=#REF!),BDI!$B$17,IF(AND(#REF!="Padrão",$H$4=#REF!),BDI!#REF!,IF(AND(#REF!="Diferenciado",$H$4=#REF!),BDI!$E$17,IF(AND(#REF!="Diferenciado",$H$4=#REF!),BDI!#REF!,IF(#REF!="ZERO",0))))),"")</f>
        <v>#REF!</v>
      </c>
      <c r="H2032" s="138" t="str">
        <f t="shared" si="121"/>
        <v/>
      </c>
      <c r="I2032" s="136" t="str">
        <f t="shared" si="122"/>
        <v/>
      </c>
    </row>
    <row r="2033" spans="1:9" hidden="1" x14ac:dyDescent="0.25">
      <c r="A2033" s="114" t="s">
        <v>5752</v>
      </c>
      <c r="B2033" s="115" t="s">
        <v>4544</v>
      </c>
      <c r="C2033" s="116" t="s">
        <v>20</v>
      </c>
      <c r="D2033" s="116">
        <v>0</v>
      </c>
      <c r="E2033" s="135" t="s">
        <v>558</v>
      </c>
      <c r="F2033" s="136" t="str">
        <f t="shared" si="120"/>
        <v/>
      </c>
      <c r="G2033" s="137" t="e">
        <f>IF(A2033&lt;&gt;"",IF(AND(#REF!="Padrão",$H$4=#REF!),BDI!$B$17,IF(AND(#REF!="Padrão",$H$4=#REF!),BDI!#REF!,IF(AND(#REF!="Diferenciado",$H$4=#REF!),BDI!$E$17,IF(AND(#REF!="Diferenciado",$H$4=#REF!),BDI!#REF!,IF(#REF!="ZERO",0))))),"")</f>
        <v>#REF!</v>
      </c>
      <c r="H2033" s="138" t="str">
        <f t="shared" si="121"/>
        <v/>
      </c>
      <c r="I2033" s="136" t="str">
        <f t="shared" si="122"/>
        <v/>
      </c>
    </row>
    <row r="2034" spans="1:9" hidden="1" x14ac:dyDescent="0.25">
      <c r="A2034" s="114" t="s">
        <v>5753</v>
      </c>
      <c r="B2034" s="115" t="s">
        <v>4545</v>
      </c>
      <c r="C2034" s="116" t="s">
        <v>20</v>
      </c>
      <c r="D2034" s="116">
        <v>0</v>
      </c>
      <c r="E2034" s="135" t="s">
        <v>558</v>
      </c>
      <c r="F2034" s="136" t="str">
        <f t="shared" si="120"/>
        <v/>
      </c>
      <c r="G2034" s="137" t="e">
        <f>IF(A2034&lt;&gt;"",IF(AND(#REF!="Padrão",$H$4=#REF!),BDI!$B$17,IF(AND(#REF!="Padrão",$H$4=#REF!),BDI!#REF!,IF(AND(#REF!="Diferenciado",$H$4=#REF!),BDI!$E$17,IF(AND(#REF!="Diferenciado",$H$4=#REF!),BDI!#REF!,IF(#REF!="ZERO",0))))),"")</f>
        <v>#REF!</v>
      </c>
      <c r="H2034" s="138" t="str">
        <f t="shared" si="121"/>
        <v/>
      </c>
      <c r="I2034" s="136" t="str">
        <f t="shared" si="122"/>
        <v/>
      </c>
    </row>
    <row r="2035" spans="1:9" hidden="1" x14ac:dyDescent="0.25">
      <c r="A2035" s="114" t="s">
        <v>5754</v>
      </c>
      <c r="B2035" s="115" t="s">
        <v>4546</v>
      </c>
      <c r="C2035" s="116" t="s">
        <v>20</v>
      </c>
      <c r="D2035" s="116">
        <v>0</v>
      </c>
      <c r="E2035" s="135" t="s">
        <v>558</v>
      </c>
      <c r="F2035" s="136" t="str">
        <f t="shared" si="120"/>
        <v/>
      </c>
      <c r="G2035" s="137" t="e">
        <f>IF(A2035&lt;&gt;"",IF(AND(#REF!="Padrão",$H$4=#REF!),BDI!$B$17,IF(AND(#REF!="Padrão",$H$4=#REF!),BDI!#REF!,IF(AND(#REF!="Diferenciado",$H$4=#REF!),BDI!$E$17,IF(AND(#REF!="Diferenciado",$H$4=#REF!),BDI!#REF!,IF(#REF!="ZERO",0))))),"")</f>
        <v>#REF!</v>
      </c>
      <c r="H2035" s="138" t="str">
        <f t="shared" si="121"/>
        <v/>
      </c>
      <c r="I2035" s="136" t="str">
        <f t="shared" si="122"/>
        <v/>
      </c>
    </row>
    <row r="2036" spans="1:9" hidden="1" x14ac:dyDescent="0.25">
      <c r="A2036" s="114" t="s">
        <v>5755</v>
      </c>
      <c r="B2036" s="115" t="s">
        <v>4547</v>
      </c>
      <c r="C2036" s="116" t="s">
        <v>20</v>
      </c>
      <c r="D2036" s="116">
        <v>0</v>
      </c>
      <c r="E2036" s="135" t="s">
        <v>558</v>
      </c>
      <c r="F2036" s="136" t="str">
        <f t="shared" si="120"/>
        <v/>
      </c>
      <c r="G2036" s="137" t="e">
        <f>IF(A2036&lt;&gt;"",IF(AND(#REF!="Padrão",$H$4=#REF!),BDI!$B$17,IF(AND(#REF!="Padrão",$H$4=#REF!),BDI!#REF!,IF(AND(#REF!="Diferenciado",$H$4=#REF!),BDI!$E$17,IF(AND(#REF!="Diferenciado",$H$4=#REF!),BDI!#REF!,IF(#REF!="ZERO",0))))),"")</f>
        <v>#REF!</v>
      </c>
      <c r="H2036" s="138" t="str">
        <f t="shared" si="121"/>
        <v/>
      </c>
      <c r="I2036" s="136" t="str">
        <f t="shared" si="122"/>
        <v/>
      </c>
    </row>
    <row r="2037" spans="1:9" hidden="1" x14ac:dyDescent="0.25">
      <c r="A2037" s="114" t="s">
        <v>5756</v>
      </c>
      <c r="B2037" s="115" t="s">
        <v>4548</v>
      </c>
      <c r="C2037" s="116" t="s">
        <v>20</v>
      </c>
      <c r="D2037" s="116">
        <v>0</v>
      </c>
      <c r="E2037" s="135" t="s">
        <v>558</v>
      </c>
      <c r="F2037" s="136" t="str">
        <f t="shared" si="120"/>
        <v/>
      </c>
      <c r="G2037" s="137" t="e">
        <f>IF(A2037&lt;&gt;"",IF(AND(#REF!="Padrão",$H$4=#REF!),BDI!$B$17,IF(AND(#REF!="Padrão",$H$4=#REF!),BDI!#REF!,IF(AND(#REF!="Diferenciado",$H$4=#REF!),BDI!$E$17,IF(AND(#REF!="Diferenciado",$H$4=#REF!),BDI!#REF!,IF(#REF!="ZERO",0))))),"")</f>
        <v>#REF!</v>
      </c>
      <c r="H2037" s="138" t="str">
        <f t="shared" si="121"/>
        <v/>
      </c>
      <c r="I2037" s="136" t="str">
        <f t="shared" si="122"/>
        <v/>
      </c>
    </row>
    <row r="2038" spans="1:9" hidden="1" x14ac:dyDescent="0.25">
      <c r="A2038" s="114" t="s">
        <v>5757</v>
      </c>
      <c r="B2038" s="115" t="s">
        <v>4549</v>
      </c>
      <c r="C2038" s="116" t="s">
        <v>20</v>
      </c>
      <c r="D2038" s="116">
        <v>0</v>
      </c>
      <c r="E2038" s="135" t="s">
        <v>558</v>
      </c>
      <c r="F2038" s="136" t="str">
        <f t="shared" si="120"/>
        <v/>
      </c>
      <c r="G2038" s="137" t="e">
        <f>IF(A2038&lt;&gt;"",IF(AND(#REF!="Padrão",$H$4=#REF!),BDI!$B$17,IF(AND(#REF!="Padrão",$H$4=#REF!),BDI!#REF!,IF(AND(#REF!="Diferenciado",$H$4=#REF!),BDI!$E$17,IF(AND(#REF!="Diferenciado",$H$4=#REF!),BDI!#REF!,IF(#REF!="ZERO",0))))),"")</f>
        <v>#REF!</v>
      </c>
      <c r="H2038" s="138" t="str">
        <f t="shared" si="121"/>
        <v/>
      </c>
      <c r="I2038" s="136" t="str">
        <f t="shared" si="122"/>
        <v/>
      </c>
    </row>
    <row r="2039" spans="1:9" hidden="1" x14ac:dyDescent="0.25">
      <c r="A2039" s="114" t="s">
        <v>5758</v>
      </c>
      <c r="B2039" s="115" t="s">
        <v>4550</v>
      </c>
      <c r="C2039" s="116" t="s">
        <v>20</v>
      </c>
      <c r="D2039" s="116">
        <v>0</v>
      </c>
      <c r="E2039" s="135" t="s">
        <v>558</v>
      </c>
      <c r="F2039" s="136" t="str">
        <f t="shared" si="120"/>
        <v/>
      </c>
      <c r="G2039" s="137" t="e">
        <f>IF(A2039&lt;&gt;"",IF(AND(#REF!="Padrão",$H$4=#REF!),BDI!$B$17,IF(AND(#REF!="Padrão",$H$4=#REF!),BDI!#REF!,IF(AND(#REF!="Diferenciado",$H$4=#REF!),BDI!$E$17,IF(AND(#REF!="Diferenciado",$H$4=#REF!),BDI!#REF!,IF(#REF!="ZERO",0))))),"")</f>
        <v>#REF!</v>
      </c>
      <c r="H2039" s="138" t="str">
        <f t="shared" si="121"/>
        <v/>
      </c>
      <c r="I2039" s="136" t="str">
        <f t="shared" si="122"/>
        <v/>
      </c>
    </row>
    <row r="2040" spans="1:9" hidden="1" x14ac:dyDescent="0.25">
      <c r="A2040" s="114" t="s">
        <v>5759</v>
      </c>
      <c r="B2040" s="115" t="s">
        <v>4551</v>
      </c>
      <c r="C2040" s="116" t="s">
        <v>20</v>
      </c>
      <c r="D2040" s="116">
        <v>0</v>
      </c>
      <c r="E2040" s="135" t="s">
        <v>558</v>
      </c>
      <c r="F2040" s="136" t="str">
        <f t="shared" si="120"/>
        <v/>
      </c>
      <c r="G2040" s="137" t="e">
        <f>IF(A2040&lt;&gt;"",IF(AND(#REF!="Padrão",$H$4=#REF!),BDI!$B$17,IF(AND(#REF!="Padrão",$H$4=#REF!),BDI!#REF!,IF(AND(#REF!="Diferenciado",$H$4=#REF!),BDI!$E$17,IF(AND(#REF!="Diferenciado",$H$4=#REF!),BDI!#REF!,IF(#REF!="ZERO",0))))),"")</f>
        <v>#REF!</v>
      </c>
      <c r="H2040" s="138" t="str">
        <f t="shared" si="121"/>
        <v/>
      </c>
      <c r="I2040" s="136" t="str">
        <f t="shared" si="122"/>
        <v/>
      </c>
    </row>
    <row r="2041" spans="1:9" hidden="1" x14ac:dyDescent="0.25">
      <c r="A2041" s="114" t="s">
        <v>5760</v>
      </c>
      <c r="B2041" s="115" t="s">
        <v>4552</v>
      </c>
      <c r="C2041" s="116" t="s">
        <v>20</v>
      </c>
      <c r="D2041" s="116">
        <v>0</v>
      </c>
      <c r="E2041" s="135" t="s">
        <v>558</v>
      </c>
      <c r="F2041" s="136" t="str">
        <f t="shared" si="120"/>
        <v/>
      </c>
      <c r="G2041" s="137" t="e">
        <f>IF(A2041&lt;&gt;"",IF(AND(#REF!="Padrão",$H$4=#REF!),BDI!$B$17,IF(AND(#REF!="Padrão",$H$4=#REF!),BDI!#REF!,IF(AND(#REF!="Diferenciado",$H$4=#REF!),BDI!$E$17,IF(AND(#REF!="Diferenciado",$H$4=#REF!),BDI!#REF!,IF(#REF!="ZERO",0))))),"")</f>
        <v>#REF!</v>
      </c>
      <c r="H2041" s="138" t="str">
        <f t="shared" si="121"/>
        <v/>
      </c>
      <c r="I2041" s="136" t="str">
        <f t="shared" si="122"/>
        <v/>
      </c>
    </row>
    <row r="2042" spans="1:9" hidden="1" x14ac:dyDescent="0.25">
      <c r="A2042" s="114" t="s">
        <v>5761</v>
      </c>
      <c r="B2042" s="115" t="s">
        <v>4553</v>
      </c>
      <c r="C2042" s="116" t="s">
        <v>20</v>
      </c>
      <c r="D2042" s="116">
        <v>0</v>
      </c>
      <c r="E2042" s="135" t="s">
        <v>558</v>
      </c>
      <c r="F2042" s="136" t="str">
        <f t="shared" si="120"/>
        <v/>
      </c>
      <c r="G2042" s="137" t="e">
        <f>IF(A2042&lt;&gt;"",IF(AND(#REF!="Padrão",$H$4=#REF!),BDI!$B$17,IF(AND(#REF!="Padrão",$H$4=#REF!),BDI!#REF!,IF(AND(#REF!="Diferenciado",$H$4=#REF!),BDI!$E$17,IF(AND(#REF!="Diferenciado",$H$4=#REF!),BDI!#REF!,IF(#REF!="ZERO",0))))),"")</f>
        <v>#REF!</v>
      </c>
      <c r="H2042" s="138" t="str">
        <f t="shared" si="121"/>
        <v/>
      </c>
      <c r="I2042" s="136" t="str">
        <f t="shared" si="122"/>
        <v/>
      </c>
    </row>
    <row r="2043" spans="1:9" hidden="1" x14ac:dyDescent="0.25">
      <c r="A2043" s="114" t="s">
        <v>5762</v>
      </c>
      <c r="B2043" s="115" t="s">
        <v>4554</v>
      </c>
      <c r="C2043" s="116" t="s">
        <v>20</v>
      </c>
      <c r="D2043" s="116">
        <v>0</v>
      </c>
      <c r="E2043" s="135" t="s">
        <v>558</v>
      </c>
      <c r="F2043" s="136" t="str">
        <f t="shared" si="120"/>
        <v/>
      </c>
      <c r="G2043" s="137" t="e">
        <f>IF(A2043&lt;&gt;"",IF(AND(#REF!="Padrão",$H$4=#REF!),BDI!$B$17,IF(AND(#REF!="Padrão",$H$4=#REF!),BDI!#REF!,IF(AND(#REF!="Diferenciado",$H$4=#REF!),BDI!$E$17,IF(AND(#REF!="Diferenciado",$H$4=#REF!),BDI!#REF!,IF(#REF!="ZERO",0))))),"")</f>
        <v>#REF!</v>
      </c>
      <c r="H2043" s="138" t="str">
        <f t="shared" si="121"/>
        <v/>
      </c>
      <c r="I2043" s="136" t="str">
        <f t="shared" si="122"/>
        <v/>
      </c>
    </row>
    <row r="2044" spans="1:9" hidden="1" x14ac:dyDescent="0.25">
      <c r="A2044" s="114" t="s">
        <v>5763</v>
      </c>
      <c r="B2044" s="115" t="s">
        <v>4555</v>
      </c>
      <c r="C2044" s="116" t="s">
        <v>20</v>
      </c>
      <c r="D2044" s="116">
        <v>0</v>
      </c>
      <c r="E2044" s="135" t="s">
        <v>558</v>
      </c>
      <c r="F2044" s="136" t="str">
        <f t="shared" si="120"/>
        <v/>
      </c>
      <c r="G2044" s="137" t="e">
        <f>IF(A2044&lt;&gt;"",IF(AND(#REF!="Padrão",$H$4=#REF!),BDI!$B$17,IF(AND(#REF!="Padrão",$H$4=#REF!),BDI!#REF!,IF(AND(#REF!="Diferenciado",$H$4=#REF!),BDI!$E$17,IF(AND(#REF!="Diferenciado",$H$4=#REF!),BDI!#REF!,IF(#REF!="ZERO",0))))),"")</f>
        <v>#REF!</v>
      </c>
      <c r="H2044" s="138" t="str">
        <f t="shared" si="121"/>
        <v/>
      </c>
      <c r="I2044" s="136" t="str">
        <f t="shared" si="122"/>
        <v/>
      </c>
    </row>
    <row r="2045" spans="1:9" hidden="1" x14ac:dyDescent="0.25">
      <c r="A2045" s="114" t="s">
        <v>5764</v>
      </c>
      <c r="B2045" s="115" t="s">
        <v>4556</v>
      </c>
      <c r="C2045" s="116" t="s">
        <v>20</v>
      </c>
      <c r="D2045" s="116">
        <v>0</v>
      </c>
      <c r="E2045" s="135" t="s">
        <v>558</v>
      </c>
      <c r="F2045" s="136" t="str">
        <f t="shared" si="120"/>
        <v/>
      </c>
      <c r="G2045" s="137" t="e">
        <f>IF(A2045&lt;&gt;"",IF(AND(#REF!="Padrão",$H$4=#REF!),BDI!$B$17,IF(AND(#REF!="Padrão",$H$4=#REF!),BDI!#REF!,IF(AND(#REF!="Diferenciado",$H$4=#REF!),BDI!$E$17,IF(AND(#REF!="Diferenciado",$H$4=#REF!),BDI!#REF!,IF(#REF!="ZERO",0))))),"")</f>
        <v>#REF!</v>
      </c>
      <c r="H2045" s="138" t="str">
        <f t="shared" si="121"/>
        <v/>
      </c>
      <c r="I2045" s="136" t="str">
        <f t="shared" si="122"/>
        <v/>
      </c>
    </row>
    <row r="2046" spans="1:9" hidden="1" x14ac:dyDescent="0.25">
      <c r="A2046" s="114" t="s">
        <v>5765</v>
      </c>
      <c r="B2046" s="115" t="s">
        <v>4557</v>
      </c>
      <c r="C2046" s="116" t="s">
        <v>20</v>
      </c>
      <c r="D2046" s="116">
        <v>0</v>
      </c>
      <c r="E2046" s="135" t="s">
        <v>558</v>
      </c>
      <c r="F2046" s="136" t="str">
        <f t="shared" si="120"/>
        <v/>
      </c>
      <c r="G2046" s="137" t="e">
        <f>IF(A2046&lt;&gt;"",IF(AND(#REF!="Padrão",$H$4=#REF!),BDI!$B$17,IF(AND(#REF!="Padrão",$H$4=#REF!),BDI!#REF!,IF(AND(#REF!="Diferenciado",$H$4=#REF!),BDI!$E$17,IF(AND(#REF!="Diferenciado",$H$4=#REF!),BDI!#REF!,IF(#REF!="ZERO",0))))),"")</f>
        <v>#REF!</v>
      </c>
      <c r="H2046" s="138" t="str">
        <f t="shared" si="121"/>
        <v/>
      </c>
      <c r="I2046" s="136" t="str">
        <f t="shared" si="122"/>
        <v/>
      </c>
    </row>
    <row r="2047" spans="1:9" hidden="1" x14ac:dyDescent="0.25">
      <c r="A2047" s="114" t="s">
        <v>5766</v>
      </c>
      <c r="B2047" s="115" t="s">
        <v>4558</v>
      </c>
      <c r="C2047" s="116" t="s">
        <v>20</v>
      </c>
      <c r="D2047" s="116">
        <v>0</v>
      </c>
      <c r="E2047" s="135" t="s">
        <v>558</v>
      </c>
      <c r="F2047" s="136" t="str">
        <f t="shared" si="120"/>
        <v/>
      </c>
      <c r="G2047" s="137" t="e">
        <f>IF(A2047&lt;&gt;"",IF(AND(#REF!="Padrão",$H$4=#REF!),BDI!$B$17,IF(AND(#REF!="Padrão",$H$4=#REF!),BDI!#REF!,IF(AND(#REF!="Diferenciado",$H$4=#REF!),BDI!$E$17,IF(AND(#REF!="Diferenciado",$H$4=#REF!),BDI!#REF!,IF(#REF!="ZERO",0))))),"")</f>
        <v>#REF!</v>
      </c>
      <c r="H2047" s="138" t="str">
        <f t="shared" si="121"/>
        <v/>
      </c>
      <c r="I2047" s="136" t="str">
        <f t="shared" si="122"/>
        <v/>
      </c>
    </row>
    <row r="2048" spans="1:9" hidden="1" x14ac:dyDescent="0.25">
      <c r="A2048" s="114" t="s">
        <v>5767</v>
      </c>
      <c r="B2048" s="115" t="s">
        <v>4559</v>
      </c>
      <c r="C2048" s="116" t="s">
        <v>20</v>
      </c>
      <c r="D2048" s="116">
        <v>0</v>
      </c>
      <c r="E2048" s="135" t="s">
        <v>558</v>
      </c>
      <c r="F2048" s="136" t="str">
        <f t="shared" si="120"/>
        <v/>
      </c>
      <c r="G2048" s="137" t="e">
        <f>IF(A2048&lt;&gt;"",IF(AND(#REF!="Padrão",$H$4=#REF!),BDI!$B$17,IF(AND(#REF!="Padrão",$H$4=#REF!),BDI!#REF!,IF(AND(#REF!="Diferenciado",$H$4=#REF!),BDI!$E$17,IF(AND(#REF!="Diferenciado",$H$4=#REF!),BDI!#REF!,IF(#REF!="ZERO",0))))),"")</f>
        <v>#REF!</v>
      </c>
      <c r="H2048" s="138" t="str">
        <f t="shared" si="121"/>
        <v/>
      </c>
      <c r="I2048" s="136" t="str">
        <f t="shared" si="122"/>
        <v/>
      </c>
    </row>
    <row r="2049" spans="1:9" hidden="1" x14ac:dyDescent="0.25">
      <c r="A2049" s="114" t="s">
        <v>5768</v>
      </c>
      <c r="B2049" s="115" t="s">
        <v>4560</v>
      </c>
      <c r="C2049" s="116" t="s">
        <v>20</v>
      </c>
      <c r="D2049" s="116">
        <v>0</v>
      </c>
      <c r="E2049" s="135" t="s">
        <v>558</v>
      </c>
      <c r="F2049" s="136" t="str">
        <f t="shared" si="120"/>
        <v/>
      </c>
      <c r="G2049" s="137" t="e">
        <f>IF(A2049&lt;&gt;"",IF(AND(#REF!="Padrão",$H$4=#REF!),BDI!$B$17,IF(AND(#REF!="Padrão",$H$4=#REF!),BDI!#REF!,IF(AND(#REF!="Diferenciado",$H$4=#REF!),BDI!$E$17,IF(AND(#REF!="Diferenciado",$H$4=#REF!),BDI!#REF!,IF(#REF!="ZERO",0))))),"")</f>
        <v>#REF!</v>
      </c>
      <c r="H2049" s="138" t="str">
        <f t="shared" si="121"/>
        <v/>
      </c>
      <c r="I2049" s="136" t="str">
        <f t="shared" si="122"/>
        <v/>
      </c>
    </row>
    <row r="2050" spans="1:9" hidden="1" x14ac:dyDescent="0.25">
      <c r="A2050" s="114" t="s">
        <v>5769</v>
      </c>
      <c r="B2050" s="115" t="s">
        <v>4561</v>
      </c>
      <c r="C2050" s="116" t="s">
        <v>20</v>
      </c>
      <c r="D2050" s="116">
        <v>0</v>
      </c>
      <c r="E2050" s="135" t="s">
        <v>558</v>
      </c>
      <c r="F2050" s="136" t="str">
        <f t="shared" si="120"/>
        <v/>
      </c>
      <c r="G2050" s="137" t="e">
        <f>IF(A2050&lt;&gt;"",IF(AND(#REF!="Padrão",$H$4=#REF!),BDI!$B$17,IF(AND(#REF!="Padrão",$H$4=#REF!),BDI!#REF!,IF(AND(#REF!="Diferenciado",$H$4=#REF!),BDI!$E$17,IF(AND(#REF!="Diferenciado",$H$4=#REF!),BDI!#REF!,IF(#REF!="ZERO",0))))),"")</f>
        <v>#REF!</v>
      </c>
      <c r="H2050" s="138" t="str">
        <f t="shared" si="121"/>
        <v/>
      </c>
      <c r="I2050" s="136" t="str">
        <f t="shared" si="122"/>
        <v/>
      </c>
    </row>
    <row r="2051" spans="1:9" hidden="1" x14ac:dyDescent="0.25">
      <c r="A2051" s="114" t="s">
        <v>5770</v>
      </c>
      <c r="B2051" s="115" t="s">
        <v>4562</v>
      </c>
      <c r="C2051" s="116" t="s">
        <v>20</v>
      </c>
      <c r="D2051" s="116">
        <v>0</v>
      </c>
      <c r="E2051" s="135" t="s">
        <v>558</v>
      </c>
      <c r="F2051" s="136" t="str">
        <f t="shared" si="120"/>
        <v/>
      </c>
      <c r="G2051" s="137" t="e">
        <f>IF(A2051&lt;&gt;"",IF(AND(#REF!="Padrão",$H$4=#REF!),BDI!$B$17,IF(AND(#REF!="Padrão",$H$4=#REF!),BDI!#REF!,IF(AND(#REF!="Diferenciado",$H$4=#REF!),BDI!$E$17,IF(AND(#REF!="Diferenciado",$H$4=#REF!),BDI!#REF!,IF(#REF!="ZERO",0))))),"")</f>
        <v>#REF!</v>
      </c>
      <c r="H2051" s="138" t="str">
        <f t="shared" si="121"/>
        <v/>
      </c>
      <c r="I2051" s="136" t="str">
        <f t="shared" si="122"/>
        <v/>
      </c>
    </row>
    <row r="2052" spans="1:9" hidden="1" x14ac:dyDescent="0.25">
      <c r="A2052" s="114" t="s">
        <v>5771</v>
      </c>
      <c r="B2052" s="115" t="s">
        <v>4563</v>
      </c>
      <c r="C2052" s="116" t="s">
        <v>20</v>
      </c>
      <c r="D2052" s="116">
        <v>0</v>
      </c>
      <c r="E2052" s="135" t="s">
        <v>558</v>
      </c>
      <c r="F2052" s="136" t="str">
        <f t="shared" si="120"/>
        <v/>
      </c>
      <c r="G2052" s="137" t="e">
        <f>IF(A2052&lt;&gt;"",IF(AND(#REF!="Padrão",$H$4=#REF!),BDI!$B$17,IF(AND(#REF!="Padrão",$H$4=#REF!),BDI!#REF!,IF(AND(#REF!="Diferenciado",$H$4=#REF!),BDI!$E$17,IF(AND(#REF!="Diferenciado",$H$4=#REF!),BDI!#REF!,IF(#REF!="ZERO",0))))),"")</f>
        <v>#REF!</v>
      </c>
      <c r="H2052" s="138" t="str">
        <f t="shared" si="121"/>
        <v/>
      </c>
      <c r="I2052" s="136" t="str">
        <f t="shared" si="122"/>
        <v/>
      </c>
    </row>
    <row r="2053" spans="1:9" hidden="1" x14ac:dyDescent="0.25">
      <c r="A2053" s="114" t="s">
        <v>5772</v>
      </c>
      <c r="B2053" s="115" t="s">
        <v>4564</v>
      </c>
      <c r="C2053" s="116" t="s">
        <v>20</v>
      </c>
      <c r="D2053" s="116">
        <v>0</v>
      </c>
      <c r="E2053" s="135" t="s">
        <v>558</v>
      </c>
      <c r="F2053" s="136" t="str">
        <f t="shared" si="120"/>
        <v/>
      </c>
      <c r="G2053" s="137" t="e">
        <f>IF(A2053&lt;&gt;"",IF(AND(#REF!="Padrão",$H$4=#REF!),BDI!$B$17,IF(AND(#REF!="Padrão",$H$4=#REF!),BDI!#REF!,IF(AND(#REF!="Diferenciado",$H$4=#REF!),BDI!$E$17,IF(AND(#REF!="Diferenciado",$H$4=#REF!),BDI!#REF!,IF(#REF!="ZERO",0))))),"")</f>
        <v>#REF!</v>
      </c>
      <c r="H2053" s="138" t="str">
        <f t="shared" si="121"/>
        <v/>
      </c>
      <c r="I2053" s="136" t="str">
        <f t="shared" si="122"/>
        <v/>
      </c>
    </row>
    <row r="2054" spans="1:9" hidden="1" x14ac:dyDescent="0.25">
      <c r="A2054" s="114" t="s">
        <v>5773</v>
      </c>
      <c r="B2054" s="115" t="s">
        <v>4565</v>
      </c>
      <c r="C2054" s="116" t="s">
        <v>20</v>
      </c>
      <c r="D2054" s="116">
        <v>0</v>
      </c>
      <c r="E2054" s="135" t="s">
        <v>558</v>
      </c>
      <c r="F2054" s="136" t="str">
        <f t="shared" si="120"/>
        <v/>
      </c>
      <c r="G2054" s="137" t="e">
        <f>IF(A2054&lt;&gt;"",IF(AND(#REF!="Padrão",$H$4=#REF!),BDI!$B$17,IF(AND(#REF!="Padrão",$H$4=#REF!),BDI!#REF!,IF(AND(#REF!="Diferenciado",$H$4=#REF!),BDI!$E$17,IF(AND(#REF!="Diferenciado",$H$4=#REF!),BDI!#REF!,IF(#REF!="ZERO",0))))),"")</f>
        <v>#REF!</v>
      </c>
      <c r="H2054" s="138" t="str">
        <f t="shared" si="121"/>
        <v/>
      </c>
      <c r="I2054" s="136" t="str">
        <f t="shared" si="122"/>
        <v/>
      </c>
    </row>
    <row r="2055" spans="1:9" hidden="1" x14ac:dyDescent="0.25">
      <c r="A2055" s="114" t="s">
        <v>5774</v>
      </c>
      <c r="B2055" s="115" t="s">
        <v>4566</v>
      </c>
      <c r="C2055" s="116" t="s">
        <v>20</v>
      </c>
      <c r="D2055" s="116">
        <v>0</v>
      </c>
      <c r="E2055" s="135" t="s">
        <v>558</v>
      </c>
      <c r="F2055" s="136" t="str">
        <f t="shared" si="120"/>
        <v/>
      </c>
      <c r="G2055" s="137" t="e">
        <f>IF(A2055&lt;&gt;"",IF(AND(#REF!="Padrão",$H$4=#REF!),BDI!$B$17,IF(AND(#REF!="Padrão",$H$4=#REF!),BDI!#REF!,IF(AND(#REF!="Diferenciado",$H$4=#REF!),BDI!$E$17,IF(AND(#REF!="Diferenciado",$H$4=#REF!),BDI!#REF!,IF(#REF!="ZERO",0))))),"")</f>
        <v>#REF!</v>
      </c>
      <c r="H2055" s="138" t="str">
        <f t="shared" si="121"/>
        <v/>
      </c>
      <c r="I2055" s="136" t="str">
        <f t="shared" si="122"/>
        <v/>
      </c>
    </row>
    <row r="2056" spans="1:9" hidden="1" x14ac:dyDescent="0.25">
      <c r="A2056" s="114" t="s">
        <v>5775</v>
      </c>
      <c r="B2056" s="115" t="s">
        <v>4567</v>
      </c>
      <c r="C2056" s="116" t="s">
        <v>20</v>
      </c>
      <c r="D2056" s="116">
        <v>0</v>
      </c>
      <c r="E2056" s="135" t="s">
        <v>558</v>
      </c>
      <c r="F2056" s="136" t="str">
        <f t="shared" si="120"/>
        <v/>
      </c>
      <c r="G2056" s="137" t="e">
        <f>IF(A2056&lt;&gt;"",IF(AND(#REF!="Padrão",$H$4=#REF!),BDI!$B$17,IF(AND(#REF!="Padrão",$H$4=#REF!),BDI!#REF!,IF(AND(#REF!="Diferenciado",$H$4=#REF!),BDI!$E$17,IF(AND(#REF!="Diferenciado",$H$4=#REF!),BDI!#REF!,IF(#REF!="ZERO",0))))),"")</f>
        <v>#REF!</v>
      </c>
      <c r="H2056" s="138" t="str">
        <f t="shared" si="121"/>
        <v/>
      </c>
      <c r="I2056" s="136" t="str">
        <f t="shared" si="122"/>
        <v/>
      </c>
    </row>
    <row r="2057" spans="1:9" hidden="1" x14ac:dyDescent="0.25">
      <c r="A2057" s="114" t="s">
        <v>5776</v>
      </c>
      <c r="B2057" s="115" t="s">
        <v>4568</v>
      </c>
      <c r="C2057" s="116" t="s">
        <v>20</v>
      </c>
      <c r="D2057" s="116">
        <v>0</v>
      </c>
      <c r="E2057" s="135" t="s">
        <v>558</v>
      </c>
      <c r="F2057" s="136" t="str">
        <f t="shared" si="120"/>
        <v/>
      </c>
      <c r="G2057" s="137" t="e">
        <f>IF(A2057&lt;&gt;"",IF(AND(#REF!="Padrão",$H$4=#REF!),BDI!$B$17,IF(AND(#REF!="Padrão",$H$4=#REF!),BDI!#REF!,IF(AND(#REF!="Diferenciado",$H$4=#REF!),BDI!$E$17,IF(AND(#REF!="Diferenciado",$H$4=#REF!),BDI!#REF!,IF(#REF!="ZERO",0))))),"")</f>
        <v>#REF!</v>
      </c>
      <c r="H2057" s="138" t="str">
        <f t="shared" si="121"/>
        <v/>
      </c>
      <c r="I2057" s="136" t="str">
        <f t="shared" si="122"/>
        <v/>
      </c>
    </row>
    <row r="2058" spans="1:9" hidden="1" x14ac:dyDescent="0.25">
      <c r="A2058" s="114" t="s">
        <v>5777</v>
      </c>
      <c r="B2058" s="115" t="s">
        <v>4569</v>
      </c>
      <c r="C2058" s="116" t="s">
        <v>20</v>
      </c>
      <c r="D2058" s="116">
        <v>0</v>
      </c>
      <c r="E2058" s="135" t="s">
        <v>558</v>
      </c>
      <c r="F2058" s="136" t="str">
        <f t="shared" si="120"/>
        <v/>
      </c>
      <c r="G2058" s="137" t="e">
        <f>IF(A2058&lt;&gt;"",IF(AND(#REF!="Padrão",$H$4=#REF!),BDI!$B$17,IF(AND(#REF!="Padrão",$H$4=#REF!),BDI!#REF!,IF(AND(#REF!="Diferenciado",$H$4=#REF!),BDI!$E$17,IF(AND(#REF!="Diferenciado",$H$4=#REF!),BDI!#REF!,IF(#REF!="ZERO",0))))),"")</f>
        <v>#REF!</v>
      </c>
      <c r="H2058" s="138" t="str">
        <f t="shared" si="121"/>
        <v/>
      </c>
      <c r="I2058" s="136" t="str">
        <f t="shared" si="122"/>
        <v/>
      </c>
    </row>
    <row r="2059" spans="1:9" hidden="1" x14ac:dyDescent="0.25">
      <c r="A2059" s="114" t="s">
        <v>5778</v>
      </c>
      <c r="B2059" s="115" t="s">
        <v>4570</v>
      </c>
      <c r="C2059" s="116" t="s">
        <v>20</v>
      </c>
      <c r="D2059" s="116">
        <v>0</v>
      </c>
      <c r="E2059" s="135" t="s">
        <v>558</v>
      </c>
      <c r="F2059" s="136" t="str">
        <f t="shared" si="120"/>
        <v/>
      </c>
      <c r="G2059" s="137" t="e">
        <f>IF(A2059&lt;&gt;"",IF(AND(#REF!="Padrão",$H$4=#REF!),BDI!$B$17,IF(AND(#REF!="Padrão",$H$4=#REF!),BDI!#REF!,IF(AND(#REF!="Diferenciado",$H$4=#REF!),BDI!$E$17,IF(AND(#REF!="Diferenciado",$H$4=#REF!),BDI!#REF!,IF(#REF!="ZERO",0))))),"")</f>
        <v>#REF!</v>
      </c>
      <c r="H2059" s="138" t="str">
        <f t="shared" si="121"/>
        <v/>
      </c>
      <c r="I2059" s="136" t="str">
        <f t="shared" si="122"/>
        <v/>
      </c>
    </row>
    <row r="2060" spans="1:9" hidden="1" x14ac:dyDescent="0.25">
      <c r="A2060" s="114" t="s">
        <v>5779</v>
      </c>
      <c r="B2060" s="115" t="s">
        <v>4571</v>
      </c>
      <c r="C2060" s="116" t="s">
        <v>20</v>
      </c>
      <c r="D2060" s="116">
        <v>0</v>
      </c>
      <c r="E2060" s="135" t="s">
        <v>558</v>
      </c>
      <c r="F2060" s="136" t="str">
        <f t="shared" si="120"/>
        <v/>
      </c>
      <c r="G2060" s="137" t="e">
        <f>IF(A2060&lt;&gt;"",IF(AND(#REF!="Padrão",$H$4=#REF!),BDI!$B$17,IF(AND(#REF!="Padrão",$H$4=#REF!),BDI!#REF!,IF(AND(#REF!="Diferenciado",$H$4=#REF!),BDI!$E$17,IF(AND(#REF!="Diferenciado",$H$4=#REF!),BDI!#REF!,IF(#REF!="ZERO",0))))),"")</f>
        <v>#REF!</v>
      </c>
      <c r="H2060" s="138" t="str">
        <f t="shared" si="121"/>
        <v/>
      </c>
      <c r="I2060" s="136" t="str">
        <f t="shared" si="122"/>
        <v/>
      </c>
    </row>
    <row r="2061" spans="1:9" hidden="1" x14ac:dyDescent="0.25">
      <c r="A2061" s="114" t="s">
        <v>5780</v>
      </c>
      <c r="B2061" s="115" t="s">
        <v>4572</v>
      </c>
      <c r="C2061" s="116" t="s">
        <v>20</v>
      </c>
      <c r="D2061" s="116">
        <v>0</v>
      </c>
      <c r="E2061" s="135" t="s">
        <v>558</v>
      </c>
      <c r="F2061" s="136" t="str">
        <f t="shared" si="120"/>
        <v/>
      </c>
      <c r="G2061" s="137" t="e">
        <f>IF(A2061&lt;&gt;"",IF(AND(#REF!="Padrão",$H$4=#REF!),BDI!$B$17,IF(AND(#REF!="Padrão",$H$4=#REF!),BDI!#REF!,IF(AND(#REF!="Diferenciado",$H$4=#REF!),BDI!$E$17,IF(AND(#REF!="Diferenciado",$H$4=#REF!),BDI!#REF!,IF(#REF!="ZERO",0))))),"")</f>
        <v>#REF!</v>
      </c>
      <c r="H2061" s="138" t="str">
        <f t="shared" si="121"/>
        <v/>
      </c>
      <c r="I2061" s="136" t="str">
        <f t="shared" si="122"/>
        <v/>
      </c>
    </row>
    <row r="2062" spans="1:9" hidden="1" x14ac:dyDescent="0.25">
      <c r="A2062" s="114" t="s">
        <v>5781</v>
      </c>
      <c r="B2062" s="115" t="s">
        <v>4573</v>
      </c>
      <c r="C2062" s="116" t="s">
        <v>20</v>
      </c>
      <c r="D2062" s="116">
        <v>0</v>
      </c>
      <c r="E2062" s="135" t="s">
        <v>558</v>
      </c>
      <c r="F2062" s="136" t="str">
        <f t="shared" si="120"/>
        <v/>
      </c>
      <c r="G2062" s="137" t="e">
        <f>IF(A2062&lt;&gt;"",IF(AND(#REF!="Padrão",$H$4=#REF!),BDI!$B$17,IF(AND(#REF!="Padrão",$H$4=#REF!),BDI!#REF!,IF(AND(#REF!="Diferenciado",$H$4=#REF!),BDI!$E$17,IF(AND(#REF!="Diferenciado",$H$4=#REF!),BDI!#REF!,IF(#REF!="ZERO",0))))),"")</f>
        <v>#REF!</v>
      </c>
      <c r="H2062" s="138" t="str">
        <f t="shared" si="121"/>
        <v/>
      </c>
      <c r="I2062" s="136" t="str">
        <f t="shared" si="122"/>
        <v/>
      </c>
    </row>
    <row r="2063" spans="1:9" hidden="1" x14ac:dyDescent="0.25">
      <c r="A2063" s="114" t="s">
        <v>5782</v>
      </c>
      <c r="B2063" s="115" t="s">
        <v>4574</v>
      </c>
      <c r="C2063" s="116" t="s">
        <v>20</v>
      </c>
      <c r="D2063" s="116">
        <v>0</v>
      </c>
      <c r="E2063" s="135" t="s">
        <v>558</v>
      </c>
      <c r="F2063" s="136" t="str">
        <f t="shared" si="120"/>
        <v/>
      </c>
      <c r="G2063" s="137" t="e">
        <f>IF(A2063&lt;&gt;"",IF(AND(#REF!="Padrão",$H$4=#REF!),BDI!$B$17,IF(AND(#REF!="Padrão",$H$4=#REF!),BDI!#REF!,IF(AND(#REF!="Diferenciado",$H$4=#REF!),BDI!$E$17,IF(AND(#REF!="Diferenciado",$H$4=#REF!),BDI!#REF!,IF(#REF!="ZERO",0))))),"")</f>
        <v>#REF!</v>
      </c>
      <c r="H2063" s="138" t="str">
        <f t="shared" si="121"/>
        <v/>
      </c>
      <c r="I2063" s="136" t="str">
        <f t="shared" si="122"/>
        <v/>
      </c>
    </row>
    <row r="2064" spans="1:9" hidden="1" x14ac:dyDescent="0.25">
      <c r="A2064" s="114" t="s">
        <v>5783</v>
      </c>
      <c r="B2064" s="115" t="s">
        <v>4575</v>
      </c>
      <c r="C2064" s="116" t="s">
        <v>20</v>
      </c>
      <c r="D2064" s="116">
        <v>0</v>
      </c>
      <c r="E2064" s="135" t="s">
        <v>558</v>
      </c>
      <c r="F2064" s="136" t="str">
        <f t="shared" si="120"/>
        <v/>
      </c>
      <c r="G2064" s="137" t="e">
        <f>IF(A2064&lt;&gt;"",IF(AND(#REF!="Padrão",$H$4=#REF!),BDI!$B$17,IF(AND(#REF!="Padrão",$H$4=#REF!),BDI!#REF!,IF(AND(#REF!="Diferenciado",$H$4=#REF!),BDI!$E$17,IF(AND(#REF!="Diferenciado",$H$4=#REF!),BDI!#REF!,IF(#REF!="ZERO",0))))),"")</f>
        <v>#REF!</v>
      </c>
      <c r="H2064" s="138" t="str">
        <f t="shared" si="121"/>
        <v/>
      </c>
      <c r="I2064" s="136" t="str">
        <f t="shared" si="122"/>
        <v/>
      </c>
    </row>
    <row r="2065" spans="1:9" hidden="1" x14ac:dyDescent="0.25">
      <c r="A2065" s="114" t="s">
        <v>5784</v>
      </c>
      <c r="B2065" s="115" t="s">
        <v>4576</v>
      </c>
      <c r="C2065" s="116" t="s">
        <v>20</v>
      </c>
      <c r="D2065" s="116">
        <v>0</v>
      </c>
      <c r="E2065" s="135" t="s">
        <v>558</v>
      </c>
      <c r="F2065" s="136" t="str">
        <f t="shared" si="120"/>
        <v/>
      </c>
      <c r="G2065" s="137" t="e">
        <f>IF(A2065&lt;&gt;"",IF(AND(#REF!="Padrão",$H$4=#REF!),BDI!$B$17,IF(AND(#REF!="Padrão",$H$4=#REF!),BDI!#REF!,IF(AND(#REF!="Diferenciado",$H$4=#REF!),BDI!$E$17,IF(AND(#REF!="Diferenciado",$H$4=#REF!),BDI!#REF!,IF(#REF!="ZERO",0))))),"")</f>
        <v>#REF!</v>
      </c>
      <c r="H2065" s="138" t="str">
        <f t="shared" si="121"/>
        <v/>
      </c>
      <c r="I2065" s="136" t="str">
        <f t="shared" si="122"/>
        <v/>
      </c>
    </row>
    <row r="2066" spans="1:9" hidden="1" x14ac:dyDescent="0.25">
      <c r="A2066" s="114" t="s">
        <v>5785</v>
      </c>
      <c r="B2066" s="115" t="s">
        <v>4577</v>
      </c>
      <c r="C2066" s="116" t="s">
        <v>20</v>
      </c>
      <c r="D2066" s="116">
        <v>0</v>
      </c>
      <c r="E2066" s="135" t="s">
        <v>558</v>
      </c>
      <c r="F2066" s="136" t="str">
        <f t="shared" si="120"/>
        <v/>
      </c>
      <c r="G2066" s="137" t="e">
        <f>IF(A2066&lt;&gt;"",IF(AND(#REF!="Padrão",$H$4=#REF!),BDI!$B$17,IF(AND(#REF!="Padrão",$H$4=#REF!),BDI!#REF!,IF(AND(#REF!="Diferenciado",$H$4=#REF!),BDI!$E$17,IF(AND(#REF!="Diferenciado",$H$4=#REF!),BDI!#REF!,IF(#REF!="ZERO",0))))),"")</f>
        <v>#REF!</v>
      </c>
      <c r="H2066" s="138" t="str">
        <f t="shared" si="121"/>
        <v/>
      </c>
      <c r="I2066" s="136" t="str">
        <f t="shared" si="122"/>
        <v/>
      </c>
    </row>
    <row r="2067" spans="1:9" hidden="1" x14ac:dyDescent="0.25">
      <c r="A2067" s="114" t="s">
        <v>5786</v>
      </c>
      <c r="B2067" s="115" t="s">
        <v>4578</v>
      </c>
      <c r="C2067" s="116" t="s">
        <v>20</v>
      </c>
      <c r="D2067" s="116">
        <v>0</v>
      </c>
      <c r="E2067" s="135" t="s">
        <v>558</v>
      </c>
      <c r="F2067" s="136" t="str">
        <f t="shared" si="120"/>
        <v/>
      </c>
      <c r="G2067" s="137" t="e">
        <f>IF(A2067&lt;&gt;"",IF(AND(#REF!="Padrão",$H$4=#REF!),BDI!$B$17,IF(AND(#REF!="Padrão",$H$4=#REF!),BDI!#REF!,IF(AND(#REF!="Diferenciado",$H$4=#REF!),BDI!$E$17,IF(AND(#REF!="Diferenciado",$H$4=#REF!),BDI!#REF!,IF(#REF!="ZERO",0))))),"")</f>
        <v>#REF!</v>
      </c>
      <c r="H2067" s="138" t="str">
        <f t="shared" si="121"/>
        <v/>
      </c>
      <c r="I2067" s="136" t="str">
        <f t="shared" si="122"/>
        <v/>
      </c>
    </row>
    <row r="2068" spans="1:9" hidden="1" x14ac:dyDescent="0.25">
      <c r="A2068" s="114" t="s">
        <v>5787</v>
      </c>
      <c r="B2068" s="115" t="s">
        <v>4579</v>
      </c>
      <c r="C2068" s="116" t="s">
        <v>20</v>
      </c>
      <c r="D2068" s="116">
        <v>0</v>
      </c>
      <c r="E2068" s="135" t="s">
        <v>558</v>
      </c>
      <c r="F2068" s="136" t="str">
        <f t="shared" si="120"/>
        <v/>
      </c>
      <c r="G2068" s="137" t="e">
        <f>IF(A2068&lt;&gt;"",IF(AND(#REF!="Padrão",$H$4=#REF!),BDI!$B$17,IF(AND(#REF!="Padrão",$H$4=#REF!),BDI!#REF!,IF(AND(#REF!="Diferenciado",$H$4=#REF!),BDI!$E$17,IF(AND(#REF!="Diferenciado",$H$4=#REF!),BDI!#REF!,IF(#REF!="ZERO",0))))),"")</f>
        <v>#REF!</v>
      </c>
      <c r="H2068" s="138" t="str">
        <f t="shared" si="121"/>
        <v/>
      </c>
      <c r="I2068" s="136" t="str">
        <f t="shared" si="122"/>
        <v/>
      </c>
    </row>
    <row r="2069" spans="1:9" hidden="1" x14ac:dyDescent="0.25">
      <c r="A2069" s="114" t="s">
        <v>5788</v>
      </c>
      <c r="B2069" s="115" t="s">
        <v>4580</v>
      </c>
      <c r="C2069" s="116" t="s">
        <v>93</v>
      </c>
      <c r="D2069" s="116">
        <v>0</v>
      </c>
      <c r="E2069" s="135" t="s">
        <v>558</v>
      </c>
      <c r="F2069" s="136" t="str">
        <f t="shared" si="120"/>
        <v/>
      </c>
      <c r="G2069" s="137" t="e">
        <f>IF(A2069&lt;&gt;"",IF(AND(#REF!="Padrão",$H$4=#REF!),BDI!$B$17,IF(AND(#REF!="Padrão",$H$4=#REF!),BDI!#REF!,IF(AND(#REF!="Diferenciado",$H$4=#REF!),BDI!$E$17,IF(AND(#REF!="Diferenciado",$H$4=#REF!),BDI!#REF!,IF(#REF!="ZERO",0))))),"")</f>
        <v>#REF!</v>
      </c>
      <c r="H2069" s="138" t="str">
        <f t="shared" si="121"/>
        <v/>
      </c>
      <c r="I2069" s="136" t="str">
        <f t="shared" si="122"/>
        <v/>
      </c>
    </row>
    <row r="2070" spans="1:9" hidden="1" x14ac:dyDescent="0.25">
      <c r="A2070" s="114" t="s">
        <v>5789</v>
      </c>
      <c r="B2070" s="115" t="s">
        <v>4581</v>
      </c>
      <c r="C2070" s="116" t="s">
        <v>20</v>
      </c>
      <c r="D2070" s="116">
        <v>0</v>
      </c>
      <c r="E2070" s="135" t="s">
        <v>558</v>
      </c>
      <c r="F2070" s="136" t="str">
        <f t="shared" si="120"/>
        <v/>
      </c>
      <c r="G2070" s="137" t="e">
        <f>IF(A2070&lt;&gt;"",IF(AND(#REF!="Padrão",$H$4=#REF!),BDI!$B$17,IF(AND(#REF!="Padrão",$H$4=#REF!),BDI!#REF!,IF(AND(#REF!="Diferenciado",$H$4=#REF!),BDI!$E$17,IF(AND(#REF!="Diferenciado",$H$4=#REF!),BDI!#REF!,IF(#REF!="ZERO",0))))),"")</f>
        <v>#REF!</v>
      </c>
      <c r="H2070" s="138" t="str">
        <f t="shared" si="121"/>
        <v/>
      </c>
      <c r="I2070" s="136" t="str">
        <f t="shared" si="122"/>
        <v/>
      </c>
    </row>
    <row r="2071" spans="1:9" hidden="1" x14ac:dyDescent="0.25">
      <c r="A2071" s="114" t="s">
        <v>5790</v>
      </c>
      <c r="B2071" s="115" t="s">
        <v>4582</v>
      </c>
      <c r="C2071" s="116" t="s">
        <v>20</v>
      </c>
      <c r="D2071" s="116">
        <v>0</v>
      </c>
      <c r="E2071" s="135" t="s">
        <v>558</v>
      </c>
      <c r="F2071" s="136" t="str">
        <f t="shared" si="120"/>
        <v/>
      </c>
      <c r="G2071" s="137" t="e">
        <f>IF(A2071&lt;&gt;"",IF(AND(#REF!="Padrão",$H$4=#REF!),BDI!$B$17,IF(AND(#REF!="Padrão",$H$4=#REF!),BDI!#REF!,IF(AND(#REF!="Diferenciado",$H$4=#REF!),BDI!$E$17,IF(AND(#REF!="Diferenciado",$H$4=#REF!),BDI!#REF!,IF(#REF!="ZERO",0))))),"")</f>
        <v>#REF!</v>
      </c>
      <c r="H2071" s="138" t="str">
        <f t="shared" si="121"/>
        <v/>
      </c>
      <c r="I2071" s="136" t="str">
        <f t="shared" si="122"/>
        <v/>
      </c>
    </row>
    <row r="2072" spans="1:9" hidden="1" x14ac:dyDescent="0.25">
      <c r="A2072" s="114" t="s">
        <v>5791</v>
      </c>
      <c r="B2072" s="115" t="s">
        <v>4583</v>
      </c>
      <c r="C2072" s="116" t="s">
        <v>20</v>
      </c>
      <c r="D2072" s="116">
        <v>0</v>
      </c>
      <c r="E2072" s="135" t="s">
        <v>558</v>
      </c>
      <c r="F2072" s="136" t="str">
        <f t="shared" si="120"/>
        <v/>
      </c>
      <c r="G2072" s="137" t="e">
        <f>IF(A2072&lt;&gt;"",IF(AND(#REF!="Padrão",$H$4=#REF!),BDI!$B$17,IF(AND(#REF!="Padrão",$H$4=#REF!),BDI!#REF!,IF(AND(#REF!="Diferenciado",$H$4=#REF!),BDI!$E$17,IF(AND(#REF!="Diferenciado",$H$4=#REF!),BDI!#REF!,IF(#REF!="ZERO",0))))),"")</f>
        <v>#REF!</v>
      </c>
      <c r="H2072" s="138" t="str">
        <f t="shared" si="121"/>
        <v/>
      </c>
      <c r="I2072" s="136" t="str">
        <f t="shared" si="122"/>
        <v/>
      </c>
    </row>
    <row r="2073" spans="1:9" hidden="1" x14ac:dyDescent="0.25">
      <c r="A2073" s="114" t="s">
        <v>5792</v>
      </c>
      <c r="B2073" s="115" t="s">
        <v>4584</v>
      </c>
      <c r="C2073" s="116" t="s">
        <v>20</v>
      </c>
      <c r="D2073" s="116">
        <v>0</v>
      </c>
      <c r="E2073" s="135" t="s">
        <v>558</v>
      </c>
      <c r="F2073" s="136" t="str">
        <f t="shared" si="120"/>
        <v/>
      </c>
      <c r="G2073" s="137" t="e">
        <f>IF(A2073&lt;&gt;"",IF(AND(#REF!="Padrão",$H$4=#REF!),BDI!$B$17,IF(AND(#REF!="Padrão",$H$4=#REF!),BDI!#REF!,IF(AND(#REF!="Diferenciado",$H$4=#REF!),BDI!$E$17,IF(AND(#REF!="Diferenciado",$H$4=#REF!),BDI!#REF!,IF(#REF!="ZERO",0))))),"")</f>
        <v>#REF!</v>
      </c>
      <c r="H2073" s="138" t="str">
        <f t="shared" si="121"/>
        <v/>
      </c>
      <c r="I2073" s="136" t="str">
        <f t="shared" si="122"/>
        <v/>
      </c>
    </row>
    <row r="2074" spans="1:9" hidden="1" x14ac:dyDescent="0.25">
      <c r="A2074" s="114" t="s">
        <v>5793</v>
      </c>
      <c r="B2074" s="115" t="s">
        <v>4585</v>
      </c>
      <c r="C2074" s="116" t="s">
        <v>20</v>
      </c>
      <c r="D2074" s="116">
        <v>0</v>
      </c>
      <c r="E2074" s="135" t="s">
        <v>558</v>
      </c>
      <c r="F2074" s="136" t="str">
        <f t="shared" si="120"/>
        <v/>
      </c>
      <c r="G2074" s="137" t="e">
        <f>IF(A2074&lt;&gt;"",IF(AND(#REF!="Padrão",$H$4=#REF!),BDI!$B$17,IF(AND(#REF!="Padrão",$H$4=#REF!),BDI!#REF!,IF(AND(#REF!="Diferenciado",$H$4=#REF!),BDI!$E$17,IF(AND(#REF!="Diferenciado",$H$4=#REF!),BDI!#REF!,IF(#REF!="ZERO",0))))),"")</f>
        <v>#REF!</v>
      </c>
      <c r="H2074" s="138" t="str">
        <f t="shared" si="121"/>
        <v/>
      </c>
      <c r="I2074" s="136" t="str">
        <f t="shared" si="122"/>
        <v/>
      </c>
    </row>
    <row r="2075" spans="1:9" hidden="1" x14ac:dyDescent="0.25">
      <c r="A2075" s="114" t="s">
        <v>5794</v>
      </c>
      <c r="B2075" s="115" t="s">
        <v>4586</v>
      </c>
      <c r="C2075" s="116" t="s">
        <v>20</v>
      </c>
      <c r="D2075" s="116">
        <v>0</v>
      </c>
      <c r="E2075" s="135" t="s">
        <v>558</v>
      </c>
      <c r="F2075" s="136" t="str">
        <f t="shared" si="120"/>
        <v/>
      </c>
      <c r="G2075" s="137" t="e">
        <f>IF(A2075&lt;&gt;"",IF(AND(#REF!="Padrão",$H$4=#REF!),BDI!$B$17,IF(AND(#REF!="Padrão",$H$4=#REF!),BDI!#REF!,IF(AND(#REF!="Diferenciado",$H$4=#REF!),BDI!$E$17,IF(AND(#REF!="Diferenciado",$H$4=#REF!),BDI!#REF!,IF(#REF!="ZERO",0))))),"")</f>
        <v>#REF!</v>
      </c>
      <c r="H2075" s="138" t="str">
        <f t="shared" si="121"/>
        <v/>
      </c>
      <c r="I2075" s="136" t="str">
        <f t="shared" si="122"/>
        <v/>
      </c>
    </row>
    <row r="2076" spans="1:9" hidden="1" x14ac:dyDescent="0.25">
      <c r="A2076" s="114" t="s">
        <v>5795</v>
      </c>
      <c r="B2076" s="115" t="s">
        <v>4587</v>
      </c>
      <c r="C2076" s="116" t="s">
        <v>20</v>
      </c>
      <c r="D2076" s="116">
        <v>0</v>
      </c>
      <c r="E2076" s="135" t="s">
        <v>558</v>
      </c>
      <c r="F2076" s="136" t="str">
        <f t="shared" si="120"/>
        <v/>
      </c>
      <c r="G2076" s="137" t="e">
        <f>IF(A2076&lt;&gt;"",IF(AND(#REF!="Padrão",$H$4=#REF!),BDI!$B$17,IF(AND(#REF!="Padrão",$H$4=#REF!),BDI!#REF!,IF(AND(#REF!="Diferenciado",$H$4=#REF!),BDI!$E$17,IF(AND(#REF!="Diferenciado",$H$4=#REF!),BDI!#REF!,IF(#REF!="ZERO",0))))),"")</f>
        <v>#REF!</v>
      </c>
      <c r="H2076" s="138" t="str">
        <f t="shared" si="121"/>
        <v/>
      </c>
      <c r="I2076" s="136" t="str">
        <f t="shared" si="122"/>
        <v/>
      </c>
    </row>
    <row r="2077" spans="1:9" hidden="1" x14ac:dyDescent="0.25">
      <c r="A2077" s="114" t="s">
        <v>5796</v>
      </c>
      <c r="B2077" s="115" t="s">
        <v>4588</v>
      </c>
      <c r="C2077" s="116" t="s">
        <v>20</v>
      </c>
      <c r="D2077" s="116">
        <v>0</v>
      </c>
      <c r="E2077" s="135" t="s">
        <v>558</v>
      </c>
      <c r="F2077" s="136" t="str">
        <f t="shared" si="120"/>
        <v/>
      </c>
      <c r="G2077" s="137" t="e">
        <f>IF(A2077&lt;&gt;"",IF(AND(#REF!="Padrão",$H$4=#REF!),BDI!$B$17,IF(AND(#REF!="Padrão",$H$4=#REF!),BDI!#REF!,IF(AND(#REF!="Diferenciado",$H$4=#REF!),BDI!$E$17,IF(AND(#REF!="Diferenciado",$H$4=#REF!),BDI!#REF!,IF(#REF!="ZERO",0))))),"")</f>
        <v>#REF!</v>
      </c>
      <c r="H2077" s="138" t="str">
        <f t="shared" si="121"/>
        <v/>
      </c>
      <c r="I2077" s="136" t="str">
        <f t="shared" si="122"/>
        <v/>
      </c>
    </row>
    <row r="2078" spans="1:9" hidden="1" x14ac:dyDescent="0.25">
      <c r="A2078" s="114" t="s">
        <v>5797</v>
      </c>
      <c r="B2078" s="115" t="s">
        <v>4589</v>
      </c>
      <c r="C2078" s="116" t="s">
        <v>20</v>
      </c>
      <c r="D2078" s="116">
        <v>0</v>
      </c>
      <c r="E2078" s="135" t="s">
        <v>558</v>
      </c>
      <c r="F2078" s="136" t="str">
        <f t="shared" si="120"/>
        <v/>
      </c>
      <c r="G2078" s="137" t="e">
        <f>IF(A2078&lt;&gt;"",IF(AND(#REF!="Padrão",$H$4=#REF!),BDI!$B$17,IF(AND(#REF!="Padrão",$H$4=#REF!),BDI!#REF!,IF(AND(#REF!="Diferenciado",$H$4=#REF!),BDI!$E$17,IF(AND(#REF!="Diferenciado",$H$4=#REF!),BDI!#REF!,IF(#REF!="ZERO",0))))),"")</f>
        <v>#REF!</v>
      </c>
      <c r="H2078" s="138" t="str">
        <f t="shared" si="121"/>
        <v/>
      </c>
      <c r="I2078" s="136" t="str">
        <f t="shared" si="122"/>
        <v/>
      </c>
    </row>
    <row r="2079" spans="1:9" hidden="1" x14ac:dyDescent="0.25">
      <c r="A2079" s="114" t="s">
        <v>5798</v>
      </c>
      <c r="B2079" s="115" t="s">
        <v>4590</v>
      </c>
      <c r="C2079" s="116" t="s">
        <v>20</v>
      </c>
      <c r="D2079" s="116">
        <v>0</v>
      </c>
      <c r="E2079" s="135" t="s">
        <v>558</v>
      </c>
      <c r="F2079" s="136" t="str">
        <f t="shared" si="120"/>
        <v/>
      </c>
      <c r="G2079" s="137" t="e">
        <f>IF(A2079&lt;&gt;"",IF(AND(#REF!="Padrão",$H$4=#REF!),BDI!$B$17,IF(AND(#REF!="Padrão",$H$4=#REF!),BDI!#REF!,IF(AND(#REF!="Diferenciado",$H$4=#REF!),BDI!$E$17,IF(AND(#REF!="Diferenciado",$H$4=#REF!),BDI!#REF!,IF(#REF!="ZERO",0))))),"")</f>
        <v>#REF!</v>
      </c>
      <c r="H2079" s="138" t="str">
        <f t="shared" si="121"/>
        <v/>
      </c>
      <c r="I2079" s="136" t="str">
        <f t="shared" si="122"/>
        <v/>
      </c>
    </row>
    <row r="2080" spans="1:9" hidden="1" x14ac:dyDescent="0.25">
      <c r="A2080" s="114" t="s">
        <v>5799</v>
      </c>
      <c r="B2080" s="115" t="s">
        <v>4591</v>
      </c>
      <c r="C2080" s="116" t="s">
        <v>20</v>
      </c>
      <c r="D2080" s="116">
        <v>0</v>
      </c>
      <c r="E2080" s="135" t="s">
        <v>558</v>
      </c>
      <c r="F2080" s="136" t="str">
        <f t="shared" si="120"/>
        <v/>
      </c>
      <c r="G2080" s="137" t="e">
        <f>IF(A2080&lt;&gt;"",IF(AND(#REF!="Padrão",$H$4=#REF!),BDI!$B$17,IF(AND(#REF!="Padrão",$H$4=#REF!),BDI!#REF!,IF(AND(#REF!="Diferenciado",$H$4=#REF!),BDI!$E$17,IF(AND(#REF!="Diferenciado",$H$4=#REF!),BDI!#REF!,IF(#REF!="ZERO",0))))),"")</f>
        <v>#REF!</v>
      </c>
      <c r="H2080" s="138" t="str">
        <f t="shared" si="121"/>
        <v/>
      </c>
      <c r="I2080" s="136" t="str">
        <f t="shared" si="122"/>
        <v/>
      </c>
    </row>
    <row r="2081" spans="1:9" hidden="1" x14ac:dyDescent="0.25">
      <c r="A2081" s="114" t="s">
        <v>5800</v>
      </c>
      <c r="B2081" s="115" t="s">
        <v>4592</v>
      </c>
      <c r="C2081" s="116" t="s">
        <v>20</v>
      </c>
      <c r="D2081" s="116">
        <v>0</v>
      </c>
      <c r="E2081" s="135" t="s">
        <v>558</v>
      </c>
      <c r="F2081" s="136" t="str">
        <f t="shared" si="120"/>
        <v/>
      </c>
      <c r="G2081" s="137" t="e">
        <f>IF(A2081&lt;&gt;"",IF(AND(#REF!="Padrão",$H$4=#REF!),BDI!$B$17,IF(AND(#REF!="Padrão",$H$4=#REF!),BDI!#REF!,IF(AND(#REF!="Diferenciado",$H$4=#REF!),BDI!$E$17,IF(AND(#REF!="Diferenciado",$H$4=#REF!),BDI!#REF!,IF(#REF!="ZERO",0))))),"")</f>
        <v>#REF!</v>
      </c>
      <c r="H2081" s="138" t="str">
        <f t="shared" si="121"/>
        <v/>
      </c>
      <c r="I2081" s="136" t="str">
        <f t="shared" si="122"/>
        <v/>
      </c>
    </row>
    <row r="2082" spans="1:9" hidden="1" x14ac:dyDescent="0.25">
      <c r="A2082" s="114" t="s">
        <v>5801</v>
      </c>
      <c r="B2082" s="115" t="s">
        <v>4593</v>
      </c>
      <c r="C2082" s="116" t="s">
        <v>20</v>
      </c>
      <c r="D2082" s="116">
        <v>0</v>
      </c>
      <c r="E2082" s="135" t="s">
        <v>558</v>
      </c>
      <c r="F2082" s="136" t="str">
        <f t="shared" si="120"/>
        <v/>
      </c>
      <c r="G2082" s="137" t="e">
        <f>IF(A2082&lt;&gt;"",IF(AND(#REF!="Padrão",$H$4=#REF!),BDI!$B$17,IF(AND(#REF!="Padrão",$H$4=#REF!),BDI!#REF!,IF(AND(#REF!="Diferenciado",$H$4=#REF!),BDI!$E$17,IF(AND(#REF!="Diferenciado",$H$4=#REF!),BDI!#REF!,IF(#REF!="ZERO",0))))),"")</f>
        <v>#REF!</v>
      </c>
      <c r="H2082" s="138" t="str">
        <f t="shared" si="121"/>
        <v/>
      </c>
      <c r="I2082" s="136" t="str">
        <f t="shared" si="122"/>
        <v/>
      </c>
    </row>
    <row r="2083" spans="1:9" hidden="1" x14ac:dyDescent="0.25">
      <c r="A2083" s="114" t="s">
        <v>5802</v>
      </c>
      <c r="B2083" s="115" t="s">
        <v>4594</v>
      </c>
      <c r="C2083" s="116" t="s">
        <v>20</v>
      </c>
      <c r="D2083" s="116">
        <v>0</v>
      </c>
      <c r="E2083" s="135" t="s">
        <v>558</v>
      </c>
      <c r="F2083" s="136" t="str">
        <f t="shared" si="120"/>
        <v/>
      </c>
      <c r="G2083" s="137" t="e">
        <f>IF(A2083&lt;&gt;"",IF(AND(#REF!="Padrão",$H$4=#REF!),BDI!$B$17,IF(AND(#REF!="Padrão",$H$4=#REF!),BDI!#REF!,IF(AND(#REF!="Diferenciado",$H$4=#REF!),BDI!$E$17,IF(AND(#REF!="Diferenciado",$H$4=#REF!),BDI!#REF!,IF(#REF!="ZERO",0))))),"")</f>
        <v>#REF!</v>
      </c>
      <c r="H2083" s="138" t="str">
        <f t="shared" si="121"/>
        <v/>
      </c>
      <c r="I2083" s="136" t="str">
        <f t="shared" si="122"/>
        <v/>
      </c>
    </row>
    <row r="2084" spans="1:9" hidden="1" x14ac:dyDescent="0.25">
      <c r="A2084" s="114" t="s">
        <v>5803</v>
      </c>
      <c r="B2084" s="115" t="s">
        <v>4595</v>
      </c>
      <c r="C2084" s="116" t="s">
        <v>93</v>
      </c>
      <c r="D2084" s="116">
        <v>0</v>
      </c>
      <c r="E2084" s="135" t="s">
        <v>558</v>
      </c>
      <c r="F2084" s="136" t="str">
        <f t="shared" si="120"/>
        <v/>
      </c>
      <c r="G2084" s="137" t="e">
        <f>IF(A2084&lt;&gt;"",IF(AND(#REF!="Padrão",$H$4=#REF!),BDI!$B$17,IF(AND(#REF!="Padrão",$H$4=#REF!),BDI!#REF!,IF(AND(#REF!="Diferenciado",$H$4=#REF!),BDI!$E$17,IF(AND(#REF!="Diferenciado",$H$4=#REF!),BDI!#REF!,IF(#REF!="ZERO",0))))),"")</f>
        <v>#REF!</v>
      </c>
      <c r="H2084" s="138" t="str">
        <f t="shared" si="121"/>
        <v/>
      </c>
      <c r="I2084" s="136" t="str">
        <f t="shared" si="122"/>
        <v/>
      </c>
    </row>
    <row r="2085" spans="1:9" hidden="1" x14ac:dyDescent="0.25">
      <c r="A2085" s="114" t="s">
        <v>5804</v>
      </c>
      <c r="B2085" s="115" t="s">
        <v>4596</v>
      </c>
      <c r="C2085" s="116" t="s">
        <v>93</v>
      </c>
      <c r="D2085" s="116">
        <v>0</v>
      </c>
      <c r="E2085" s="135" t="s">
        <v>558</v>
      </c>
      <c r="F2085" s="136" t="str">
        <f t="shared" si="120"/>
        <v/>
      </c>
      <c r="G2085" s="137" t="e">
        <f>IF(A2085&lt;&gt;"",IF(AND(#REF!="Padrão",$H$4=#REF!),BDI!$B$17,IF(AND(#REF!="Padrão",$H$4=#REF!),BDI!#REF!,IF(AND(#REF!="Diferenciado",$H$4=#REF!),BDI!$E$17,IF(AND(#REF!="Diferenciado",$H$4=#REF!),BDI!#REF!,IF(#REF!="ZERO",0))))),"")</f>
        <v>#REF!</v>
      </c>
      <c r="H2085" s="138" t="str">
        <f t="shared" si="121"/>
        <v/>
      </c>
      <c r="I2085" s="136" t="str">
        <f t="shared" si="122"/>
        <v/>
      </c>
    </row>
    <row r="2086" spans="1:9" hidden="1" x14ac:dyDescent="0.25">
      <c r="A2086" s="114" t="s">
        <v>5805</v>
      </c>
      <c r="B2086" s="115" t="s">
        <v>4597</v>
      </c>
      <c r="C2086" s="116" t="s">
        <v>93</v>
      </c>
      <c r="D2086" s="116">
        <v>0</v>
      </c>
      <c r="E2086" s="135" t="s">
        <v>558</v>
      </c>
      <c r="F2086" s="136" t="str">
        <f t="shared" si="120"/>
        <v/>
      </c>
      <c r="G2086" s="137" t="e">
        <f>IF(A2086&lt;&gt;"",IF(AND(#REF!="Padrão",$H$4=#REF!),BDI!$B$17,IF(AND(#REF!="Padrão",$H$4=#REF!),BDI!#REF!,IF(AND(#REF!="Diferenciado",$H$4=#REF!),BDI!$E$17,IF(AND(#REF!="Diferenciado",$H$4=#REF!),BDI!#REF!,IF(#REF!="ZERO",0))))),"")</f>
        <v>#REF!</v>
      </c>
      <c r="H2086" s="138" t="str">
        <f t="shared" si="121"/>
        <v/>
      </c>
      <c r="I2086" s="136" t="str">
        <f t="shared" si="122"/>
        <v/>
      </c>
    </row>
    <row r="2087" spans="1:9" hidden="1" x14ac:dyDescent="0.25">
      <c r="A2087" s="114" t="s">
        <v>5806</v>
      </c>
      <c r="B2087" s="115" t="s">
        <v>6561</v>
      </c>
      <c r="C2087" s="116" t="s">
        <v>20</v>
      </c>
      <c r="D2087" s="116">
        <v>0</v>
      </c>
      <c r="E2087" s="135">
        <f ca="1">OFFSET(INDEX(Composições!A:J,MATCH(Orçamentária!A2087,Composições!A:A,0),8),2,0)</f>
        <v>1.9949999999999999</v>
      </c>
      <c r="F2087" s="136">
        <f t="shared" ca="1" si="120"/>
        <v>0</v>
      </c>
      <c r="G2087" s="137" t="e">
        <f>IF(A2087&lt;&gt;"",IF(AND(#REF!="Padrão",$H$4=#REF!),BDI!$B$17,IF(AND(#REF!="Padrão",$H$4=#REF!),BDI!#REF!,IF(AND(#REF!="Diferenciado",$H$4=#REF!),BDI!$E$17,IF(AND(#REF!="Diferenciado",$H$4=#REF!),BDI!#REF!,IF(#REF!="ZERO",0))))),"")</f>
        <v>#REF!</v>
      </c>
      <c r="H2087" s="138" t="e">
        <f t="shared" ca="1" si="121"/>
        <v>#REF!</v>
      </c>
      <c r="I2087" s="136" t="e">
        <f t="shared" ca="1" si="122"/>
        <v>#REF!</v>
      </c>
    </row>
    <row r="2088" spans="1:9" hidden="1" x14ac:dyDescent="0.25">
      <c r="A2088" s="114" t="s">
        <v>5807</v>
      </c>
      <c r="B2088" s="115" t="s">
        <v>6562</v>
      </c>
      <c r="C2088" s="116" t="s">
        <v>20</v>
      </c>
      <c r="D2088" s="116">
        <v>0</v>
      </c>
      <c r="E2088" s="135">
        <f ca="1">OFFSET(INDEX(Composições!A:J,MATCH(Orçamentária!A2088,Composições!A:A,0),8),2,0)</f>
        <v>3.9614999999999996</v>
      </c>
      <c r="F2088" s="136">
        <f t="shared" ca="1" si="120"/>
        <v>0</v>
      </c>
      <c r="G2088" s="137" t="e">
        <f>IF(A2088&lt;&gt;"",IF(AND(#REF!="Padrão",$H$4=#REF!),BDI!$B$17,IF(AND(#REF!="Padrão",$H$4=#REF!),BDI!#REF!,IF(AND(#REF!="Diferenciado",$H$4=#REF!),BDI!$E$17,IF(AND(#REF!="Diferenciado",$H$4=#REF!),BDI!#REF!,IF(#REF!="ZERO",0))))),"")</f>
        <v>#REF!</v>
      </c>
      <c r="H2088" s="138" t="e">
        <f t="shared" ca="1" si="121"/>
        <v>#REF!</v>
      </c>
      <c r="I2088" s="136" t="e">
        <f t="shared" ca="1" si="122"/>
        <v>#REF!</v>
      </c>
    </row>
    <row r="2089" spans="1:9" hidden="1" x14ac:dyDescent="0.25">
      <c r="A2089" s="114" t="s">
        <v>5808</v>
      </c>
      <c r="B2089" s="115" t="s">
        <v>6563</v>
      </c>
      <c r="C2089" s="116" t="s">
        <v>20</v>
      </c>
      <c r="D2089" s="116">
        <v>0</v>
      </c>
      <c r="E2089" s="135" t="s">
        <v>558</v>
      </c>
      <c r="F2089" s="136" t="str">
        <f t="shared" si="120"/>
        <v/>
      </c>
      <c r="G2089" s="137" t="e">
        <f>IF(A2089&lt;&gt;"",IF(AND(#REF!="Padrão",$H$4=#REF!),BDI!$B$17,IF(AND(#REF!="Padrão",$H$4=#REF!),BDI!#REF!,IF(AND(#REF!="Diferenciado",$H$4=#REF!),BDI!$E$17,IF(AND(#REF!="Diferenciado",$H$4=#REF!),BDI!#REF!,IF(#REF!="ZERO",0))))),"")</f>
        <v>#REF!</v>
      </c>
      <c r="H2089" s="138" t="str">
        <f t="shared" si="121"/>
        <v/>
      </c>
      <c r="I2089" s="136" t="str">
        <f t="shared" si="122"/>
        <v/>
      </c>
    </row>
    <row r="2090" spans="1:9" hidden="1" x14ac:dyDescent="0.25">
      <c r="A2090" s="114" t="s">
        <v>5809</v>
      </c>
      <c r="B2090" s="115" t="s">
        <v>6564</v>
      </c>
      <c r="C2090" s="116" t="s">
        <v>20</v>
      </c>
      <c r="D2090" s="116">
        <v>0</v>
      </c>
      <c r="E2090" s="135" t="s">
        <v>558</v>
      </c>
      <c r="F2090" s="136" t="str">
        <f t="shared" si="120"/>
        <v/>
      </c>
      <c r="G2090" s="137" t="e">
        <f>IF(A2090&lt;&gt;"",IF(AND(#REF!="Padrão",$H$4=#REF!),BDI!$B$17,IF(AND(#REF!="Padrão",$H$4=#REF!),BDI!#REF!,IF(AND(#REF!="Diferenciado",$H$4=#REF!),BDI!$E$17,IF(AND(#REF!="Diferenciado",$H$4=#REF!),BDI!#REF!,IF(#REF!="ZERO",0))))),"")</f>
        <v>#REF!</v>
      </c>
      <c r="H2090" s="138" t="str">
        <f t="shared" si="121"/>
        <v/>
      </c>
      <c r="I2090" s="136" t="str">
        <f t="shared" si="122"/>
        <v/>
      </c>
    </row>
    <row r="2091" spans="1:9" hidden="1" x14ac:dyDescent="0.25">
      <c r="A2091" s="114" t="s">
        <v>5810</v>
      </c>
      <c r="B2091" s="115" t="s">
        <v>6565</v>
      </c>
      <c r="C2091" s="116" t="s">
        <v>20</v>
      </c>
      <c r="D2091" s="116">
        <v>0</v>
      </c>
      <c r="E2091" s="135" t="s">
        <v>558</v>
      </c>
      <c r="F2091" s="136" t="str">
        <f t="shared" si="120"/>
        <v/>
      </c>
      <c r="G2091" s="137" t="e">
        <f>IF(A2091&lt;&gt;"",IF(AND(#REF!="Padrão",$H$4=#REF!),BDI!$B$17,IF(AND(#REF!="Padrão",$H$4=#REF!),BDI!#REF!,IF(AND(#REF!="Diferenciado",$H$4=#REF!),BDI!$E$17,IF(AND(#REF!="Diferenciado",$H$4=#REF!),BDI!#REF!,IF(#REF!="ZERO",0))))),"")</f>
        <v>#REF!</v>
      </c>
      <c r="H2091" s="138" t="str">
        <f t="shared" si="121"/>
        <v/>
      </c>
      <c r="I2091" s="136" t="str">
        <f t="shared" si="122"/>
        <v/>
      </c>
    </row>
    <row r="2092" spans="1:9" hidden="1" x14ac:dyDescent="0.25">
      <c r="A2092" s="114" t="s">
        <v>5811</v>
      </c>
      <c r="B2092" s="115" t="s">
        <v>4598</v>
      </c>
      <c r="C2092" s="116" t="s">
        <v>20</v>
      </c>
      <c r="D2092" s="116">
        <v>0</v>
      </c>
      <c r="E2092" s="135" t="s">
        <v>558</v>
      </c>
      <c r="F2092" s="136" t="str">
        <f t="shared" si="120"/>
        <v/>
      </c>
      <c r="G2092" s="137" t="e">
        <f>IF(A2092&lt;&gt;"",IF(AND(#REF!="Padrão",$H$4=#REF!),BDI!$B$17,IF(AND(#REF!="Padrão",$H$4=#REF!),BDI!#REF!,IF(AND(#REF!="Diferenciado",$H$4=#REF!),BDI!$E$17,IF(AND(#REF!="Diferenciado",$H$4=#REF!),BDI!#REF!,IF(#REF!="ZERO",0))))),"")</f>
        <v>#REF!</v>
      </c>
      <c r="H2092" s="138" t="str">
        <f t="shared" si="121"/>
        <v/>
      </c>
      <c r="I2092" s="136" t="str">
        <f t="shared" si="122"/>
        <v/>
      </c>
    </row>
    <row r="2093" spans="1:9" hidden="1" x14ac:dyDescent="0.25">
      <c r="A2093" s="114" t="s">
        <v>5812</v>
      </c>
      <c r="B2093" s="115" t="s">
        <v>6566</v>
      </c>
      <c r="C2093" s="116" t="s">
        <v>20</v>
      </c>
      <c r="D2093" s="116">
        <v>0</v>
      </c>
      <c r="E2093" s="135" t="s">
        <v>558</v>
      </c>
      <c r="F2093" s="136" t="str">
        <f t="shared" ref="F2093:F2156" si="123">IF(ISNUMBER(E2093),D2093*E2093,"")</f>
        <v/>
      </c>
      <c r="G2093" s="137" t="e">
        <f>IF(A2093&lt;&gt;"",IF(AND(#REF!="Padrão",$H$4=#REF!),BDI!$B$17,IF(AND(#REF!="Padrão",$H$4=#REF!),BDI!#REF!,IF(AND(#REF!="Diferenciado",$H$4=#REF!),BDI!$E$17,IF(AND(#REF!="Diferenciado",$H$4=#REF!),BDI!#REF!,IF(#REF!="ZERO",0))))),"")</f>
        <v>#REF!</v>
      </c>
      <c r="H2093" s="138" t="str">
        <f t="shared" ref="H2093:H2156" si="124">IF(ISNUMBER(E2093),ROUND(E2093*(1+G2093),2),"")</f>
        <v/>
      </c>
      <c r="I2093" s="136" t="str">
        <f t="shared" ref="I2093:I2156" si="125">IF(ISNUMBER(E2093),ROUND(H2093*D2093,2),"")</f>
        <v/>
      </c>
    </row>
    <row r="2094" spans="1:9" hidden="1" x14ac:dyDescent="0.25">
      <c r="A2094" s="114" t="s">
        <v>5813</v>
      </c>
      <c r="B2094" s="115" t="s">
        <v>3747</v>
      </c>
      <c r="C2094" s="116" t="s">
        <v>20</v>
      </c>
      <c r="D2094" s="116">
        <v>0</v>
      </c>
      <c r="E2094" s="135" t="s">
        <v>558</v>
      </c>
      <c r="F2094" s="136" t="str">
        <f t="shared" si="123"/>
        <v/>
      </c>
      <c r="G2094" s="137" t="e">
        <f>IF(A2094&lt;&gt;"",IF(AND(#REF!="Padrão",$H$4=#REF!),BDI!$B$17,IF(AND(#REF!="Padrão",$H$4=#REF!),BDI!#REF!,IF(AND(#REF!="Diferenciado",$H$4=#REF!),BDI!$E$17,IF(AND(#REF!="Diferenciado",$H$4=#REF!),BDI!#REF!,IF(#REF!="ZERO",0))))),"")</f>
        <v>#REF!</v>
      </c>
      <c r="H2094" s="138" t="str">
        <f t="shared" si="124"/>
        <v/>
      </c>
      <c r="I2094" s="136" t="str">
        <f t="shared" si="125"/>
        <v/>
      </c>
    </row>
    <row r="2095" spans="1:9" hidden="1" x14ac:dyDescent="0.25">
      <c r="A2095" s="114" t="s">
        <v>5814</v>
      </c>
      <c r="B2095" s="115" t="s">
        <v>4599</v>
      </c>
      <c r="C2095" s="116" t="s">
        <v>20</v>
      </c>
      <c r="D2095" s="116">
        <v>0</v>
      </c>
      <c r="E2095" s="135" t="s">
        <v>558</v>
      </c>
      <c r="F2095" s="136" t="str">
        <f t="shared" si="123"/>
        <v/>
      </c>
      <c r="G2095" s="137" t="e">
        <f>IF(A2095&lt;&gt;"",IF(AND(#REF!="Padrão",$H$4=#REF!),BDI!$B$17,IF(AND(#REF!="Padrão",$H$4=#REF!),BDI!#REF!,IF(AND(#REF!="Diferenciado",$H$4=#REF!),BDI!$E$17,IF(AND(#REF!="Diferenciado",$H$4=#REF!),BDI!#REF!,IF(#REF!="ZERO",0))))),"")</f>
        <v>#REF!</v>
      </c>
      <c r="H2095" s="138" t="str">
        <f t="shared" si="124"/>
        <v/>
      </c>
      <c r="I2095" s="136" t="str">
        <f t="shared" si="125"/>
        <v/>
      </c>
    </row>
    <row r="2096" spans="1:9" hidden="1" x14ac:dyDescent="0.25">
      <c r="A2096" s="114" t="s">
        <v>5815</v>
      </c>
      <c r="B2096" s="115" t="s">
        <v>4600</v>
      </c>
      <c r="C2096" s="116" t="s">
        <v>20</v>
      </c>
      <c r="D2096" s="116">
        <v>0</v>
      </c>
      <c r="E2096" s="135">
        <f ca="1">OFFSET(INDEX(Composições!A:J,MATCH(Orçamentária!A2096,Composições!A:A,0),8),2,0)</f>
        <v>0</v>
      </c>
      <c r="F2096" s="136">
        <f t="shared" ca="1" si="123"/>
        <v>0</v>
      </c>
      <c r="G2096" s="137" t="e">
        <f>IF(A2096&lt;&gt;"",IF(AND(#REF!="Padrão",$H$4=#REF!),BDI!$B$17,IF(AND(#REF!="Padrão",$H$4=#REF!),BDI!#REF!,IF(AND(#REF!="Diferenciado",$H$4=#REF!),BDI!$E$17,IF(AND(#REF!="Diferenciado",$H$4=#REF!),BDI!#REF!,IF(#REF!="ZERO",0))))),"")</f>
        <v>#REF!</v>
      </c>
      <c r="H2096" s="138" t="e">
        <f t="shared" ca="1" si="124"/>
        <v>#REF!</v>
      </c>
      <c r="I2096" s="136" t="e">
        <f t="shared" ca="1" si="125"/>
        <v>#REF!</v>
      </c>
    </row>
    <row r="2097" spans="1:9" hidden="1" x14ac:dyDescent="0.25">
      <c r="A2097" s="114" t="s">
        <v>5816</v>
      </c>
      <c r="B2097" s="115" t="s">
        <v>6567</v>
      </c>
      <c r="C2097" s="116" t="s">
        <v>20</v>
      </c>
      <c r="D2097" s="116">
        <v>0</v>
      </c>
      <c r="E2097" s="135" t="s">
        <v>558</v>
      </c>
      <c r="F2097" s="136" t="str">
        <f t="shared" si="123"/>
        <v/>
      </c>
      <c r="G2097" s="137" t="e">
        <f>IF(A2097&lt;&gt;"",IF(AND(#REF!="Padrão",$H$4=#REF!),BDI!$B$17,IF(AND(#REF!="Padrão",$H$4=#REF!),BDI!#REF!,IF(AND(#REF!="Diferenciado",$H$4=#REF!),BDI!$E$17,IF(AND(#REF!="Diferenciado",$H$4=#REF!),BDI!#REF!,IF(#REF!="ZERO",0))))),"")</f>
        <v>#REF!</v>
      </c>
      <c r="H2097" s="138" t="str">
        <f t="shared" si="124"/>
        <v/>
      </c>
      <c r="I2097" s="136" t="str">
        <f t="shared" si="125"/>
        <v/>
      </c>
    </row>
    <row r="2098" spans="1:9" hidden="1" x14ac:dyDescent="0.25">
      <c r="A2098" s="114" t="s">
        <v>5817</v>
      </c>
      <c r="B2098" s="115" t="s">
        <v>4601</v>
      </c>
      <c r="C2098" s="116" t="s">
        <v>20</v>
      </c>
      <c r="D2098" s="116">
        <v>0</v>
      </c>
      <c r="E2098" s="135" t="s">
        <v>558</v>
      </c>
      <c r="F2098" s="136" t="str">
        <f t="shared" si="123"/>
        <v/>
      </c>
      <c r="G2098" s="137" t="e">
        <f>IF(A2098&lt;&gt;"",IF(AND(#REF!="Padrão",$H$4=#REF!),BDI!$B$17,IF(AND(#REF!="Padrão",$H$4=#REF!),BDI!#REF!,IF(AND(#REF!="Diferenciado",$H$4=#REF!),BDI!$E$17,IF(AND(#REF!="Diferenciado",$H$4=#REF!),BDI!#REF!,IF(#REF!="ZERO",0))))),"")</f>
        <v>#REF!</v>
      </c>
      <c r="H2098" s="138" t="str">
        <f t="shared" si="124"/>
        <v/>
      </c>
      <c r="I2098" s="136" t="str">
        <f t="shared" si="125"/>
        <v/>
      </c>
    </row>
    <row r="2099" spans="1:9" hidden="1" x14ac:dyDescent="0.25">
      <c r="A2099" s="114" t="s">
        <v>5818</v>
      </c>
      <c r="B2099" s="115" t="s">
        <v>4602</v>
      </c>
      <c r="C2099" s="116" t="s">
        <v>20</v>
      </c>
      <c r="D2099" s="116">
        <v>0</v>
      </c>
      <c r="E2099" s="135">
        <f ca="1">OFFSET(INDEX(Composições!A:J,MATCH(Orçamentária!A2099,Composições!A:A,0),8),2,0)</f>
        <v>1.5674999999999999</v>
      </c>
      <c r="F2099" s="136">
        <f t="shared" ca="1" si="123"/>
        <v>0</v>
      </c>
      <c r="G2099" s="137" t="e">
        <f>IF(A2099&lt;&gt;"",IF(AND(#REF!="Padrão",$H$4=#REF!),BDI!$B$17,IF(AND(#REF!="Padrão",$H$4=#REF!),BDI!#REF!,IF(AND(#REF!="Diferenciado",$H$4=#REF!),BDI!$E$17,IF(AND(#REF!="Diferenciado",$H$4=#REF!),BDI!#REF!,IF(#REF!="ZERO",0))))),"")</f>
        <v>#REF!</v>
      </c>
      <c r="H2099" s="138" t="e">
        <f t="shared" ca="1" si="124"/>
        <v>#REF!</v>
      </c>
      <c r="I2099" s="136" t="e">
        <f t="shared" ca="1" si="125"/>
        <v>#REF!</v>
      </c>
    </row>
    <row r="2100" spans="1:9" hidden="1" x14ac:dyDescent="0.25">
      <c r="A2100" s="114" t="s">
        <v>5819</v>
      </c>
      <c r="B2100" s="115" t="s">
        <v>4603</v>
      </c>
      <c r="C2100" s="116" t="s">
        <v>20</v>
      </c>
      <c r="D2100" s="116">
        <v>0</v>
      </c>
      <c r="E2100" s="135">
        <f ca="1">OFFSET(INDEX(Composições!A:J,MATCH(Orçamentária!A2100,Composições!A:A,0),8),2,0)</f>
        <v>0</v>
      </c>
      <c r="F2100" s="136">
        <f t="shared" ca="1" si="123"/>
        <v>0</v>
      </c>
      <c r="G2100" s="137" t="e">
        <f>IF(A2100&lt;&gt;"",IF(AND(#REF!="Padrão",$H$4=#REF!),BDI!$B$17,IF(AND(#REF!="Padrão",$H$4=#REF!),BDI!#REF!,IF(AND(#REF!="Diferenciado",$H$4=#REF!),BDI!$E$17,IF(AND(#REF!="Diferenciado",$H$4=#REF!),BDI!#REF!,IF(#REF!="ZERO",0))))),"")</f>
        <v>#REF!</v>
      </c>
      <c r="H2100" s="138" t="e">
        <f t="shared" ca="1" si="124"/>
        <v>#REF!</v>
      </c>
      <c r="I2100" s="136" t="e">
        <f t="shared" ca="1" si="125"/>
        <v>#REF!</v>
      </c>
    </row>
    <row r="2101" spans="1:9" hidden="1" x14ac:dyDescent="0.25">
      <c r="A2101" s="114" t="s">
        <v>5820</v>
      </c>
      <c r="B2101" s="115" t="s">
        <v>6568</v>
      </c>
      <c r="C2101" s="116" t="s">
        <v>20</v>
      </c>
      <c r="D2101" s="116">
        <v>0</v>
      </c>
      <c r="E2101" s="135" t="s">
        <v>558</v>
      </c>
      <c r="F2101" s="136" t="str">
        <f t="shared" si="123"/>
        <v/>
      </c>
      <c r="G2101" s="137" t="e">
        <f>IF(A2101&lt;&gt;"",IF(AND(#REF!="Padrão",$H$4=#REF!),BDI!$B$17,IF(AND(#REF!="Padrão",$H$4=#REF!),BDI!#REF!,IF(AND(#REF!="Diferenciado",$H$4=#REF!),BDI!$E$17,IF(AND(#REF!="Diferenciado",$H$4=#REF!),BDI!#REF!,IF(#REF!="ZERO",0))))),"")</f>
        <v>#REF!</v>
      </c>
      <c r="H2101" s="138" t="str">
        <f t="shared" si="124"/>
        <v/>
      </c>
      <c r="I2101" s="136" t="str">
        <f t="shared" si="125"/>
        <v/>
      </c>
    </row>
    <row r="2102" spans="1:9" hidden="1" x14ac:dyDescent="0.25">
      <c r="A2102" s="114" t="s">
        <v>5821</v>
      </c>
      <c r="B2102" s="115" t="s">
        <v>4604</v>
      </c>
      <c r="C2102" s="116" t="s">
        <v>20</v>
      </c>
      <c r="D2102" s="116">
        <v>0</v>
      </c>
      <c r="E2102" s="135" t="s">
        <v>558</v>
      </c>
      <c r="F2102" s="136" t="str">
        <f t="shared" si="123"/>
        <v/>
      </c>
      <c r="G2102" s="137" t="e">
        <f>IF(A2102&lt;&gt;"",IF(AND(#REF!="Padrão",$H$4=#REF!),BDI!$B$17,IF(AND(#REF!="Padrão",$H$4=#REF!),BDI!#REF!,IF(AND(#REF!="Diferenciado",$H$4=#REF!),BDI!$E$17,IF(AND(#REF!="Diferenciado",$H$4=#REF!),BDI!#REF!,IF(#REF!="ZERO",0))))),"")</f>
        <v>#REF!</v>
      </c>
      <c r="H2102" s="138" t="str">
        <f t="shared" si="124"/>
        <v/>
      </c>
      <c r="I2102" s="136" t="str">
        <f t="shared" si="125"/>
        <v/>
      </c>
    </row>
    <row r="2103" spans="1:9" hidden="1" x14ac:dyDescent="0.25">
      <c r="A2103" s="114" t="s">
        <v>5822</v>
      </c>
      <c r="B2103" s="115" t="s">
        <v>6569</v>
      </c>
      <c r="C2103" s="116" t="s">
        <v>20</v>
      </c>
      <c r="D2103" s="116">
        <v>0</v>
      </c>
      <c r="E2103" s="135" t="s">
        <v>558</v>
      </c>
      <c r="F2103" s="136" t="str">
        <f t="shared" si="123"/>
        <v/>
      </c>
      <c r="G2103" s="137" t="e">
        <f>IF(A2103&lt;&gt;"",IF(AND(#REF!="Padrão",$H$4=#REF!),BDI!$B$17,IF(AND(#REF!="Padrão",$H$4=#REF!),BDI!#REF!,IF(AND(#REF!="Diferenciado",$H$4=#REF!),BDI!$E$17,IF(AND(#REF!="Diferenciado",$H$4=#REF!),BDI!#REF!,IF(#REF!="ZERO",0))))),"")</f>
        <v>#REF!</v>
      </c>
      <c r="H2103" s="138" t="str">
        <f t="shared" si="124"/>
        <v/>
      </c>
      <c r="I2103" s="136" t="str">
        <f t="shared" si="125"/>
        <v/>
      </c>
    </row>
    <row r="2104" spans="1:9" hidden="1" x14ac:dyDescent="0.25">
      <c r="A2104" s="114" t="s">
        <v>5823</v>
      </c>
      <c r="B2104" s="115" t="s">
        <v>6570</v>
      </c>
      <c r="C2104" s="116" t="s">
        <v>20</v>
      </c>
      <c r="D2104" s="116">
        <v>0</v>
      </c>
      <c r="E2104" s="135">
        <f ca="1">OFFSET(INDEX(Composições!A:J,MATCH(Orçamentária!A2104,Composições!A:A,0),8),2,0)</f>
        <v>22.942499999999999</v>
      </c>
      <c r="F2104" s="136">
        <f t="shared" ca="1" si="123"/>
        <v>0</v>
      </c>
      <c r="G2104" s="137" t="e">
        <f>IF(A2104&lt;&gt;"",IF(AND(#REF!="Padrão",$H$4=#REF!),BDI!$B$17,IF(AND(#REF!="Padrão",$H$4=#REF!),BDI!#REF!,IF(AND(#REF!="Diferenciado",$H$4=#REF!),BDI!$E$17,IF(AND(#REF!="Diferenciado",$H$4=#REF!),BDI!#REF!,IF(#REF!="ZERO",0))))),"")</f>
        <v>#REF!</v>
      </c>
      <c r="H2104" s="138" t="e">
        <f t="shared" ca="1" si="124"/>
        <v>#REF!</v>
      </c>
      <c r="I2104" s="136" t="e">
        <f t="shared" ca="1" si="125"/>
        <v>#REF!</v>
      </c>
    </row>
    <row r="2105" spans="1:9" hidden="1" x14ac:dyDescent="0.25">
      <c r="A2105" s="114" t="s">
        <v>5824</v>
      </c>
      <c r="B2105" s="115" t="s">
        <v>4605</v>
      </c>
      <c r="C2105" s="116" t="s">
        <v>20</v>
      </c>
      <c r="D2105" s="116">
        <v>0</v>
      </c>
      <c r="E2105" s="135" t="s">
        <v>558</v>
      </c>
      <c r="F2105" s="136" t="str">
        <f t="shared" si="123"/>
        <v/>
      </c>
      <c r="G2105" s="137" t="e">
        <f>IF(A2105&lt;&gt;"",IF(AND(#REF!="Padrão",$H$4=#REF!),BDI!$B$17,IF(AND(#REF!="Padrão",$H$4=#REF!),BDI!#REF!,IF(AND(#REF!="Diferenciado",$H$4=#REF!),BDI!$E$17,IF(AND(#REF!="Diferenciado",$H$4=#REF!),BDI!#REF!,IF(#REF!="ZERO",0))))),"")</f>
        <v>#REF!</v>
      </c>
      <c r="H2105" s="138" t="str">
        <f t="shared" si="124"/>
        <v/>
      </c>
      <c r="I2105" s="136" t="str">
        <f t="shared" si="125"/>
        <v/>
      </c>
    </row>
    <row r="2106" spans="1:9" hidden="1" x14ac:dyDescent="0.25">
      <c r="A2106" s="114" t="s">
        <v>5825</v>
      </c>
      <c r="B2106" s="115" t="s">
        <v>4606</v>
      </c>
      <c r="C2106" s="116" t="s">
        <v>20</v>
      </c>
      <c r="D2106" s="116">
        <v>0</v>
      </c>
      <c r="E2106" s="135" t="s">
        <v>558</v>
      </c>
      <c r="F2106" s="136" t="str">
        <f t="shared" si="123"/>
        <v/>
      </c>
      <c r="G2106" s="137" t="e">
        <f>IF(A2106&lt;&gt;"",IF(AND(#REF!="Padrão",$H$4=#REF!),BDI!$B$17,IF(AND(#REF!="Padrão",$H$4=#REF!),BDI!#REF!,IF(AND(#REF!="Diferenciado",$H$4=#REF!),BDI!$E$17,IF(AND(#REF!="Diferenciado",$H$4=#REF!),BDI!#REF!,IF(#REF!="ZERO",0))))),"")</f>
        <v>#REF!</v>
      </c>
      <c r="H2106" s="138" t="str">
        <f t="shared" si="124"/>
        <v/>
      </c>
      <c r="I2106" s="136" t="str">
        <f t="shared" si="125"/>
        <v/>
      </c>
    </row>
    <row r="2107" spans="1:9" hidden="1" x14ac:dyDescent="0.25">
      <c r="A2107" s="114" t="s">
        <v>5826</v>
      </c>
      <c r="B2107" s="115" t="s">
        <v>4607</v>
      </c>
      <c r="C2107" s="116" t="s">
        <v>20</v>
      </c>
      <c r="D2107" s="116">
        <v>0</v>
      </c>
      <c r="E2107" s="135" t="s">
        <v>558</v>
      </c>
      <c r="F2107" s="136" t="str">
        <f t="shared" si="123"/>
        <v/>
      </c>
      <c r="G2107" s="137" t="e">
        <f>IF(A2107&lt;&gt;"",IF(AND(#REF!="Padrão",$H$4=#REF!),BDI!$B$17,IF(AND(#REF!="Padrão",$H$4=#REF!),BDI!#REF!,IF(AND(#REF!="Diferenciado",$H$4=#REF!),BDI!$E$17,IF(AND(#REF!="Diferenciado",$H$4=#REF!),BDI!#REF!,IF(#REF!="ZERO",0))))),"")</f>
        <v>#REF!</v>
      </c>
      <c r="H2107" s="138" t="str">
        <f t="shared" si="124"/>
        <v/>
      </c>
      <c r="I2107" s="136" t="str">
        <f t="shared" si="125"/>
        <v/>
      </c>
    </row>
    <row r="2108" spans="1:9" hidden="1" x14ac:dyDescent="0.25">
      <c r="A2108" s="114" t="s">
        <v>5827</v>
      </c>
      <c r="B2108" s="115" t="s">
        <v>4608</v>
      </c>
      <c r="C2108" s="116" t="s">
        <v>20</v>
      </c>
      <c r="D2108" s="116">
        <v>0</v>
      </c>
      <c r="E2108" s="135" t="s">
        <v>558</v>
      </c>
      <c r="F2108" s="136" t="str">
        <f t="shared" si="123"/>
        <v/>
      </c>
      <c r="G2108" s="137" t="e">
        <f>IF(A2108&lt;&gt;"",IF(AND(#REF!="Padrão",$H$4=#REF!),BDI!$B$17,IF(AND(#REF!="Padrão",$H$4=#REF!),BDI!#REF!,IF(AND(#REF!="Diferenciado",$H$4=#REF!),BDI!$E$17,IF(AND(#REF!="Diferenciado",$H$4=#REF!),BDI!#REF!,IF(#REF!="ZERO",0))))),"")</f>
        <v>#REF!</v>
      </c>
      <c r="H2108" s="138" t="str">
        <f t="shared" si="124"/>
        <v/>
      </c>
      <c r="I2108" s="136" t="str">
        <f t="shared" si="125"/>
        <v/>
      </c>
    </row>
    <row r="2109" spans="1:9" hidden="1" x14ac:dyDescent="0.25">
      <c r="A2109" s="114" t="s">
        <v>5828</v>
      </c>
      <c r="B2109" s="115" t="s">
        <v>4609</v>
      </c>
      <c r="C2109" s="116" t="s">
        <v>20</v>
      </c>
      <c r="D2109" s="116">
        <v>0</v>
      </c>
      <c r="E2109" s="135" t="s">
        <v>558</v>
      </c>
      <c r="F2109" s="136" t="str">
        <f t="shared" si="123"/>
        <v/>
      </c>
      <c r="G2109" s="137" t="e">
        <f>IF(A2109&lt;&gt;"",IF(AND(#REF!="Padrão",$H$4=#REF!),BDI!$B$17,IF(AND(#REF!="Padrão",$H$4=#REF!),BDI!#REF!,IF(AND(#REF!="Diferenciado",$H$4=#REF!),BDI!$E$17,IF(AND(#REF!="Diferenciado",$H$4=#REF!),BDI!#REF!,IF(#REF!="ZERO",0))))),"")</f>
        <v>#REF!</v>
      </c>
      <c r="H2109" s="138" t="str">
        <f t="shared" si="124"/>
        <v/>
      </c>
      <c r="I2109" s="136" t="str">
        <f t="shared" si="125"/>
        <v/>
      </c>
    </row>
    <row r="2110" spans="1:9" hidden="1" x14ac:dyDescent="0.25">
      <c r="A2110" s="114" t="s">
        <v>5829</v>
      </c>
      <c r="B2110" s="115" t="s">
        <v>4610</v>
      </c>
      <c r="C2110" s="116" t="s">
        <v>5106</v>
      </c>
      <c r="D2110" s="116">
        <v>0</v>
      </c>
      <c r="E2110" s="135" t="s">
        <v>558</v>
      </c>
      <c r="F2110" s="136" t="str">
        <f t="shared" si="123"/>
        <v/>
      </c>
      <c r="G2110" s="137" t="e">
        <f>IF(A2110&lt;&gt;"",IF(AND(#REF!="Padrão",$H$4=#REF!),BDI!$B$17,IF(AND(#REF!="Padrão",$H$4=#REF!),BDI!#REF!,IF(AND(#REF!="Diferenciado",$H$4=#REF!),BDI!$E$17,IF(AND(#REF!="Diferenciado",$H$4=#REF!),BDI!#REF!,IF(#REF!="ZERO",0))))),"")</f>
        <v>#REF!</v>
      </c>
      <c r="H2110" s="138" t="str">
        <f t="shared" si="124"/>
        <v/>
      </c>
      <c r="I2110" s="136" t="str">
        <f t="shared" si="125"/>
        <v/>
      </c>
    </row>
    <row r="2111" spans="1:9" hidden="1" x14ac:dyDescent="0.25">
      <c r="A2111" s="114" t="s">
        <v>5830</v>
      </c>
      <c r="B2111" s="115" t="s">
        <v>4611</v>
      </c>
      <c r="C2111" s="116" t="s">
        <v>5106</v>
      </c>
      <c r="D2111" s="116">
        <v>0</v>
      </c>
      <c r="E2111" s="135" t="s">
        <v>558</v>
      </c>
      <c r="F2111" s="136" t="str">
        <f t="shared" si="123"/>
        <v/>
      </c>
      <c r="G2111" s="137" t="e">
        <f>IF(A2111&lt;&gt;"",IF(AND(#REF!="Padrão",$H$4=#REF!),BDI!$B$17,IF(AND(#REF!="Padrão",$H$4=#REF!),BDI!#REF!,IF(AND(#REF!="Diferenciado",$H$4=#REF!),BDI!$E$17,IF(AND(#REF!="Diferenciado",$H$4=#REF!),BDI!#REF!,IF(#REF!="ZERO",0))))),"")</f>
        <v>#REF!</v>
      </c>
      <c r="H2111" s="138" t="str">
        <f t="shared" si="124"/>
        <v/>
      </c>
      <c r="I2111" s="136" t="str">
        <f t="shared" si="125"/>
        <v/>
      </c>
    </row>
    <row r="2112" spans="1:9" hidden="1" x14ac:dyDescent="0.25">
      <c r="A2112" s="114" t="s">
        <v>5831</v>
      </c>
      <c r="B2112" s="115" t="s">
        <v>4612</v>
      </c>
      <c r="C2112" s="116" t="s">
        <v>5106</v>
      </c>
      <c r="D2112" s="116">
        <v>0</v>
      </c>
      <c r="E2112" s="135" t="s">
        <v>558</v>
      </c>
      <c r="F2112" s="136" t="str">
        <f t="shared" si="123"/>
        <v/>
      </c>
      <c r="G2112" s="137" t="e">
        <f>IF(A2112&lt;&gt;"",IF(AND(#REF!="Padrão",$H$4=#REF!),BDI!$B$17,IF(AND(#REF!="Padrão",$H$4=#REF!),BDI!#REF!,IF(AND(#REF!="Diferenciado",$H$4=#REF!),BDI!$E$17,IF(AND(#REF!="Diferenciado",$H$4=#REF!),BDI!#REF!,IF(#REF!="ZERO",0))))),"")</f>
        <v>#REF!</v>
      </c>
      <c r="H2112" s="138" t="str">
        <f t="shared" si="124"/>
        <v/>
      </c>
      <c r="I2112" s="136" t="str">
        <f t="shared" si="125"/>
        <v/>
      </c>
    </row>
    <row r="2113" spans="1:9" hidden="1" x14ac:dyDescent="0.25">
      <c r="A2113" s="114" t="s">
        <v>5832</v>
      </c>
      <c r="B2113" s="115" t="s">
        <v>4613</v>
      </c>
      <c r="C2113" s="116" t="s">
        <v>5106</v>
      </c>
      <c r="D2113" s="116">
        <v>0</v>
      </c>
      <c r="E2113" s="135" t="s">
        <v>558</v>
      </c>
      <c r="F2113" s="136" t="str">
        <f t="shared" si="123"/>
        <v/>
      </c>
      <c r="G2113" s="137" t="e">
        <f>IF(A2113&lt;&gt;"",IF(AND(#REF!="Padrão",$H$4=#REF!),BDI!$B$17,IF(AND(#REF!="Padrão",$H$4=#REF!),BDI!#REF!,IF(AND(#REF!="Diferenciado",$H$4=#REF!),BDI!$E$17,IF(AND(#REF!="Diferenciado",$H$4=#REF!),BDI!#REF!,IF(#REF!="ZERO",0))))),"")</f>
        <v>#REF!</v>
      </c>
      <c r="H2113" s="138" t="str">
        <f t="shared" si="124"/>
        <v/>
      </c>
      <c r="I2113" s="136" t="str">
        <f t="shared" si="125"/>
        <v/>
      </c>
    </row>
    <row r="2114" spans="1:9" hidden="1" x14ac:dyDescent="0.25">
      <c r="A2114" s="114" t="s">
        <v>5833</v>
      </c>
      <c r="B2114" s="115" t="s">
        <v>4614</v>
      </c>
      <c r="C2114" s="116" t="s">
        <v>20</v>
      </c>
      <c r="D2114" s="116">
        <v>0</v>
      </c>
      <c r="E2114" s="135" t="s">
        <v>558</v>
      </c>
      <c r="F2114" s="136" t="str">
        <f t="shared" si="123"/>
        <v/>
      </c>
      <c r="G2114" s="137" t="e">
        <f>IF(A2114&lt;&gt;"",IF(AND(#REF!="Padrão",$H$4=#REF!),BDI!$B$17,IF(AND(#REF!="Padrão",$H$4=#REF!),BDI!#REF!,IF(AND(#REF!="Diferenciado",$H$4=#REF!),BDI!$E$17,IF(AND(#REF!="Diferenciado",$H$4=#REF!),BDI!#REF!,IF(#REF!="ZERO",0))))),"")</f>
        <v>#REF!</v>
      </c>
      <c r="H2114" s="138" t="str">
        <f t="shared" si="124"/>
        <v/>
      </c>
      <c r="I2114" s="136" t="str">
        <f t="shared" si="125"/>
        <v/>
      </c>
    </row>
    <row r="2115" spans="1:9" hidden="1" x14ac:dyDescent="0.25">
      <c r="A2115" s="114" t="s">
        <v>5834</v>
      </c>
      <c r="B2115" s="115" t="s">
        <v>4615</v>
      </c>
      <c r="C2115" s="116" t="s">
        <v>20</v>
      </c>
      <c r="D2115" s="116">
        <v>0</v>
      </c>
      <c r="E2115" s="135" t="s">
        <v>558</v>
      </c>
      <c r="F2115" s="136" t="str">
        <f t="shared" si="123"/>
        <v/>
      </c>
      <c r="G2115" s="137" t="e">
        <f>IF(A2115&lt;&gt;"",IF(AND(#REF!="Padrão",$H$4=#REF!),BDI!$B$17,IF(AND(#REF!="Padrão",$H$4=#REF!),BDI!#REF!,IF(AND(#REF!="Diferenciado",$H$4=#REF!),BDI!$E$17,IF(AND(#REF!="Diferenciado",$H$4=#REF!),BDI!#REF!,IF(#REF!="ZERO",0))))),"")</f>
        <v>#REF!</v>
      </c>
      <c r="H2115" s="138" t="str">
        <f t="shared" si="124"/>
        <v/>
      </c>
      <c r="I2115" s="136" t="str">
        <f t="shared" si="125"/>
        <v/>
      </c>
    </row>
    <row r="2116" spans="1:9" hidden="1" x14ac:dyDescent="0.25">
      <c r="A2116" s="114" t="s">
        <v>5835</v>
      </c>
      <c r="B2116" s="115" t="s">
        <v>4616</v>
      </c>
      <c r="C2116" s="116" t="s">
        <v>20</v>
      </c>
      <c r="D2116" s="116">
        <v>0</v>
      </c>
      <c r="E2116" s="135" t="s">
        <v>558</v>
      </c>
      <c r="F2116" s="136" t="str">
        <f t="shared" si="123"/>
        <v/>
      </c>
      <c r="G2116" s="137" t="e">
        <f>IF(A2116&lt;&gt;"",IF(AND(#REF!="Padrão",$H$4=#REF!),BDI!$B$17,IF(AND(#REF!="Padrão",$H$4=#REF!),BDI!#REF!,IF(AND(#REF!="Diferenciado",$H$4=#REF!),BDI!$E$17,IF(AND(#REF!="Diferenciado",$H$4=#REF!),BDI!#REF!,IF(#REF!="ZERO",0))))),"")</f>
        <v>#REF!</v>
      </c>
      <c r="H2116" s="138" t="str">
        <f t="shared" si="124"/>
        <v/>
      </c>
      <c r="I2116" s="136" t="str">
        <f t="shared" si="125"/>
        <v/>
      </c>
    </row>
    <row r="2117" spans="1:9" hidden="1" x14ac:dyDescent="0.25">
      <c r="A2117" s="114" t="s">
        <v>5836</v>
      </c>
      <c r="B2117" s="115" t="s">
        <v>4617</v>
      </c>
      <c r="C2117" s="116" t="s">
        <v>20</v>
      </c>
      <c r="D2117" s="116">
        <v>0</v>
      </c>
      <c r="E2117" s="135" t="s">
        <v>558</v>
      </c>
      <c r="F2117" s="136" t="str">
        <f t="shared" si="123"/>
        <v/>
      </c>
      <c r="G2117" s="137" t="e">
        <f>IF(A2117&lt;&gt;"",IF(AND(#REF!="Padrão",$H$4=#REF!),BDI!$B$17,IF(AND(#REF!="Padrão",$H$4=#REF!),BDI!#REF!,IF(AND(#REF!="Diferenciado",$H$4=#REF!),BDI!$E$17,IF(AND(#REF!="Diferenciado",$H$4=#REF!),BDI!#REF!,IF(#REF!="ZERO",0))))),"")</f>
        <v>#REF!</v>
      </c>
      <c r="H2117" s="138" t="str">
        <f t="shared" si="124"/>
        <v/>
      </c>
      <c r="I2117" s="136" t="str">
        <f t="shared" si="125"/>
        <v/>
      </c>
    </row>
    <row r="2118" spans="1:9" hidden="1" x14ac:dyDescent="0.25">
      <c r="A2118" s="114" t="s">
        <v>5837</v>
      </c>
      <c r="B2118" s="115" t="s">
        <v>6571</v>
      </c>
      <c r="C2118" s="116" t="s">
        <v>20</v>
      </c>
      <c r="D2118" s="116">
        <v>0</v>
      </c>
      <c r="E2118" s="135" t="s">
        <v>558</v>
      </c>
      <c r="F2118" s="136" t="str">
        <f t="shared" si="123"/>
        <v/>
      </c>
      <c r="G2118" s="137" t="e">
        <f>IF(A2118&lt;&gt;"",IF(AND(#REF!="Padrão",$H$4=#REF!),BDI!$B$17,IF(AND(#REF!="Padrão",$H$4=#REF!),BDI!#REF!,IF(AND(#REF!="Diferenciado",$H$4=#REF!),BDI!$E$17,IF(AND(#REF!="Diferenciado",$H$4=#REF!),BDI!#REF!,IF(#REF!="ZERO",0))))),"")</f>
        <v>#REF!</v>
      </c>
      <c r="H2118" s="138" t="str">
        <f t="shared" si="124"/>
        <v/>
      </c>
      <c r="I2118" s="136" t="str">
        <f t="shared" si="125"/>
        <v/>
      </c>
    </row>
    <row r="2119" spans="1:9" hidden="1" x14ac:dyDescent="0.25">
      <c r="A2119" s="114" t="s">
        <v>5838</v>
      </c>
      <c r="B2119" s="115" t="s">
        <v>6572</v>
      </c>
      <c r="C2119" s="116" t="s">
        <v>20</v>
      </c>
      <c r="D2119" s="116">
        <v>0</v>
      </c>
      <c r="E2119" s="135" t="s">
        <v>558</v>
      </c>
      <c r="F2119" s="136" t="str">
        <f t="shared" si="123"/>
        <v/>
      </c>
      <c r="G2119" s="137" t="e">
        <f>IF(A2119&lt;&gt;"",IF(AND(#REF!="Padrão",$H$4=#REF!),BDI!$B$17,IF(AND(#REF!="Padrão",$H$4=#REF!),BDI!#REF!,IF(AND(#REF!="Diferenciado",$H$4=#REF!),BDI!$E$17,IF(AND(#REF!="Diferenciado",$H$4=#REF!),BDI!#REF!,IF(#REF!="ZERO",0))))),"")</f>
        <v>#REF!</v>
      </c>
      <c r="H2119" s="138" t="str">
        <f t="shared" si="124"/>
        <v/>
      </c>
      <c r="I2119" s="136" t="str">
        <f t="shared" si="125"/>
        <v/>
      </c>
    </row>
    <row r="2120" spans="1:9" hidden="1" x14ac:dyDescent="0.25">
      <c r="A2120" s="114" t="s">
        <v>5839</v>
      </c>
      <c r="B2120" s="115" t="s">
        <v>6573</v>
      </c>
      <c r="C2120" s="116" t="s">
        <v>20</v>
      </c>
      <c r="D2120" s="116">
        <v>0</v>
      </c>
      <c r="E2120" s="135" t="s">
        <v>558</v>
      </c>
      <c r="F2120" s="136" t="str">
        <f t="shared" si="123"/>
        <v/>
      </c>
      <c r="G2120" s="137" t="e">
        <f>IF(A2120&lt;&gt;"",IF(AND(#REF!="Padrão",$H$4=#REF!),BDI!$B$17,IF(AND(#REF!="Padrão",$H$4=#REF!),BDI!#REF!,IF(AND(#REF!="Diferenciado",$H$4=#REF!),BDI!$E$17,IF(AND(#REF!="Diferenciado",$H$4=#REF!),BDI!#REF!,IF(#REF!="ZERO",0))))),"")</f>
        <v>#REF!</v>
      </c>
      <c r="H2120" s="138" t="str">
        <f t="shared" si="124"/>
        <v/>
      </c>
      <c r="I2120" s="136" t="str">
        <f t="shared" si="125"/>
        <v/>
      </c>
    </row>
    <row r="2121" spans="1:9" hidden="1" x14ac:dyDescent="0.25">
      <c r="A2121" s="114" t="s">
        <v>5840</v>
      </c>
      <c r="B2121" s="115" t="s">
        <v>4618</v>
      </c>
      <c r="C2121" s="116" t="s">
        <v>20</v>
      </c>
      <c r="D2121" s="116">
        <v>0</v>
      </c>
      <c r="E2121" s="135" t="s">
        <v>558</v>
      </c>
      <c r="F2121" s="136" t="str">
        <f t="shared" si="123"/>
        <v/>
      </c>
      <c r="G2121" s="137" t="e">
        <f>IF(A2121&lt;&gt;"",IF(AND(#REF!="Padrão",$H$4=#REF!),BDI!$B$17,IF(AND(#REF!="Padrão",$H$4=#REF!),BDI!#REF!,IF(AND(#REF!="Diferenciado",$H$4=#REF!),BDI!$E$17,IF(AND(#REF!="Diferenciado",$H$4=#REF!),BDI!#REF!,IF(#REF!="ZERO",0))))),"")</f>
        <v>#REF!</v>
      </c>
      <c r="H2121" s="138" t="str">
        <f t="shared" si="124"/>
        <v/>
      </c>
      <c r="I2121" s="136" t="str">
        <f t="shared" si="125"/>
        <v/>
      </c>
    </row>
    <row r="2122" spans="1:9" hidden="1" x14ac:dyDescent="0.25">
      <c r="A2122" s="114" t="s">
        <v>5841</v>
      </c>
      <c r="B2122" s="115" t="s">
        <v>4619</v>
      </c>
      <c r="C2122" s="116" t="s">
        <v>20</v>
      </c>
      <c r="D2122" s="116">
        <v>0</v>
      </c>
      <c r="E2122" s="135" t="s">
        <v>558</v>
      </c>
      <c r="F2122" s="136" t="str">
        <f t="shared" si="123"/>
        <v/>
      </c>
      <c r="G2122" s="137" t="e">
        <f>IF(A2122&lt;&gt;"",IF(AND(#REF!="Padrão",$H$4=#REF!),BDI!$B$17,IF(AND(#REF!="Padrão",$H$4=#REF!),BDI!#REF!,IF(AND(#REF!="Diferenciado",$H$4=#REF!),BDI!$E$17,IF(AND(#REF!="Diferenciado",$H$4=#REF!),BDI!#REF!,IF(#REF!="ZERO",0))))),"")</f>
        <v>#REF!</v>
      </c>
      <c r="H2122" s="138" t="str">
        <f t="shared" si="124"/>
        <v/>
      </c>
      <c r="I2122" s="136" t="str">
        <f t="shared" si="125"/>
        <v/>
      </c>
    </row>
    <row r="2123" spans="1:9" hidden="1" x14ac:dyDescent="0.25">
      <c r="A2123" s="114" t="s">
        <v>5842</v>
      </c>
      <c r="B2123" s="115" t="s">
        <v>6574</v>
      </c>
      <c r="C2123" s="116" t="s">
        <v>20</v>
      </c>
      <c r="D2123" s="116">
        <v>0</v>
      </c>
      <c r="E2123" s="135" t="s">
        <v>558</v>
      </c>
      <c r="F2123" s="136" t="str">
        <f t="shared" si="123"/>
        <v/>
      </c>
      <c r="G2123" s="137" t="e">
        <f>IF(A2123&lt;&gt;"",IF(AND(#REF!="Padrão",$H$4=#REF!),BDI!$B$17,IF(AND(#REF!="Padrão",$H$4=#REF!),BDI!#REF!,IF(AND(#REF!="Diferenciado",$H$4=#REF!),BDI!$E$17,IF(AND(#REF!="Diferenciado",$H$4=#REF!),BDI!#REF!,IF(#REF!="ZERO",0))))),"")</f>
        <v>#REF!</v>
      </c>
      <c r="H2123" s="138" t="str">
        <f t="shared" si="124"/>
        <v/>
      </c>
      <c r="I2123" s="136" t="str">
        <f t="shared" si="125"/>
        <v/>
      </c>
    </row>
    <row r="2124" spans="1:9" hidden="1" x14ac:dyDescent="0.25">
      <c r="A2124" s="114" t="s">
        <v>5843</v>
      </c>
      <c r="B2124" s="115" t="s">
        <v>6575</v>
      </c>
      <c r="C2124" s="116" t="s">
        <v>20</v>
      </c>
      <c r="D2124" s="116">
        <v>0</v>
      </c>
      <c r="E2124" s="135" t="s">
        <v>558</v>
      </c>
      <c r="F2124" s="136" t="str">
        <f t="shared" si="123"/>
        <v/>
      </c>
      <c r="G2124" s="137" t="e">
        <f>IF(A2124&lt;&gt;"",IF(AND(#REF!="Padrão",$H$4=#REF!),BDI!$B$17,IF(AND(#REF!="Padrão",$H$4=#REF!),BDI!#REF!,IF(AND(#REF!="Diferenciado",$H$4=#REF!),BDI!$E$17,IF(AND(#REF!="Diferenciado",$H$4=#REF!),BDI!#REF!,IF(#REF!="ZERO",0))))),"")</f>
        <v>#REF!</v>
      </c>
      <c r="H2124" s="138" t="str">
        <f t="shared" si="124"/>
        <v/>
      </c>
      <c r="I2124" s="136" t="str">
        <f t="shared" si="125"/>
        <v/>
      </c>
    </row>
    <row r="2125" spans="1:9" hidden="1" x14ac:dyDescent="0.25">
      <c r="A2125" s="114" t="s">
        <v>5844</v>
      </c>
      <c r="B2125" s="115" t="s">
        <v>6576</v>
      </c>
      <c r="C2125" s="116" t="s">
        <v>20</v>
      </c>
      <c r="D2125" s="116">
        <v>0</v>
      </c>
      <c r="E2125" s="135" t="s">
        <v>558</v>
      </c>
      <c r="F2125" s="136" t="str">
        <f t="shared" si="123"/>
        <v/>
      </c>
      <c r="G2125" s="137" t="e">
        <f>IF(A2125&lt;&gt;"",IF(AND(#REF!="Padrão",$H$4=#REF!),BDI!$B$17,IF(AND(#REF!="Padrão",$H$4=#REF!),BDI!#REF!,IF(AND(#REF!="Diferenciado",$H$4=#REF!),BDI!$E$17,IF(AND(#REF!="Diferenciado",$H$4=#REF!),BDI!#REF!,IF(#REF!="ZERO",0))))),"")</f>
        <v>#REF!</v>
      </c>
      <c r="H2125" s="138" t="str">
        <f t="shared" si="124"/>
        <v/>
      </c>
      <c r="I2125" s="136" t="str">
        <f t="shared" si="125"/>
        <v/>
      </c>
    </row>
    <row r="2126" spans="1:9" hidden="1" x14ac:dyDescent="0.25">
      <c r="A2126" s="114" t="s">
        <v>5845</v>
      </c>
      <c r="B2126" s="115" t="s">
        <v>6577</v>
      </c>
      <c r="C2126" s="116" t="s">
        <v>20</v>
      </c>
      <c r="D2126" s="116">
        <v>0</v>
      </c>
      <c r="E2126" s="135" t="s">
        <v>558</v>
      </c>
      <c r="F2126" s="136" t="str">
        <f t="shared" si="123"/>
        <v/>
      </c>
      <c r="G2126" s="137" t="e">
        <f>IF(A2126&lt;&gt;"",IF(AND(#REF!="Padrão",$H$4=#REF!),BDI!$B$17,IF(AND(#REF!="Padrão",$H$4=#REF!),BDI!#REF!,IF(AND(#REF!="Diferenciado",$H$4=#REF!),BDI!$E$17,IF(AND(#REF!="Diferenciado",$H$4=#REF!),BDI!#REF!,IF(#REF!="ZERO",0))))),"")</f>
        <v>#REF!</v>
      </c>
      <c r="H2126" s="138" t="str">
        <f t="shared" si="124"/>
        <v/>
      </c>
      <c r="I2126" s="136" t="str">
        <f t="shared" si="125"/>
        <v/>
      </c>
    </row>
    <row r="2127" spans="1:9" hidden="1" x14ac:dyDescent="0.25">
      <c r="A2127" s="114" t="s">
        <v>5846</v>
      </c>
      <c r="B2127" s="115" t="s">
        <v>6578</v>
      </c>
      <c r="C2127" s="116" t="s">
        <v>20</v>
      </c>
      <c r="D2127" s="116">
        <v>0</v>
      </c>
      <c r="E2127" s="135" t="s">
        <v>558</v>
      </c>
      <c r="F2127" s="136" t="str">
        <f t="shared" si="123"/>
        <v/>
      </c>
      <c r="G2127" s="137" t="e">
        <f>IF(A2127&lt;&gt;"",IF(AND(#REF!="Padrão",$H$4=#REF!),BDI!$B$17,IF(AND(#REF!="Padrão",$H$4=#REF!),BDI!#REF!,IF(AND(#REF!="Diferenciado",$H$4=#REF!),BDI!$E$17,IF(AND(#REF!="Diferenciado",$H$4=#REF!),BDI!#REF!,IF(#REF!="ZERO",0))))),"")</f>
        <v>#REF!</v>
      </c>
      <c r="H2127" s="138" t="str">
        <f t="shared" si="124"/>
        <v/>
      </c>
      <c r="I2127" s="136" t="str">
        <f t="shared" si="125"/>
        <v/>
      </c>
    </row>
    <row r="2128" spans="1:9" hidden="1" x14ac:dyDescent="0.25">
      <c r="A2128" s="114" t="s">
        <v>5847</v>
      </c>
      <c r="B2128" s="115" t="s">
        <v>6579</v>
      </c>
      <c r="C2128" s="116" t="s">
        <v>20</v>
      </c>
      <c r="D2128" s="116">
        <v>0</v>
      </c>
      <c r="E2128" s="135" t="s">
        <v>558</v>
      </c>
      <c r="F2128" s="136" t="str">
        <f t="shared" si="123"/>
        <v/>
      </c>
      <c r="G2128" s="137" t="e">
        <f>IF(A2128&lt;&gt;"",IF(AND(#REF!="Padrão",$H$4=#REF!),BDI!$B$17,IF(AND(#REF!="Padrão",$H$4=#REF!),BDI!#REF!,IF(AND(#REF!="Diferenciado",$H$4=#REF!),BDI!$E$17,IF(AND(#REF!="Diferenciado",$H$4=#REF!),BDI!#REF!,IF(#REF!="ZERO",0))))),"")</f>
        <v>#REF!</v>
      </c>
      <c r="H2128" s="138" t="str">
        <f t="shared" si="124"/>
        <v/>
      </c>
      <c r="I2128" s="136" t="str">
        <f t="shared" si="125"/>
        <v/>
      </c>
    </row>
    <row r="2129" spans="1:9" hidden="1" x14ac:dyDescent="0.25">
      <c r="A2129" s="114" t="s">
        <v>5848</v>
      </c>
      <c r="B2129" s="115" t="s">
        <v>4620</v>
      </c>
      <c r="C2129" s="116" t="s">
        <v>20</v>
      </c>
      <c r="D2129" s="116">
        <v>0</v>
      </c>
      <c r="E2129" s="135" t="s">
        <v>558</v>
      </c>
      <c r="F2129" s="136" t="str">
        <f t="shared" si="123"/>
        <v/>
      </c>
      <c r="G2129" s="137" t="e">
        <f>IF(A2129&lt;&gt;"",IF(AND(#REF!="Padrão",$H$4=#REF!),BDI!$B$17,IF(AND(#REF!="Padrão",$H$4=#REF!),BDI!#REF!,IF(AND(#REF!="Diferenciado",$H$4=#REF!),BDI!$E$17,IF(AND(#REF!="Diferenciado",$H$4=#REF!),BDI!#REF!,IF(#REF!="ZERO",0))))),"")</f>
        <v>#REF!</v>
      </c>
      <c r="H2129" s="138" t="str">
        <f t="shared" si="124"/>
        <v/>
      </c>
      <c r="I2129" s="136" t="str">
        <f t="shared" si="125"/>
        <v/>
      </c>
    </row>
    <row r="2130" spans="1:9" hidden="1" x14ac:dyDescent="0.25">
      <c r="A2130" s="114" t="s">
        <v>5849</v>
      </c>
      <c r="B2130" s="115" t="s">
        <v>4621</v>
      </c>
      <c r="C2130" s="116" t="s">
        <v>20</v>
      </c>
      <c r="D2130" s="116">
        <v>0</v>
      </c>
      <c r="E2130" s="135" t="s">
        <v>558</v>
      </c>
      <c r="F2130" s="136" t="str">
        <f t="shared" si="123"/>
        <v/>
      </c>
      <c r="G2130" s="137" t="e">
        <f>IF(A2130&lt;&gt;"",IF(AND(#REF!="Padrão",$H$4=#REF!),BDI!$B$17,IF(AND(#REF!="Padrão",$H$4=#REF!),BDI!#REF!,IF(AND(#REF!="Diferenciado",$H$4=#REF!),BDI!$E$17,IF(AND(#REF!="Diferenciado",$H$4=#REF!),BDI!#REF!,IF(#REF!="ZERO",0))))),"")</f>
        <v>#REF!</v>
      </c>
      <c r="H2130" s="138" t="str">
        <f t="shared" si="124"/>
        <v/>
      </c>
      <c r="I2130" s="136" t="str">
        <f t="shared" si="125"/>
        <v/>
      </c>
    </row>
    <row r="2131" spans="1:9" hidden="1" x14ac:dyDescent="0.25">
      <c r="A2131" s="114" t="s">
        <v>5850</v>
      </c>
      <c r="B2131" s="115" t="s">
        <v>4622</v>
      </c>
      <c r="C2131" s="116" t="s">
        <v>20</v>
      </c>
      <c r="D2131" s="116">
        <v>0</v>
      </c>
      <c r="E2131" s="135" t="s">
        <v>558</v>
      </c>
      <c r="F2131" s="136" t="str">
        <f t="shared" si="123"/>
        <v/>
      </c>
      <c r="G2131" s="137" t="e">
        <f>IF(A2131&lt;&gt;"",IF(AND(#REF!="Padrão",$H$4=#REF!),BDI!$B$17,IF(AND(#REF!="Padrão",$H$4=#REF!),BDI!#REF!,IF(AND(#REF!="Diferenciado",$H$4=#REF!),BDI!$E$17,IF(AND(#REF!="Diferenciado",$H$4=#REF!),BDI!#REF!,IF(#REF!="ZERO",0))))),"")</f>
        <v>#REF!</v>
      </c>
      <c r="H2131" s="138" t="str">
        <f t="shared" si="124"/>
        <v/>
      </c>
      <c r="I2131" s="136" t="str">
        <f t="shared" si="125"/>
        <v/>
      </c>
    </row>
    <row r="2132" spans="1:9" hidden="1" x14ac:dyDescent="0.25">
      <c r="A2132" s="114" t="s">
        <v>5851</v>
      </c>
      <c r="B2132" s="115" t="s">
        <v>4623</v>
      </c>
      <c r="C2132" s="116" t="s">
        <v>20</v>
      </c>
      <c r="D2132" s="116">
        <v>0</v>
      </c>
      <c r="E2132" s="135" t="s">
        <v>558</v>
      </c>
      <c r="F2132" s="136" t="str">
        <f t="shared" si="123"/>
        <v/>
      </c>
      <c r="G2132" s="137" t="e">
        <f>IF(A2132&lt;&gt;"",IF(AND(#REF!="Padrão",$H$4=#REF!),BDI!$B$17,IF(AND(#REF!="Padrão",$H$4=#REF!),BDI!#REF!,IF(AND(#REF!="Diferenciado",$H$4=#REF!),BDI!$E$17,IF(AND(#REF!="Diferenciado",$H$4=#REF!),BDI!#REF!,IF(#REF!="ZERO",0))))),"")</f>
        <v>#REF!</v>
      </c>
      <c r="H2132" s="138" t="str">
        <f t="shared" si="124"/>
        <v/>
      </c>
      <c r="I2132" s="136" t="str">
        <f t="shared" si="125"/>
        <v/>
      </c>
    </row>
    <row r="2133" spans="1:9" hidden="1" x14ac:dyDescent="0.25">
      <c r="A2133" s="114" t="s">
        <v>5852</v>
      </c>
      <c r="B2133" s="115" t="s">
        <v>6580</v>
      </c>
      <c r="C2133" s="116" t="s">
        <v>20</v>
      </c>
      <c r="D2133" s="116">
        <v>0</v>
      </c>
      <c r="E2133" s="135" t="s">
        <v>558</v>
      </c>
      <c r="F2133" s="136" t="str">
        <f t="shared" si="123"/>
        <v/>
      </c>
      <c r="G2133" s="137" t="e">
        <f>IF(A2133&lt;&gt;"",IF(AND(#REF!="Padrão",$H$4=#REF!),BDI!$B$17,IF(AND(#REF!="Padrão",$H$4=#REF!),BDI!#REF!,IF(AND(#REF!="Diferenciado",$H$4=#REF!),BDI!$E$17,IF(AND(#REF!="Diferenciado",$H$4=#REF!),BDI!#REF!,IF(#REF!="ZERO",0))))),"")</f>
        <v>#REF!</v>
      </c>
      <c r="H2133" s="138" t="str">
        <f t="shared" si="124"/>
        <v/>
      </c>
      <c r="I2133" s="136" t="str">
        <f t="shared" si="125"/>
        <v/>
      </c>
    </row>
    <row r="2134" spans="1:9" hidden="1" x14ac:dyDescent="0.25">
      <c r="A2134" s="114" t="s">
        <v>5853</v>
      </c>
      <c r="B2134" s="115" t="s">
        <v>4624</v>
      </c>
      <c r="C2134" s="116" t="s">
        <v>20</v>
      </c>
      <c r="D2134" s="116">
        <v>0</v>
      </c>
      <c r="E2134" s="135" t="s">
        <v>558</v>
      </c>
      <c r="F2134" s="136" t="str">
        <f t="shared" si="123"/>
        <v/>
      </c>
      <c r="G2134" s="137" t="e">
        <f>IF(A2134&lt;&gt;"",IF(AND(#REF!="Padrão",$H$4=#REF!),BDI!$B$17,IF(AND(#REF!="Padrão",$H$4=#REF!),BDI!#REF!,IF(AND(#REF!="Diferenciado",$H$4=#REF!),BDI!$E$17,IF(AND(#REF!="Diferenciado",$H$4=#REF!),BDI!#REF!,IF(#REF!="ZERO",0))))),"")</f>
        <v>#REF!</v>
      </c>
      <c r="H2134" s="138" t="str">
        <f t="shared" si="124"/>
        <v/>
      </c>
      <c r="I2134" s="136" t="str">
        <f t="shared" si="125"/>
        <v/>
      </c>
    </row>
    <row r="2135" spans="1:9" hidden="1" x14ac:dyDescent="0.25">
      <c r="A2135" s="114" t="s">
        <v>5854</v>
      </c>
      <c r="B2135" s="115" t="s">
        <v>4625</v>
      </c>
      <c r="C2135" s="116" t="s">
        <v>20</v>
      </c>
      <c r="D2135" s="116">
        <v>0</v>
      </c>
      <c r="E2135" s="135" t="s">
        <v>558</v>
      </c>
      <c r="F2135" s="136" t="str">
        <f t="shared" si="123"/>
        <v/>
      </c>
      <c r="G2135" s="137" t="e">
        <f>IF(A2135&lt;&gt;"",IF(AND(#REF!="Padrão",$H$4=#REF!),BDI!$B$17,IF(AND(#REF!="Padrão",$H$4=#REF!),BDI!#REF!,IF(AND(#REF!="Diferenciado",$H$4=#REF!),BDI!$E$17,IF(AND(#REF!="Diferenciado",$H$4=#REF!),BDI!#REF!,IF(#REF!="ZERO",0))))),"")</f>
        <v>#REF!</v>
      </c>
      <c r="H2135" s="138" t="str">
        <f t="shared" si="124"/>
        <v/>
      </c>
      <c r="I2135" s="136" t="str">
        <f t="shared" si="125"/>
        <v/>
      </c>
    </row>
    <row r="2136" spans="1:9" hidden="1" x14ac:dyDescent="0.25">
      <c r="A2136" s="114" t="s">
        <v>5855</v>
      </c>
      <c r="B2136" s="115" t="s">
        <v>4626</v>
      </c>
      <c r="C2136" s="116" t="s">
        <v>20</v>
      </c>
      <c r="D2136" s="116">
        <v>0</v>
      </c>
      <c r="E2136" s="135" t="s">
        <v>558</v>
      </c>
      <c r="F2136" s="136" t="str">
        <f t="shared" si="123"/>
        <v/>
      </c>
      <c r="G2136" s="137" t="e">
        <f>IF(A2136&lt;&gt;"",IF(AND(#REF!="Padrão",$H$4=#REF!),BDI!$B$17,IF(AND(#REF!="Padrão",$H$4=#REF!),BDI!#REF!,IF(AND(#REF!="Diferenciado",$H$4=#REF!),BDI!$E$17,IF(AND(#REF!="Diferenciado",$H$4=#REF!),BDI!#REF!,IF(#REF!="ZERO",0))))),"")</f>
        <v>#REF!</v>
      </c>
      <c r="H2136" s="138" t="str">
        <f t="shared" si="124"/>
        <v/>
      </c>
      <c r="I2136" s="136" t="str">
        <f t="shared" si="125"/>
        <v/>
      </c>
    </row>
    <row r="2137" spans="1:9" hidden="1" x14ac:dyDescent="0.25">
      <c r="A2137" s="114" t="s">
        <v>5856</v>
      </c>
      <c r="B2137" s="115" t="s">
        <v>4627</v>
      </c>
      <c r="C2137" s="116" t="s">
        <v>20</v>
      </c>
      <c r="D2137" s="116">
        <v>0</v>
      </c>
      <c r="E2137" s="135" t="s">
        <v>558</v>
      </c>
      <c r="F2137" s="136" t="str">
        <f t="shared" si="123"/>
        <v/>
      </c>
      <c r="G2137" s="137" t="e">
        <f>IF(A2137&lt;&gt;"",IF(AND(#REF!="Padrão",$H$4=#REF!),BDI!$B$17,IF(AND(#REF!="Padrão",$H$4=#REF!),BDI!#REF!,IF(AND(#REF!="Diferenciado",$H$4=#REF!),BDI!$E$17,IF(AND(#REF!="Diferenciado",$H$4=#REF!),BDI!#REF!,IF(#REF!="ZERO",0))))),"")</f>
        <v>#REF!</v>
      </c>
      <c r="H2137" s="138" t="str">
        <f t="shared" si="124"/>
        <v/>
      </c>
      <c r="I2137" s="136" t="str">
        <f t="shared" si="125"/>
        <v/>
      </c>
    </row>
    <row r="2138" spans="1:9" hidden="1" x14ac:dyDescent="0.25">
      <c r="A2138" s="114" t="s">
        <v>5857</v>
      </c>
      <c r="B2138" s="115" t="s">
        <v>4628</v>
      </c>
      <c r="C2138" s="116" t="s">
        <v>20</v>
      </c>
      <c r="D2138" s="116">
        <v>0</v>
      </c>
      <c r="E2138" s="135" t="s">
        <v>558</v>
      </c>
      <c r="F2138" s="136" t="str">
        <f t="shared" si="123"/>
        <v/>
      </c>
      <c r="G2138" s="137" t="e">
        <f>IF(A2138&lt;&gt;"",IF(AND(#REF!="Padrão",$H$4=#REF!),BDI!$B$17,IF(AND(#REF!="Padrão",$H$4=#REF!),BDI!#REF!,IF(AND(#REF!="Diferenciado",$H$4=#REF!),BDI!$E$17,IF(AND(#REF!="Diferenciado",$H$4=#REF!),BDI!#REF!,IF(#REF!="ZERO",0))))),"")</f>
        <v>#REF!</v>
      </c>
      <c r="H2138" s="138" t="str">
        <f t="shared" si="124"/>
        <v/>
      </c>
      <c r="I2138" s="136" t="str">
        <f t="shared" si="125"/>
        <v/>
      </c>
    </row>
    <row r="2139" spans="1:9" hidden="1" x14ac:dyDescent="0.25">
      <c r="A2139" s="114" t="s">
        <v>5858</v>
      </c>
      <c r="B2139" s="115" t="s">
        <v>4629</v>
      </c>
      <c r="C2139" s="116" t="s">
        <v>20</v>
      </c>
      <c r="D2139" s="116">
        <v>0</v>
      </c>
      <c r="E2139" s="135" t="s">
        <v>558</v>
      </c>
      <c r="F2139" s="136" t="str">
        <f t="shared" si="123"/>
        <v/>
      </c>
      <c r="G2139" s="137" t="e">
        <f>IF(A2139&lt;&gt;"",IF(AND(#REF!="Padrão",$H$4=#REF!),BDI!$B$17,IF(AND(#REF!="Padrão",$H$4=#REF!),BDI!#REF!,IF(AND(#REF!="Diferenciado",$H$4=#REF!),BDI!$E$17,IF(AND(#REF!="Diferenciado",$H$4=#REF!),BDI!#REF!,IF(#REF!="ZERO",0))))),"")</f>
        <v>#REF!</v>
      </c>
      <c r="H2139" s="138" t="str">
        <f t="shared" si="124"/>
        <v/>
      </c>
      <c r="I2139" s="136" t="str">
        <f t="shared" si="125"/>
        <v/>
      </c>
    </row>
    <row r="2140" spans="1:9" hidden="1" x14ac:dyDescent="0.25">
      <c r="A2140" s="114" t="s">
        <v>5859</v>
      </c>
      <c r="B2140" s="115" t="s">
        <v>4630</v>
      </c>
      <c r="C2140" s="116" t="s">
        <v>20</v>
      </c>
      <c r="D2140" s="116">
        <v>0</v>
      </c>
      <c r="E2140" s="135" t="s">
        <v>558</v>
      </c>
      <c r="F2140" s="136" t="str">
        <f t="shared" si="123"/>
        <v/>
      </c>
      <c r="G2140" s="137" t="e">
        <f>IF(A2140&lt;&gt;"",IF(AND(#REF!="Padrão",$H$4=#REF!),BDI!$B$17,IF(AND(#REF!="Padrão",$H$4=#REF!),BDI!#REF!,IF(AND(#REF!="Diferenciado",$H$4=#REF!),BDI!$E$17,IF(AND(#REF!="Diferenciado",$H$4=#REF!),BDI!#REF!,IF(#REF!="ZERO",0))))),"")</f>
        <v>#REF!</v>
      </c>
      <c r="H2140" s="138" t="str">
        <f t="shared" si="124"/>
        <v/>
      </c>
      <c r="I2140" s="136" t="str">
        <f t="shared" si="125"/>
        <v/>
      </c>
    </row>
    <row r="2141" spans="1:9" hidden="1" x14ac:dyDescent="0.25">
      <c r="A2141" s="114" t="s">
        <v>5860</v>
      </c>
      <c r="B2141" s="115" t="s">
        <v>4631</v>
      </c>
      <c r="C2141" s="116" t="s">
        <v>20</v>
      </c>
      <c r="D2141" s="116">
        <v>0</v>
      </c>
      <c r="E2141" s="135" t="s">
        <v>558</v>
      </c>
      <c r="F2141" s="136" t="str">
        <f t="shared" si="123"/>
        <v/>
      </c>
      <c r="G2141" s="137" t="e">
        <f>IF(A2141&lt;&gt;"",IF(AND(#REF!="Padrão",$H$4=#REF!),BDI!$B$17,IF(AND(#REF!="Padrão",$H$4=#REF!),BDI!#REF!,IF(AND(#REF!="Diferenciado",$H$4=#REF!),BDI!$E$17,IF(AND(#REF!="Diferenciado",$H$4=#REF!),BDI!#REF!,IF(#REF!="ZERO",0))))),"")</f>
        <v>#REF!</v>
      </c>
      <c r="H2141" s="138" t="str">
        <f t="shared" si="124"/>
        <v/>
      </c>
      <c r="I2141" s="136" t="str">
        <f t="shared" si="125"/>
        <v/>
      </c>
    </row>
    <row r="2142" spans="1:9" hidden="1" x14ac:dyDescent="0.25">
      <c r="A2142" s="114" t="s">
        <v>5861</v>
      </c>
      <c r="B2142" s="115" t="s">
        <v>4632</v>
      </c>
      <c r="C2142" s="116" t="s">
        <v>20</v>
      </c>
      <c r="D2142" s="116">
        <v>0</v>
      </c>
      <c r="E2142" s="135" t="s">
        <v>558</v>
      </c>
      <c r="F2142" s="136" t="str">
        <f t="shared" si="123"/>
        <v/>
      </c>
      <c r="G2142" s="137" t="e">
        <f>IF(A2142&lt;&gt;"",IF(AND(#REF!="Padrão",$H$4=#REF!),BDI!$B$17,IF(AND(#REF!="Padrão",$H$4=#REF!),BDI!#REF!,IF(AND(#REF!="Diferenciado",$H$4=#REF!),BDI!$E$17,IF(AND(#REF!="Diferenciado",$H$4=#REF!),BDI!#REF!,IF(#REF!="ZERO",0))))),"")</f>
        <v>#REF!</v>
      </c>
      <c r="H2142" s="138" t="str">
        <f t="shared" si="124"/>
        <v/>
      </c>
      <c r="I2142" s="136" t="str">
        <f t="shared" si="125"/>
        <v/>
      </c>
    </row>
    <row r="2143" spans="1:9" hidden="1" x14ac:dyDescent="0.25">
      <c r="A2143" s="114" t="s">
        <v>5862</v>
      </c>
      <c r="B2143" s="115" t="s">
        <v>4633</v>
      </c>
      <c r="C2143" s="116" t="s">
        <v>20</v>
      </c>
      <c r="D2143" s="116">
        <v>0</v>
      </c>
      <c r="E2143" s="135" t="s">
        <v>558</v>
      </c>
      <c r="F2143" s="136" t="str">
        <f t="shared" si="123"/>
        <v/>
      </c>
      <c r="G2143" s="137" t="e">
        <f>IF(A2143&lt;&gt;"",IF(AND(#REF!="Padrão",$H$4=#REF!),BDI!$B$17,IF(AND(#REF!="Padrão",$H$4=#REF!),BDI!#REF!,IF(AND(#REF!="Diferenciado",$H$4=#REF!),BDI!$E$17,IF(AND(#REF!="Diferenciado",$H$4=#REF!),BDI!#REF!,IF(#REF!="ZERO",0))))),"")</f>
        <v>#REF!</v>
      </c>
      <c r="H2143" s="138" t="str">
        <f t="shared" si="124"/>
        <v/>
      </c>
      <c r="I2143" s="136" t="str">
        <f t="shared" si="125"/>
        <v/>
      </c>
    </row>
    <row r="2144" spans="1:9" hidden="1" x14ac:dyDescent="0.25">
      <c r="A2144" s="114" t="s">
        <v>5863</v>
      </c>
      <c r="B2144" s="115" t="s">
        <v>6581</v>
      </c>
      <c r="C2144" s="116" t="s">
        <v>93</v>
      </c>
      <c r="D2144" s="116">
        <v>0</v>
      </c>
      <c r="E2144" s="135" t="s">
        <v>558</v>
      </c>
      <c r="F2144" s="136" t="str">
        <f t="shared" si="123"/>
        <v/>
      </c>
      <c r="G2144" s="137" t="e">
        <f>IF(A2144&lt;&gt;"",IF(AND(#REF!="Padrão",$H$4=#REF!),BDI!$B$17,IF(AND(#REF!="Padrão",$H$4=#REF!),BDI!#REF!,IF(AND(#REF!="Diferenciado",$H$4=#REF!),BDI!$E$17,IF(AND(#REF!="Diferenciado",$H$4=#REF!),BDI!#REF!,IF(#REF!="ZERO",0))))),"")</f>
        <v>#REF!</v>
      </c>
      <c r="H2144" s="138" t="str">
        <f t="shared" si="124"/>
        <v/>
      </c>
      <c r="I2144" s="136" t="str">
        <f t="shared" si="125"/>
        <v/>
      </c>
    </row>
    <row r="2145" spans="1:9" hidden="1" x14ac:dyDescent="0.25">
      <c r="A2145" s="114" t="s">
        <v>5864</v>
      </c>
      <c r="B2145" s="115" t="s">
        <v>6582</v>
      </c>
      <c r="C2145" s="116" t="s">
        <v>93</v>
      </c>
      <c r="D2145" s="116">
        <v>0</v>
      </c>
      <c r="E2145" s="135" t="s">
        <v>558</v>
      </c>
      <c r="F2145" s="136" t="str">
        <f t="shared" si="123"/>
        <v/>
      </c>
      <c r="G2145" s="137" t="e">
        <f>IF(A2145&lt;&gt;"",IF(AND(#REF!="Padrão",$H$4=#REF!),BDI!$B$17,IF(AND(#REF!="Padrão",$H$4=#REF!),BDI!#REF!,IF(AND(#REF!="Diferenciado",$H$4=#REF!),BDI!$E$17,IF(AND(#REF!="Diferenciado",$H$4=#REF!),BDI!#REF!,IF(#REF!="ZERO",0))))),"")</f>
        <v>#REF!</v>
      </c>
      <c r="H2145" s="138" t="str">
        <f t="shared" si="124"/>
        <v/>
      </c>
      <c r="I2145" s="136" t="str">
        <f t="shared" si="125"/>
        <v/>
      </c>
    </row>
    <row r="2146" spans="1:9" hidden="1" x14ac:dyDescent="0.25">
      <c r="A2146" s="114" t="s">
        <v>5865</v>
      </c>
      <c r="B2146" s="115" t="s">
        <v>6343</v>
      </c>
      <c r="C2146" s="116" t="s">
        <v>93</v>
      </c>
      <c r="D2146" s="116">
        <v>0</v>
      </c>
      <c r="E2146" s="135" t="s">
        <v>558</v>
      </c>
      <c r="F2146" s="136" t="str">
        <f t="shared" si="123"/>
        <v/>
      </c>
      <c r="G2146" s="137" t="e">
        <f>IF(A2146&lt;&gt;"",IF(AND(#REF!="Padrão",$H$4=#REF!),BDI!$B$17,IF(AND(#REF!="Padrão",$H$4=#REF!),BDI!#REF!,IF(AND(#REF!="Diferenciado",$H$4=#REF!),BDI!$E$17,IF(AND(#REF!="Diferenciado",$H$4=#REF!),BDI!#REF!,IF(#REF!="ZERO",0))))),"")</f>
        <v>#REF!</v>
      </c>
      <c r="H2146" s="138" t="str">
        <f t="shared" si="124"/>
        <v/>
      </c>
      <c r="I2146" s="136" t="str">
        <f t="shared" si="125"/>
        <v/>
      </c>
    </row>
    <row r="2147" spans="1:9" hidden="1" x14ac:dyDescent="0.25">
      <c r="A2147" s="114" t="s">
        <v>5866</v>
      </c>
      <c r="B2147" s="115" t="s">
        <v>4634</v>
      </c>
      <c r="C2147" s="116" t="s">
        <v>20</v>
      </c>
      <c r="D2147" s="116">
        <v>0</v>
      </c>
      <c r="E2147" s="135" t="s">
        <v>558</v>
      </c>
      <c r="F2147" s="136" t="str">
        <f t="shared" si="123"/>
        <v/>
      </c>
      <c r="G2147" s="137" t="e">
        <f>IF(A2147&lt;&gt;"",IF(AND(#REF!="Padrão",$H$4=#REF!),BDI!$B$17,IF(AND(#REF!="Padrão",$H$4=#REF!),BDI!#REF!,IF(AND(#REF!="Diferenciado",$H$4=#REF!),BDI!$E$17,IF(AND(#REF!="Diferenciado",$H$4=#REF!),BDI!#REF!,IF(#REF!="ZERO",0))))),"")</f>
        <v>#REF!</v>
      </c>
      <c r="H2147" s="138" t="str">
        <f t="shared" si="124"/>
        <v/>
      </c>
      <c r="I2147" s="136" t="str">
        <f t="shared" si="125"/>
        <v/>
      </c>
    </row>
    <row r="2148" spans="1:9" hidden="1" x14ac:dyDescent="0.25">
      <c r="A2148" s="114" t="s">
        <v>5867</v>
      </c>
      <c r="B2148" s="115" t="s">
        <v>4635</v>
      </c>
      <c r="C2148" s="116" t="s">
        <v>20</v>
      </c>
      <c r="D2148" s="116">
        <v>0</v>
      </c>
      <c r="E2148" s="135" t="s">
        <v>558</v>
      </c>
      <c r="F2148" s="136" t="str">
        <f t="shared" si="123"/>
        <v/>
      </c>
      <c r="G2148" s="137" t="e">
        <f>IF(A2148&lt;&gt;"",IF(AND(#REF!="Padrão",$H$4=#REF!),BDI!$B$17,IF(AND(#REF!="Padrão",$H$4=#REF!),BDI!#REF!,IF(AND(#REF!="Diferenciado",$H$4=#REF!),BDI!$E$17,IF(AND(#REF!="Diferenciado",$H$4=#REF!),BDI!#REF!,IF(#REF!="ZERO",0))))),"")</f>
        <v>#REF!</v>
      </c>
      <c r="H2148" s="138" t="str">
        <f t="shared" si="124"/>
        <v/>
      </c>
      <c r="I2148" s="136" t="str">
        <f t="shared" si="125"/>
        <v/>
      </c>
    </row>
    <row r="2149" spans="1:9" hidden="1" x14ac:dyDescent="0.25">
      <c r="A2149" s="114" t="s">
        <v>5868</v>
      </c>
      <c r="B2149" s="115" t="s">
        <v>4636</v>
      </c>
      <c r="C2149" s="116" t="s">
        <v>20</v>
      </c>
      <c r="D2149" s="116">
        <v>0</v>
      </c>
      <c r="E2149" s="135" t="s">
        <v>558</v>
      </c>
      <c r="F2149" s="136" t="str">
        <f t="shared" si="123"/>
        <v/>
      </c>
      <c r="G2149" s="137" t="e">
        <f>IF(A2149&lt;&gt;"",IF(AND(#REF!="Padrão",$H$4=#REF!),BDI!$B$17,IF(AND(#REF!="Padrão",$H$4=#REF!),BDI!#REF!,IF(AND(#REF!="Diferenciado",$H$4=#REF!),BDI!$E$17,IF(AND(#REF!="Diferenciado",$H$4=#REF!),BDI!#REF!,IF(#REF!="ZERO",0))))),"")</f>
        <v>#REF!</v>
      </c>
      <c r="H2149" s="138" t="str">
        <f t="shared" si="124"/>
        <v/>
      </c>
      <c r="I2149" s="136" t="str">
        <f t="shared" si="125"/>
        <v/>
      </c>
    </row>
    <row r="2150" spans="1:9" hidden="1" x14ac:dyDescent="0.25">
      <c r="A2150" s="114" t="s">
        <v>5869</v>
      </c>
      <c r="B2150" s="115" t="s">
        <v>4637</v>
      </c>
      <c r="C2150" s="116" t="s">
        <v>20</v>
      </c>
      <c r="D2150" s="116">
        <v>0</v>
      </c>
      <c r="E2150" s="135" t="s">
        <v>558</v>
      </c>
      <c r="F2150" s="136" t="str">
        <f t="shared" si="123"/>
        <v/>
      </c>
      <c r="G2150" s="137" t="e">
        <f>IF(A2150&lt;&gt;"",IF(AND(#REF!="Padrão",$H$4=#REF!),BDI!$B$17,IF(AND(#REF!="Padrão",$H$4=#REF!),BDI!#REF!,IF(AND(#REF!="Diferenciado",$H$4=#REF!),BDI!$E$17,IF(AND(#REF!="Diferenciado",$H$4=#REF!),BDI!#REF!,IF(#REF!="ZERO",0))))),"")</f>
        <v>#REF!</v>
      </c>
      <c r="H2150" s="138" t="str">
        <f t="shared" si="124"/>
        <v/>
      </c>
      <c r="I2150" s="136" t="str">
        <f t="shared" si="125"/>
        <v/>
      </c>
    </row>
    <row r="2151" spans="1:9" hidden="1" x14ac:dyDescent="0.25">
      <c r="A2151" s="114" t="s">
        <v>5870</v>
      </c>
      <c r="B2151" s="115" t="s">
        <v>4638</v>
      </c>
      <c r="C2151" s="116" t="s">
        <v>20</v>
      </c>
      <c r="D2151" s="116">
        <v>0</v>
      </c>
      <c r="E2151" s="135" t="s">
        <v>558</v>
      </c>
      <c r="F2151" s="136" t="str">
        <f t="shared" si="123"/>
        <v/>
      </c>
      <c r="G2151" s="137" t="e">
        <f>IF(A2151&lt;&gt;"",IF(AND(#REF!="Padrão",$H$4=#REF!),BDI!$B$17,IF(AND(#REF!="Padrão",$H$4=#REF!),BDI!#REF!,IF(AND(#REF!="Diferenciado",$H$4=#REF!),BDI!$E$17,IF(AND(#REF!="Diferenciado",$H$4=#REF!),BDI!#REF!,IF(#REF!="ZERO",0))))),"")</f>
        <v>#REF!</v>
      </c>
      <c r="H2151" s="138" t="str">
        <f t="shared" si="124"/>
        <v/>
      </c>
      <c r="I2151" s="136" t="str">
        <f t="shared" si="125"/>
        <v/>
      </c>
    </row>
    <row r="2152" spans="1:9" hidden="1" x14ac:dyDescent="0.25">
      <c r="A2152" s="114" t="s">
        <v>5871</v>
      </c>
      <c r="B2152" s="115" t="s">
        <v>4639</v>
      </c>
      <c r="C2152" s="116" t="s">
        <v>20</v>
      </c>
      <c r="D2152" s="116">
        <v>0</v>
      </c>
      <c r="E2152" s="135" t="s">
        <v>558</v>
      </c>
      <c r="F2152" s="136" t="str">
        <f t="shared" si="123"/>
        <v/>
      </c>
      <c r="G2152" s="137" t="e">
        <f>IF(A2152&lt;&gt;"",IF(AND(#REF!="Padrão",$H$4=#REF!),BDI!$B$17,IF(AND(#REF!="Padrão",$H$4=#REF!),BDI!#REF!,IF(AND(#REF!="Diferenciado",$H$4=#REF!),BDI!$E$17,IF(AND(#REF!="Diferenciado",$H$4=#REF!),BDI!#REF!,IF(#REF!="ZERO",0))))),"")</f>
        <v>#REF!</v>
      </c>
      <c r="H2152" s="138" t="str">
        <f t="shared" si="124"/>
        <v/>
      </c>
      <c r="I2152" s="136" t="str">
        <f t="shared" si="125"/>
        <v/>
      </c>
    </row>
    <row r="2153" spans="1:9" hidden="1" x14ac:dyDescent="0.25">
      <c r="A2153" s="114" t="s">
        <v>5872</v>
      </c>
      <c r="B2153" s="115" t="s">
        <v>4640</v>
      </c>
      <c r="C2153" s="116" t="s">
        <v>20</v>
      </c>
      <c r="D2153" s="116">
        <v>0</v>
      </c>
      <c r="E2153" s="135" t="s">
        <v>558</v>
      </c>
      <c r="F2153" s="136" t="str">
        <f t="shared" si="123"/>
        <v/>
      </c>
      <c r="G2153" s="137" t="e">
        <f>IF(A2153&lt;&gt;"",IF(AND(#REF!="Padrão",$H$4=#REF!),BDI!$B$17,IF(AND(#REF!="Padrão",$H$4=#REF!),BDI!#REF!,IF(AND(#REF!="Diferenciado",$H$4=#REF!),BDI!$E$17,IF(AND(#REF!="Diferenciado",$H$4=#REF!),BDI!#REF!,IF(#REF!="ZERO",0))))),"")</f>
        <v>#REF!</v>
      </c>
      <c r="H2153" s="138" t="str">
        <f t="shared" si="124"/>
        <v/>
      </c>
      <c r="I2153" s="136" t="str">
        <f t="shared" si="125"/>
        <v/>
      </c>
    </row>
    <row r="2154" spans="1:9" hidden="1" x14ac:dyDescent="0.25">
      <c r="A2154" s="114" t="s">
        <v>5873</v>
      </c>
      <c r="B2154" s="115" t="s">
        <v>4641</v>
      </c>
      <c r="C2154" s="116" t="s">
        <v>20</v>
      </c>
      <c r="D2154" s="116">
        <v>0</v>
      </c>
      <c r="E2154" s="135" t="s">
        <v>558</v>
      </c>
      <c r="F2154" s="136" t="str">
        <f t="shared" si="123"/>
        <v/>
      </c>
      <c r="G2154" s="137" t="e">
        <f>IF(A2154&lt;&gt;"",IF(AND(#REF!="Padrão",$H$4=#REF!),BDI!$B$17,IF(AND(#REF!="Padrão",$H$4=#REF!),BDI!#REF!,IF(AND(#REF!="Diferenciado",$H$4=#REF!),BDI!$E$17,IF(AND(#REF!="Diferenciado",$H$4=#REF!),BDI!#REF!,IF(#REF!="ZERO",0))))),"")</f>
        <v>#REF!</v>
      </c>
      <c r="H2154" s="138" t="str">
        <f t="shared" si="124"/>
        <v/>
      </c>
      <c r="I2154" s="136" t="str">
        <f t="shared" si="125"/>
        <v/>
      </c>
    </row>
    <row r="2155" spans="1:9" hidden="1" x14ac:dyDescent="0.25">
      <c r="A2155" s="114" t="s">
        <v>5874</v>
      </c>
      <c r="B2155" s="115" t="s">
        <v>4642</v>
      </c>
      <c r="C2155" s="116" t="s">
        <v>20</v>
      </c>
      <c r="D2155" s="116">
        <v>0</v>
      </c>
      <c r="E2155" s="135" t="s">
        <v>558</v>
      </c>
      <c r="F2155" s="136" t="str">
        <f t="shared" si="123"/>
        <v/>
      </c>
      <c r="G2155" s="137" t="e">
        <f>IF(A2155&lt;&gt;"",IF(AND(#REF!="Padrão",$H$4=#REF!),BDI!$B$17,IF(AND(#REF!="Padrão",$H$4=#REF!),BDI!#REF!,IF(AND(#REF!="Diferenciado",$H$4=#REF!),BDI!$E$17,IF(AND(#REF!="Diferenciado",$H$4=#REF!),BDI!#REF!,IF(#REF!="ZERO",0))))),"")</f>
        <v>#REF!</v>
      </c>
      <c r="H2155" s="138" t="str">
        <f t="shared" si="124"/>
        <v/>
      </c>
      <c r="I2155" s="136" t="str">
        <f t="shared" si="125"/>
        <v/>
      </c>
    </row>
    <row r="2156" spans="1:9" hidden="1" x14ac:dyDescent="0.25">
      <c r="A2156" s="114" t="s">
        <v>5875</v>
      </c>
      <c r="B2156" s="115" t="s">
        <v>4643</v>
      </c>
      <c r="C2156" s="116" t="s">
        <v>20</v>
      </c>
      <c r="D2156" s="116">
        <v>0</v>
      </c>
      <c r="E2156" s="135" t="s">
        <v>558</v>
      </c>
      <c r="F2156" s="136" t="str">
        <f t="shared" si="123"/>
        <v/>
      </c>
      <c r="G2156" s="137" t="e">
        <f>IF(A2156&lt;&gt;"",IF(AND(#REF!="Padrão",$H$4=#REF!),BDI!$B$17,IF(AND(#REF!="Padrão",$H$4=#REF!),BDI!#REF!,IF(AND(#REF!="Diferenciado",$H$4=#REF!),BDI!$E$17,IF(AND(#REF!="Diferenciado",$H$4=#REF!),BDI!#REF!,IF(#REF!="ZERO",0))))),"")</f>
        <v>#REF!</v>
      </c>
      <c r="H2156" s="138" t="str">
        <f t="shared" si="124"/>
        <v/>
      </c>
      <c r="I2156" s="136" t="str">
        <f t="shared" si="125"/>
        <v/>
      </c>
    </row>
    <row r="2157" spans="1:9" hidden="1" x14ac:dyDescent="0.25">
      <c r="A2157" s="114" t="s">
        <v>5876</v>
      </c>
      <c r="B2157" s="115" t="s">
        <v>4644</v>
      </c>
      <c r="C2157" s="116" t="s">
        <v>20</v>
      </c>
      <c r="D2157" s="116">
        <v>0</v>
      </c>
      <c r="E2157" s="135" t="s">
        <v>558</v>
      </c>
      <c r="F2157" s="136" t="str">
        <f t="shared" ref="F2157:F2220" si="126">IF(ISNUMBER(E2157),D2157*E2157,"")</f>
        <v/>
      </c>
      <c r="G2157" s="137" t="e">
        <f>IF(A2157&lt;&gt;"",IF(AND(#REF!="Padrão",$H$4=#REF!),BDI!$B$17,IF(AND(#REF!="Padrão",$H$4=#REF!),BDI!#REF!,IF(AND(#REF!="Diferenciado",$H$4=#REF!),BDI!$E$17,IF(AND(#REF!="Diferenciado",$H$4=#REF!),BDI!#REF!,IF(#REF!="ZERO",0))))),"")</f>
        <v>#REF!</v>
      </c>
      <c r="H2157" s="138" t="str">
        <f t="shared" ref="H2157:H2220" si="127">IF(ISNUMBER(E2157),ROUND(E2157*(1+G2157),2),"")</f>
        <v/>
      </c>
      <c r="I2157" s="136" t="str">
        <f t="shared" ref="I2157:I2220" si="128">IF(ISNUMBER(E2157),ROUND(H2157*D2157,2),"")</f>
        <v/>
      </c>
    </row>
    <row r="2158" spans="1:9" hidden="1" x14ac:dyDescent="0.25">
      <c r="A2158" s="114" t="s">
        <v>5877</v>
      </c>
      <c r="B2158" s="115" t="s">
        <v>4645</v>
      </c>
      <c r="C2158" s="116" t="s">
        <v>20</v>
      </c>
      <c r="D2158" s="116">
        <v>0</v>
      </c>
      <c r="E2158" s="135" t="s">
        <v>558</v>
      </c>
      <c r="F2158" s="136" t="str">
        <f t="shared" si="126"/>
        <v/>
      </c>
      <c r="G2158" s="137" t="e">
        <f>IF(A2158&lt;&gt;"",IF(AND(#REF!="Padrão",$H$4=#REF!),BDI!$B$17,IF(AND(#REF!="Padrão",$H$4=#REF!),BDI!#REF!,IF(AND(#REF!="Diferenciado",$H$4=#REF!),BDI!$E$17,IF(AND(#REF!="Diferenciado",$H$4=#REF!),BDI!#REF!,IF(#REF!="ZERO",0))))),"")</f>
        <v>#REF!</v>
      </c>
      <c r="H2158" s="138" t="str">
        <f t="shared" si="127"/>
        <v/>
      </c>
      <c r="I2158" s="136" t="str">
        <f t="shared" si="128"/>
        <v/>
      </c>
    </row>
    <row r="2159" spans="1:9" hidden="1" x14ac:dyDescent="0.25">
      <c r="A2159" s="114" t="s">
        <v>5878</v>
      </c>
      <c r="B2159" s="115" t="s">
        <v>4646</v>
      </c>
      <c r="C2159" s="116" t="s">
        <v>20</v>
      </c>
      <c r="D2159" s="116">
        <v>0</v>
      </c>
      <c r="E2159" s="135" t="s">
        <v>558</v>
      </c>
      <c r="F2159" s="136" t="str">
        <f t="shared" si="126"/>
        <v/>
      </c>
      <c r="G2159" s="137" t="e">
        <f>IF(A2159&lt;&gt;"",IF(AND(#REF!="Padrão",$H$4=#REF!),BDI!$B$17,IF(AND(#REF!="Padrão",$H$4=#REF!),BDI!#REF!,IF(AND(#REF!="Diferenciado",$H$4=#REF!),BDI!$E$17,IF(AND(#REF!="Diferenciado",$H$4=#REF!),BDI!#REF!,IF(#REF!="ZERO",0))))),"")</f>
        <v>#REF!</v>
      </c>
      <c r="H2159" s="138" t="str">
        <f t="shared" si="127"/>
        <v/>
      </c>
      <c r="I2159" s="136" t="str">
        <f t="shared" si="128"/>
        <v/>
      </c>
    </row>
    <row r="2160" spans="1:9" hidden="1" x14ac:dyDescent="0.25">
      <c r="A2160" s="114" t="s">
        <v>5879</v>
      </c>
      <c r="B2160" s="115" t="s">
        <v>4647</v>
      </c>
      <c r="C2160" s="116" t="s">
        <v>20</v>
      </c>
      <c r="D2160" s="116">
        <v>0</v>
      </c>
      <c r="E2160" s="135" t="s">
        <v>558</v>
      </c>
      <c r="F2160" s="136" t="str">
        <f t="shared" si="126"/>
        <v/>
      </c>
      <c r="G2160" s="137" t="e">
        <f>IF(A2160&lt;&gt;"",IF(AND(#REF!="Padrão",$H$4=#REF!),BDI!$B$17,IF(AND(#REF!="Padrão",$H$4=#REF!),BDI!#REF!,IF(AND(#REF!="Diferenciado",$H$4=#REF!),BDI!$E$17,IF(AND(#REF!="Diferenciado",$H$4=#REF!),BDI!#REF!,IF(#REF!="ZERO",0))))),"")</f>
        <v>#REF!</v>
      </c>
      <c r="H2160" s="138" t="str">
        <f t="shared" si="127"/>
        <v/>
      </c>
      <c r="I2160" s="136" t="str">
        <f t="shared" si="128"/>
        <v/>
      </c>
    </row>
    <row r="2161" spans="1:9" hidden="1" x14ac:dyDescent="0.25">
      <c r="A2161" s="114" t="s">
        <v>5880</v>
      </c>
      <c r="B2161" s="115" t="s">
        <v>4648</v>
      </c>
      <c r="C2161" s="116" t="s">
        <v>20</v>
      </c>
      <c r="D2161" s="116">
        <v>0</v>
      </c>
      <c r="E2161" s="135" t="s">
        <v>558</v>
      </c>
      <c r="F2161" s="136" t="str">
        <f t="shared" si="126"/>
        <v/>
      </c>
      <c r="G2161" s="137" t="e">
        <f>IF(A2161&lt;&gt;"",IF(AND(#REF!="Padrão",$H$4=#REF!),BDI!$B$17,IF(AND(#REF!="Padrão",$H$4=#REF!),BDI!#REF!,IF(AND(#REF!="Diferenciado",$H$4=#REF!),BDI!$E$17,IF(AND(#REF!="Diferenciado",$H$4=#REF!),BDI!#REF!,IF(#REF!="ZERO",0))))),"")</f>
        <v>#REF!</v>
      </c>
      <c r="H2161" s="138" t="str">
        <f t="shared" si="127"/>
        <v/>
      </c>
      <c r="I2161" s="136" t="str">
        <f t="shared" si="128"/>
        <v/>
      </c>
    </row>
    <row r="2162" spans="1:9" hidden="1" x14ac:dyDescent="0.25">
      <c r="A2162" s="114" t="s">
        <v>5881</v>
      </c>
      <c r="B2162" s="115" t="s">
        <v>4649</v>
      </c>
      <c r="C2162" s="116" t="s">
        <v>20</v>
      </c>
      <c r="D2162" s="116">
        <v>0</v>
      </c>
      <c r="E2162" s="135" t="s">
        <v>558</v>
      </c>
      <c r="F2162" s="136" t="str">
        <f t="shared" si="126"/>
        <v/>
      </c>
      <c r="G2162" s="137" t="e">
        <f>IF(A2162&lt;&gt;"",IF(AND(#REF!="Padrão",$H$4=#REF!),BDI!$B$17,IF(AND(#REF!="Padrão",$H$4=#REF!),BDI!#REF!,IF(AND(#REF!="Diferenciado",$H$4=#REF!),BDI!$E$17,IF(AND(#REF!="Diferenciado",$H$4=#REF!),BDI!#REF!,IF(#REF!="ZERO",0))))),"")</f>
        <v>#REF!</v>
      </c>
      <c r="H2162" s="138" t="str">
        <f t="shared" si="127"/>
        <v/>
      </c>
      <c r="I2162" s="136" t="str">
        <f t="shared" si="128"/>
        <v/>
      </c>
    </row>
    <row r="2163" spans="1:9" hidden="1" x14ac:dyDescent="0.25">
      <c r="A2163" s="114" t="s">
        <v>5882</v>
      </c>
      <c r="B2163" s="115" t="s">
        <v>4650</v>
      </c>
      <c r="C2163" s="116" t="s">
        <v>20</v>
      </c>
      <c r="D2163" s="116">
        <v>0</v>
      </c>
      <c r="E2163" s="135" t="s">
        <v>558</v>
      </c>
      <c r="F2163" s="136" t="str">
        <f t="shared" si="126"/>
        <v/>
      </c>
      <c r="G2163" s="137" t="e">
        <f>IF(A2163&lt;&gt;"",IF(AND(#REF!="Padrão",$H$4=#REF!),BDI!$B$17,IF(AND(#REF!="Padrão",$H$4=#REF!),BDI!#REF!,IF(AND(#REF!="Diferenciado",$H$4=#REF!),BDI!$E$17,IF(AND(#REF!="Diferenciado",$H$4=#REF!),BDI!#REF!,IF(#REF!="ZERO",0))))),"")</f>
        <v>#REF!</v>
      </c>
      <c r="H2163" s="138" t="str">
        <f t="shared" si="127"/>
        <v/>
      </c>
      <c r="I2163" s="136" t="str">
        <f t="shared" si="128"/>
        <v/>
      </c>
    </row>
    <row r="2164" spans="1:9" hidden="1" x14ac:dyDescent="0.25">
      <c r="A2164" s="114" t="s">
        <v>5883</v>
      </c>
      <c r="B2164" s="115" t="s">
        <v>4651</v>
      </c>
      <c r="C2164" s="116" t="s">
        <v>20</v>
      </c>
      <c r="D2164" s="116">
        <v>0</v>
      </c>
      <c r="E2164" s="135" t="s">
        <v>558</v>
      </c>
      <c r="F2164" s="136" t="str">
        <f t="shared" si="126"/>
        <v/>
      </c>
      <c r="G2164" s="137" t="e">
        <f>IF(A2164&lt;&gt;"",IF(AND(#REF!="Padrão",$H$4=#REF!),BDI!$B$17,IF(AND(#REF!="Padrão",$H$4=#REF!),BDI!#REF!,IF(AND(#REF!="Diferenciado",$H$4=#REF!),BDI!$E$17,IF(AND(#REF!="Diferenciado",$H$4=#REF!),BDI!#REF!,IF(#REF!="ZERO",0))))),"")</f>
        <v>#REF!</v>
      </c>
      <c r="H2164" s="138" t="str">
        <f t="shared" si="127"/>
        <v/>
      </c>
      <c r="I2164" s="136" t="str">
        <f t="shared" si="128"/>
        <v/>
      </c>
    </row>
    <row r="2165" spans="1:9" hidden="1" x14ac:dyDescent="0.25">
      <c r="A2165" s="114" t="s">
        <v>5884</v>
      </c>
      <c r="B2165" s="115" t="s">
        <v>4652</v>
      </c>
      <c r="C2165" s="116" t="s">
        <v>93</v>
      </c>
      <c r="D2165" s="116">
        <v>0</v>
      </c>
      <c r="E2165" s="135" t="s">
        <v>558</v>
      </c>
      <c r="F2165" s="136" t="str">
        <f t="shared" si="126"/>
        <v/>
      </c>
      <c r="G2165" s="137" t="e">
        <f>IF(A2165&lt;&gt;"",IF(AND(#REF!="Padrão",$H$4=#REF!),BDI!$B$17,IF(AND(#REF!="Padrão",$H$4=#REF!),BDI!#REF!,IF(AND(#REF!="Diferenciado",$H$4=#REF!),BDI!$E$17,IF(AND(#REF!="Diferenciado",$H$4=#REF!),BDI!#REF!,IF(#REF!="ZERO",0))))),"")</f>
        <v>#REF!</v>
      </c>
      <c r="H2165" s="138" t="str">
        <f t="shared" si="127"/>
        <v/>
      </c>
      <c r="I2165" s="136" t="str">
        <f t="shared" si="128"/>
        <v/>
      </c>
    </row>
    <row r="2166" spans="1:9" hidden="1" x14ac:dyDescent="0.25">
      <c r="A2166" s="114" t="s">
        <v>5885</v>
      </c>
      <c r="B2166" s="115" t="s">
        <v>4653</v>
      </c>
      <c r="C2166" s="116" t="s">
        <v>20</v>
      </c>
      <c r="D2166" s="116">
        <v>0</v>
      </c>
      <c r="E2166" s="135" t="s">
        <v>558</v>
      </c>
      <c r="F2166" s="136" t="str">
        <f t="shared" si="126"/>
        <v/>
      </c>
      <c r="G2166" s="137" t="e">
        <f>IF(A2166&lt;&gt;"",IF(AND(#REF!="Padrão",$H$4=#REF!),BDI!$B$17,IF(AND(#REF!="Padrão",$H$4=#REF!),BDI!#REF!,IF(AND(#REF!="Diferenciado",$H$4=#REF!),BDI!$E$17,IF(AND(#REF!="Diferenciado",$H$4=#REF!),BDI!#REF!,IF(#REF!="ZERO",0))))),"")</f>
        <v>#REF!</v>
      </c>
      <c r="H2166" s="138" t="str">
        <f t="shared" si="127"/>
        <v/>
      </c>
      <c r="I2166" s="136" t="str">
        <f t="shared" si="128"/>
        <v/>
      </c>
    </row>
    <row r="2167" spans="1:9" hidden="1" x14ac:dyDescent="0.25">
      <c r="A2167" s="114" t="s">
        <v>5886</v>
      </c>
      <c r="B2167" s="115" t="s">
        <v>4654</v>
      </c>
      <c r="C2167" s="116" t="s">
        <v>20</v>
      </c>
      <c r="D2167" s="116">
        <v>0</v>
      </c>
      <c r="E2167" s="135" t="s">
        <v>558</v>
      </c>
      <c r="F2167" s="136" t="str">
        <f t="shared" si="126"/>
        <v/>
      </c>
      <c r="G2167" s="137" t="e">
        <f>IF(A2167&lt;&gt;"",IF(AND(#REF!="Padrão",$H$4=#REF!),BDI!$B$17,IF(AND(#REF!="Padrão",$H$4=#REF!),BDI!#REF!,IF(AND(#REF!="Diferenciado",$H$4=#REF!),BDI!$E$17,IF(AND(#REF!="Diferenciado",$H$4=#REF!),BDI!#REF!,IF(#REF!="ZERO",0))))),"")</f>
        <v>#REF!</v>
      </c>
      <c r="H2167" s="138" t="str">
        <f t="shared" si="127"/>
        <v/>
      </c>
      <c r="I2167" s="136" t="str">
        <f t="shared" si="128"/>
        <v/>
      </c>
    </row>
    <row r="2168" spans="1:9" hidden="1" x14ac:dyDescent="0.25">
      <c r="A2168" s="114" t="s">
        <v>5887</v>
      </c>
      <c r="B2168" s="115" t="s">
        <v>4655</v>
      </c>
      <c r="C2168" s="116" t="s">
        <v>20</v>
      </c>
      <c r="D2168" s="116">
        <v>0</v>
      </c>
      <c r="E2168" s="135" t="s">
        <v>558</v>
      </c>
      <c r="F2168" s="136" t="str">
        <f t="shared" si="126"/>
        <v/>
      </c>
      <c r="G2168" s="137" t="e">
        <f>IF(A2168&lt;&gt;"",IF(AND(#REF!="Padrão",$H$4=#REF!),BDI!$B$17,IF(AND(#REF!="Padrão",$H$4=#REF!),BDI!#REF!,IF(AND(#REF!="Diferenciado",$H$4=#REF!),BDI!$E$17,IF(AND(#REF!="Diferenciado",$H$4=#REF!),BDI!#REF!,IF(#REF!="ZERO",0))))),"")</f>
        <v>#REF!</v>
      </c>
      <c r="H2168" s="138" t="str">
        <f t="shared" si="127"/>
        <v/>
      </c>
      <c r="I2168" s="136" t="str">
        <f t="shared" si="128"/>
        <v/>
      </c>
    </row>
    <row r="2169" spans="1:9" hidden="1" x14ac:dyDescent="0.25">
      <c r="A2169" s="114" t="s">
        <v>5888</v>
      </c>
      <c r="B2169" s="115" t="s">
        <v>4656</v>
      </c>
      <c r="C2169" s="116" t="s">
        <v>20</v>
      </c>
      <c r="D2169" s="116">
        <v>0</v>
      </c>
      <c r="E2169" s="135" t="s">
        <v>558</v>
      </c>
      <c r="F2169" s="136" t="str">
        <f t="shared" si="126"/>
        <v/>
      </c>
      <c r="G2169" s="137" t="e">
        <f>IF(A2169&lt;&gt;"",IF(AND(#REF!="Padrão",$H$4=#REF!),BDI!$B$17,IF(AND(#REF!="Padrão",$H$4=#REF!),BDI!#REF!,IF(AND(#REF!="Diferenciado",$H$4=#REF!),BDI!$E$17,IF(AND(#REF!="Diferenciado",$H$4=#REF!),BDI!#REF!,IF(#REF!="ZERO",0))))),"")</f>
        <v>#REF!</v>
      </c>
      <c r="H2169" s="138" t="str">
        <f t="shared" si="127"/>
        <v/>
      </c>
      <c r="I2169" s="136" t="str">
        <f t="shared" si="128"/>
        <v/>
      </c>
    </row>
    <row r="2170" spans="1:9" hidden="1" x14ac:dyDescent="0.25">
      <c r="A2170" s="114" t="s">
        <v>5889</v>
      </c>
      <c r="B2170" s="115" t="s">
        <v>4657</v>
      </c>
      <c r="C2170" s="116" t="s">
        <v>20</v>
      </c>
      <c r="D2170" s="116">
        <v>0</v>
      </c>
      <c r="E2170" s="135" t="s">
        <v>558</v>
      </c>
      <c r="F2170" s="136" t="str">
        <f t="shared" si="126"/>
        <v/>
      </c>
      <c r="G2170" s="137" t="e">
        <f>IF(A2170&lt;&gt;"",IF(AND(#REF!="Padrão",$H$4=#REF!),BDI!$B$17,IF(AND(#REF!="Padrão",$H$4=#REF!),BDI!#REF!,IF(AND(#REF!="Diferenciado",$H$4=#REF!),BDI!$E$17,IF(AND(#REF!="Diferenciado",$H$4=#REF!),BDI!#REF!,IF(#REF!="ZERO",0))))),"")</f>
        <v>#REF!</v>
      </c>
      <c r="H2170" s="138" t="str">
        <f t="shared" si="127"/>
        <v/>
      </c>
      <c r="I2170" s="136" t="str">
        <f t="shared" si="128"/>
        <v/>
      </c>
    </row>
    <row r="2171" spans="1:9" hidden="1" x14ac:dyDescent="0.25">
      <c r="A2171" s="114" t="s">
        <v>5890</v>
      </c>
      <c r="B2171" s="115" t="s">
        <v>4658</v>
      </c>
      <c r="C2171" s="116" t="s">
        <v>20</v>
      </c>
      <c r="D2171" s="116">
        <v>0</v>
      </c>
      <c r="E2171" s="135" t="s">
        <v>558</v>
      </c>
      <c r="F2171" s="136" t="str">
        <f t="shared" si="126"/>
        <v/>
      </c>
      <c r="G2171" s="137" t="e">
        <f>IF(A2171&lt;&gt;"",IF(AND(#REF!="Padrão",$H$4=#REF!),BDI!$B$17,IF(AND(#REF!="Padrão",$H$4=#REF!),BDI!#REF!,IF(AND(#REF!="Diferenciado",$H$4=#REF!),BDI!$E$17,IF(AND(#REF!="Diferenciado",$H$4=#REF!),BDI!#REF!,IF(#REF!="ZERO",0))))),"")</f>
        <v>#REF!</v>
      </c>
      <c r="H2171" s="138" t="str">
        <f t="shared" si="127"/>
        <v/>
      </c>
      <c r="I2171" s="136" t="str">
        <f t="shared" si="128"/>
        <v/>
      </c>
    </row>
    <row r="2172" spans="1:9" hidden="1" x14ac:dyDescent="0.25">
      <c r="A2172" s="114" t="s">
        <v>5891</v>
      </c>
      <c r="B2172" s="115" t="s">
        <v>4659</v>
      </c>
      <c r="C2172" s="116" t="s">
        <v>20</v>
      </c>
      <c r="D2172" s="116">
        <v>0</v>
      </c>
      <c r="E2172" s="135" t="s">
        <v>558</v>
      </c>
      <c r="F2172" s="136" t="str">
        <f t="shared" si="126"/>
        <v/>
      </c>
      <c r="G2172" s="137" t="e">
        <f>IF(A2172&lt;&gt;"",IF(AND(#REF!="Padrão",$H$4=#REF!),BDI!$B$17,IF(AND(#REF!="Padrão",$H$4=#REF!),BDI!#REF!,IF(AND(#REF!="Diferenciado",$H$4=#REF!),BDI!$E$17,IF(AND(#REF!="Diferenciado",$H$4=#REF!),BDI!#REF!,IF(#REF!="ZERO",0))))),"")</f>
        <v>#REF!</v>
      </c>
      <c r="H2172" s="138" t="str">
        <f t="shared" si="127"/>
        <v/>
      </c>
      <c r="I2172" s="136" t="str">
        <f t="shared" si="128"/>
        <v/>
      </c>
    </row>
    <row r="2173" spans="1:9" hidden="1" x14ac:dyDescent="0.25">
      <c r="A2173" s="114" t="s">
        <v>5892</v>
      </c>
      <c r="B2173" s="115" t="s">
        <v>4660</v>
      </c>
      <c r="C2173" s="116" t="s">
        <v>20</v>
      </c>
      <c r="D2173" s="116">
        <v>0</v>
      </c>
      <c r="E2173" s="135" t="s">
        <v>558</v>
      </c>
      <c r="F2173" s="136" t="str">
        <f t="shared" si="126"/>
        <v/>
      </c>
      <c r="G2173" s="137" t="e">
        <f>IF(A2173&lt;&gt;"",IF(AND(#REF!="Padrão",$H$4=#REF!),BDI!$B$17,IF(AND(#REF!="Padrão",$H$4=#REF!),BDI!#REF!,IF(AND(#REF!="Diferenciado",$H$4=#REF!),BDI!$E$17,IF(AND(#REF!="Diferenciado",$H$4=#REF!),BDI!#REF!,IF(#REF!="ZERO",0))))),"")</f>
        <v>#REF!</v>
      </c>
      <c r="H2173" s="138" t="str">
        <f t="shared" si="127"/>
        <v/>
      </c>
      <c r="I2173" s="136" t="str">
        <f t="shared" si="128"/>
        <v/>
      </c>
    </row>
    <row r="2174" spans="1:9" hidden="1" x14ac:dyDescent="0.25">
      <c r="A2174" s="114" t="s">
        <v>5893</v>
      </c>
      <c r="B2174" s="115" t="s">
        <v>4661</v>
      </c>
      <c r="C2174" s="116" t="s">
        <v>20</v>
      </c>
      <c r="D2174" s="116">
        <v>0</v>
      </c>
      <c r="E2174" s="135" t="s">
        <v>558</v>
      </c>
      <c r="F2174" s="136" t="str">
        <f t="shared" si="126"/>
        <v/>
      </c>
      <c r="G2174" s="137" t="e">
        <f>IF(A2174&lt;&gt;"",IF(AND(#REF!="Padrão",$H$4=#REF!),BDI!$B$17,IF(AND(#REF!="Padrão",$H$4=#REF!),BDI!#REF!,IF(AND(#REF!="Diferenciado",$H$4=#REF!),BDI!$E$17,IF(AND(#REF!="Diferenciado",$H$4=#REF!),BDI!#REF!,IF(#REF!="ZERO",0))))),"")</f>
        <v>#REF!</v>
      </c>
      <c r="H2174" s="138" t="str">
        <f t="shared" si="127"/>
        <v/>
      </c>
      <c r="I2174" s="136" t="str">
        <f t="shared" si="128"/>
        <v/>
      </c>
    </row>
    <row r="2175" spans="1:9" hidden="1" x14ac:dyDescent="0.25">
      <c r="A2175" s="114" t="s">
        <v>5894</v>
      </c>
      <c r="B2175" s="115" t="s">
        <v>4662</v>
      </c>
      <c r="C2175" s="116" t="s">
        <v>20</v>
      </c>
      <c r="D2175" s="116">
        <v>0</v>
      </c>
      <c r="E2175" s="135" t="s">
        <v>558</v>
      </c>
      <c r="F2175" s="136" t="str">
        <f t="shared" si="126"/>
        <v/>
      </c>
      <c r="G2175" s="137" t="e">
        <f>IF(A2175&lt;&gt;"",IF(AND(#REF!="Padrão",$H$4=#REF!),BDI!$B$17,IF(AND(#REF!="Padrão",$H$4=#REF!),BDI!#REF!,IF(AND(#REF!="Diferenciado",$H$4=#REF!),BDI!$E$17,IF(AND(#REF!="Diferenciado",$H$4=#REF!),BDI!#REF!,IF(#REF!="ZERO",0))))),"")</f>
        <v>#REF!</v>
      </c>
      <c r="H2175" s="138" t="str">
        <f t="shared" si="127"/>
        <v/>
      </c>
      <c r="I2175" s="136" t="str">
        <f t="shared" si="128"/>
        <v/>
      </c>
    </row>
    <row r="2176" spans="1:9" hidden="1" x14ac:dyDescent="0.25">
      <c r="A2176" s="114" t="s">
        <v>5895</v>
      </c>
      <c r="B2176" s="115" t="s">
        <v>4663</v>
      </c>
      <c r="C2176" s="116" t="s">
        <v>20</v>
      </c>
      <c r="D2176" s="116">
        <v>0</v>
      </c>
      <c r="E2176" s="135" t="s">
        <v>558</v>
      </c>
      <c r="F2176" s="136" t="str">
        <f t="shared" si="126"/>
        <v/>
      </c>
      <c r="G2176" s="137" t="e">
        <f>IF(A2176&lt;&gt;"",IF(AND(#REF!="Padrão",$H$4=#REF!),BDI!$B$17,IF(AND(#REF!="Padrão",$H$4=#REF!),BDI!#REF!,IF(AND(#REF!="Diferenciado",$H$4=#REF!),BDI!$E$17,IF(AND(#REF!="Diferenciado",$H$4=#REF!),BDI!#REF!,IF(#REF!="ZERO",0))))),"")</f>
        <v>#REF!</v>
      </c>
      <c r="H2176" s="138" t="str">
        <f t="shared" si="127"/>
        <v/>
      </c>
      <c r="I2176" s="136" t="str">
        <f t="shared" si="128"/>
        <v/>
      </c>
    </row>
    <row r="2177" spans="1:9" hidden="1" x14ac:dyDescent="0.25">
      <c r="A2177" s="114" t="s">
        <v>5896</v>
      </c>
      <c r="B2177" s="115" t="s">
        <v>4664</v>
      </c>
      <c r="C2177" s="116" t="s">
        <v>20</v>
      </c>
      <c r="D2177" s="116">
        <v>0</v>
      </c>
      <c r="E2177" s="135" t="s">
        <v>558</v>
      </c>
      <c r="F2177" s="136" t="str">
        <f t="shared" si="126"/>
        <v/>
      </c>
      <c r="G2177" s="137" t="e">
        <f>IF(A2177&lt;&gt;"",IF(AND(#REF!="Padrão",$H$4=#REF!),BDI!$B$17,IF(AND(#REF!="Padrão",$H$4=#REF!),BDI!#REF!,IF(AND(#REF!="Diferenciado",$H$4=#REF!),BDI!$E$17,IF(AND(#REF!="Diferenciado",$H$4=#REF!),BDI!#REF!,IF(#REF!="ZERO",0))))),"")</f>
        <v>#REF!</v>
      </c>
      <c r="H2177" s="138" t="str">
        <f t="shared" si="127"/>
        <v/>
      </c>
      <c r="I2177" s="136" t="str">
        <f t="shared" si="128"/>
        <v/>
      </c>
    </row>
    <row r="2178" spans="1:9" hidden="1" x14ac:dyDescent="0.25">
      <c r="A2178" s="114" t="s">
        <v>5897</v>
      </c>
      <c r="B2178" s="115" t="s">
        <v>4665</v>
      </c>
      <c r="C2178" s="116" t="s">
        <v>20</v>
      </c>
      <c r="D2178" s="116">
        <v>0</v>
      </c>
      <c r="E2178" s="135" t="s">
        <v>558</v>
      </c>
      <c r="F2178" s="136" t="str">
        <f t="shared" si="126"/>
        <v/>
      </c>
      <c r="G2178" s="137" t="e">
        <f>IF(A2178&lt;&gt;"",IF(AND(#REF!="Padrão",$H$4=#REF!),BDI!$B$17,IF(AND(#REF!="Padrão",$H$4=#REF!),BDI!#REF!,IF(AND(#REF!="Diferenciado",$H$4=#REF!),BDI!$E$17,IF(AND(#REF!="Diferenciado",$H$4=#REF!),BDI!#REF!,IF(#REF!="ZERO",0))))),"")</f>
        <v>#REF!</v>
      </c>
      <c r="H2178" s="138" t="str">
        <f t="shared" si="127"/>
        <v/>
      </c>
      <c r="I2178" s="136" t="str">
        <f t="shared" si="128"/>
        <v/>
      </c>
    </row>
    <row r="2179" spans="1:9" hidden="1" x14ac:dyDescent="0.25">
      <c r="A2179" s="114" t="s">
        <v>5898</v>
      </c>
      <c r="B2179" s="115" t="s">
        <v>4666</v>
      </c>
      <c r="C2179" s="116" t="s">
        <v>20</v>
      </c>
      <c r="D2179" s="116">
        <v>0</v>
      </c>
      <c r="E2179" s="135" t="s">
        <v>558</v>
      </c>
      <c r="F2179" s="136" t="str">
        <f t="shared" si="126"/>
        <v/>
      </c>
      <c r="G2179" s="137" t="e">
        <f>IF(A2179&lt;&gt;"",IF(AND(#REF!="Padrão",$H$4=#REF!),BDI!$B$17,IF(AND(#REF!="Padrão",$H$4=#REF!),BDI!#REF!,IF(AND(#REF!="Diferenciado",$H$4=#REF!),BDI!$E$17,IF(AND(#REF!="Diferenciado",$H$4=#REF!),BDI!#REF!,IF(#REF!="ZERO",0))))),"")</f>
        <v>#REF!</v>
      </c>
      <c r="H2179" s="138" t="str">
        <f t="shared" si="127"/>
        <v/>
      </c>
      <c r="I2179" s="136" t="str">
        <f t="shared" si="128"/>
        <v/>
      </c>
    </row>
    <row r="2180" spans="1:9" hidden="1" x14ac:dyDescent="0.25">
      <c r="A2180" s="114" t="s">
        <v>5899</v>
      </c>
      <c r="B2180" s="115" t="s">
        <v>4667</v>
      </c>
      <c r="C2180" s="116" t="s">
        <v>20</v>
      </c>
      <c r="D2180" s="116">
        <v>0</v>
      </c>
      <c r="E2180" s="135" t="s">
        <v>558</v>
      </c>
      <c r="F2180" s="136" t="str">
        <f t="shared" si="126"/>
        <v/>
      </c>
      <c r="G2180" s="137" t="e">
        <f>IF(A2180&lt;&gt;"",IF(AND(#REF!="Padrão",$H$4=#REF!),BDI!$B$17,IF(AND(#REF!="Padrão",$H$4=#REF!),BDI!#REF!,IF(AND(#REF!="Diferenciado",$H$4=#REF!),BDI!$E$17,IF(AND(#REF!="Diferenciado",$H$4=#REF!),BDI!#REF!,IF(#REF!="ZERO",0))))),"")</f>
        <v>#REF!</v>
      </c>
      <c r="H2180" s="138" t="str">
        <f t="shared" si="127"/>
        <v/>
      </c>
      <c r="I2180" s="136" t="str">
        <f t="shared" si="128"/>
        <v/>
      </c>
    </row>
    <row r="2181" spans="1:9" hidden="1" x14ac:dyDescent="0.25">
      <c r="A2181" s="114" t="s">
        <v>5900</v>
      </c>
      <c r="B2181" s="115" t="s">
        <v>4668</v>
      </c>
      <c r="C2181" s="116" t="s">
        <v>20</v>
      </c>
      <c r="D2181" s="116">
        <v>0</v>
      </c>
      <c r="E2181" s="135" t="s">
        <v>558</v>
      </c>
      <c r="F2181" s="136" t="str">
        <f t="shared" si="126"/>
        <v/>
      </c>
      <c r="G2181" s="137" t="e">
        <f>IF(A2181&lt;&gt;"",IF(AND(#REF!="Padrão",$H$4=#REF!),BDI!$B$17,IF(AND(#REF!="Padrão",$H$4=#REF!),BDI!#REF!,IF(AND(#REF!="Diferenciado",$H$4=#REF!),BDI!$E$17,IF(AND(#REF!="Diferenciado",$H$4=#REF!),BDI!#REF!,IF(#REF!="ZERO",0))))),"")</f>
        <v>#REF!</v>
      </c>
      <c r="H2181" s="138" t="str">
        <f t="shared" si="127"/>
        <v/>
      </c>
      <c r="I2181" s="136" t="str">
        <f t="shared" si="128"/>
        <v/>
      </c>
    </row>
    <row r="2182" spans="1:9" hidden="1" x14ac:dyDescent="0.25">
      <c r="A2182" s="114" t="s">
        <v>5901</v>
      </c>
      <c r="B2182" s="115" t="s">
        <v>4669</v>
      </c>
      <c r="C2182" s="116" t="s">
        <v>20</v>
      </c>
      <c r="D2182" s="116">
        <v>0</v>
      </c>
      <c r="E2182" s="135" t="s">
        <v>558</v>
      </c>
      <c r="F2182" s="136" t="str">
        <f t="shared" si="126"/>
        <v/>
      </c>
      <c r="G2182" s="137" t="e">
        <f>IF(A2182&lt;&gt;"",IF(AND(#REF!="Padrão",$H$4=#REF!),BDI!$B$17,IF(AND(#REF!="Padrão",$H$4=#REF!),BDI!#REF!,IF(AND(#REF!="Diferenciado",$H$4=#REF!),BDI!$E$17,IF(AND(#REF!="Diferenciado",$H$4=#REF!),BDI!#REF!,IF(#REF!="ZERO",0))))),"")</f>
        <v>#REF!</v>
      </c>
      <c r="H2182" s="138" t="str">
        <f t="shared" si="127"/>
        <v/>
      </c>
      <c r="I2182" s="136" t="str">
        <f t="shared" si="128"/>
        <v/>
      </c>
    </row>
    <row r="2183" spans="1:9" hidden="1" x14ac:dyDescent="0.25">
      <c r="A2183" s="114" t="s">
        <v>5902</v>
      </c>
      <c r="B2183" s="115" t="s">
        <v>4670</v>
      </c>
      <c r="C2183" s="116" t="s">
        <v>20</v>
      </c>
      <c r="D2183" s="116">
        <v>0</v>
      </c>
      <c r="E2183" s="135" t="s">
        <v>558</v>
      </c>
      <c r="F2183" s="136" t="str">
        <f t="shared" si="126"/>
        <v/>
      </c>
      <c r="G2183" s="137" t="e">
        <f>IF(A2183&lt;&gt;"",IF(AND(#REF!="Padrão",$H$4=#REF!),BDI!$B$17,IF(AND(#REF!="Padrão",$H$4=#REF!),BDI!#REF!,IF(AND(#REF!="Diferenciado",$H$4=#REF!),BDI!$E$17,IF(AND(#REF!="Diferenciado",$H$4=#REF!),BDI!#REF!,IF(#REF!="ZERO",0))))),"")</f>
        <v>#REF!</v>
      </c>
      <c r="H2183" s="138" t="str">
        <f t="shared" si="127"/>
        <v/>
      </c>
      <c r="I2183" s="136" t="str">
        <f t="shared" si="128"/>
        <v/>
      </c>
    </row>
    <row r="2184" spans="1:9" hidden="1" x14ac:dyDescent="0.25">
      <c r="A2184" s="114" t="s">
        <v>5903</v>
      </c>
      <c r="B2184" s="115" t="s">
        <v>4671</v>
      </c>
      <c r="C2184" s="116" t="s">
        <v>20</v>
      </c>
      <c r="D2184" s="116">
        <v>0</v>
      </c>
      <c r="E2184" s="135" t="s">
        <v>558</v>
      </c>
      <c r="F2184" s="136" t="str">
        <f t="shared" si="126"/>
        <v/>
      </c>
      <c r="G2184" s="137" t="e">
        <f>IF(A2184&lt;&gt;"",IF(AND(#REF!="Padrão",$H$4=#REF!),BDI!$B$17,IF(AND(#REF!="Padrão",$H$4=#REF!),BDI!#REF!,IF(AND(#REF!="Diferenciado",$H$4=#REF!),BDI!$E$17,IF(AND(#REF!="Diferenciado",$H$4=#REF!),BDI!#REF!,IF(#REF!="ZERO",0))))),"")</f>
        <v>#REF!</v>
      </c>
      <c r="H2184" s="138" t="str">
        <f t="shared" si="127"/>
        <v/>
      </c>
      <c r="I2184" s="136" t="str">
        <f t="shared" si="128"/>
        <v/>
      </c>
    </row>
    <row r="2185" spans="1:9" hidden="1" x14ac:dyDescent="0.25">
      <c r="A2185" s="114" t="s">
        <v>5904</v>
      </c>
      <c r="B2185" s="115" t="s">
        <v>4672</v>
      </c>
      <c r="C2185" s="116" t="s">
        <v>20</v>
      </c>
      <c r="D2185" s="116">
        <v>0</v>
      </c>
      <c r="E2185" s="135" t="s">
        <v>558</v>
      </c>
      <c r="F2185" s="136" t="str">
        <f t="shared" si="126"/>
        <v/>
      </c>
      <c r="G2185" s="137" t="e">
        <f>IF(A2185&lt;&gt;"",IF(AND(#REF!="Padrão",$H$4=#REF!),BDI!$B$17,IF(AND(#REF!="Padrão",$H$4=#REF!),BDI!#REF!,IF(AND(#REF!="Diferenciado",$H$4=#REF!),BDI!$E$17,IF(AND(#REF!="Diferenciado",$H$4=#REF!),BDI!#REF!,IF(#REF!="ZERO",0))))),"")</f>
        <v>#REF!</v>
      </c>
      <c r="H2185" s="138" t="str">
        <f t="shared" si="127"/>
        <v/>
      </c>
      <c r="I2185" s="136" t="str">
        <f t="shared" si="128"/>
        <v/>
      </c>
    </row>
    <row r="2186" spans="1:9" hidden="1" x14ac:dyDescent="0.25">
      <c r="A2186" s="114" t="s">
        <v>5905</v>
      </c>
      <c r="B2186" s="115" t="s">
        <v>4673</v>
      </c>
      <c r="C2186" s="116" t="s">
        <v>20</v>
      </c>
      <c r="D2186" s="116">
        <v>0</v>
      </c>
      <c r="E2186" s="135" t="s">
        <v>558</v>
      </c>
      <c r="F2186" s="136" t="str">
        <f t="shared" si="126"/>
        <v/>
      </c>
      <c r="G2186" s="137" t="e">
        <f>IF(A2186&lt;&gt;"",IF(AND(#REF!="Padrão",$H$4=#REF!),BDI!$B$17,IF(AND(#REF!="Padrão",$H$4=#REF!),BDI!#REF!,IF(AND(#REF!="Diferenciado",$H$4=#REF!),BDI!$E$17,IF(AND(#REF!="Diferenciado",$H$4=#REF!),BDI!#REF!,IF(#REF!="ZERO",0))))),"")</f>
        <v>#REF!</v>
      </c>
      <c r="H2186" s="138" t="str">
        <f t="shared" si="127"/>
        <v/>
      </c>
      <c r="I2186" s="136" t="str">
        <f t="shared" si="128"/>
        <v/>
      </c>
    </row>
    <row r="2187" spans="1:9" hidden="1" x14ac:dyDescent="0.25">
      <c r="A2187" s="114" t="s">
        <v>5906</v>
      </c>
      <c r="B2187" s="115" t="s">
        <v>4674</v>
      </c>
      <c r="C2187" s="116" t="s">
        <v>20</v>
      </c>
      <c r="D2187" s="116">
        <v>0</v>
      </c>
      <c r="E2187" s="135" t="s">
        <v>558</v>
      </c>
      <c r="F2187" s="136" t="str">
        <f t="shared" si="126"/>
        <v/>
      </c>
      <c r="G2187" s="137" t="e">
        <f>IF(A2187&lt;&gt;"",IF(AND(#REF!="Padrão",$H$4=#REF!),BDI!$B$17,IF(AND(#REF!="Padrão",$H$4=#REF!),BDI!#REF!,IF(AND(#REF!="Diferenciado",$H$4=#REF!),BDI!$E$17,IF(AND(#REF!="Diferenciado",$H$4=#REF!),BDI!#REF!,IF(#REF!="ZERO",0))))),"")</f>
        <v>#REF!</v>
      </c>
      <c r="H2187" s="138" t="str">
        <f t="shared" si="127"/>
        <v/>
      </c>
      <c r="I2187" s="136" t="str">
        <f t="shared" si="128"/>
        <v/>
      </c>
    </row>
    <row r="2188" spans="1:9" hidden="1" x14ac:dyDescent="0.25">
      <c r="A2188" s="114" t="s">
        <v>5907</v>
      </c>
      <c r="B2188" s="115" t="s">
        <v>4675</v>
      </c>
      <c r="C2188" s="116" t="s">
        <v>93</v>
      </c>
      <c r="D2188" s="116">
        <v>0</v>
      </c>
      <c r="E2188" s="135" t="s">
        <v>558</v>
      </c>
      <c r="F2188" s="136" t="str">
        <f t="shared" si="126"/>
        <v/>
      </c>
      <c r="G2188" s="137" t="e">
        <f>IF(A2188&lt;&gt;"",IF(AND(#REF!="Padrão",$H$4=#REF!),BDI!$B$17,IF(AND(#REF!="Padrão",$H$4=#REF!),BDI!#REF!,IF(AND(#REF!="Diferenciado",$H$4=#REF!),BDI!$E$17,IF(AND(#REF!="Diferenciado",$H$4=#REF!),BDI!#REF!,IF(#REF!="ZERO",0))))),"")</f>
        <v>#REF!</v>
      </c>
      <c r="H2188" s="138" t="str">
        <f t="shared" si="127"/>
        <v/>
      </c>
      <c r="I2188" s="136" t="str">
        <f t="shared" si="128"/>
        <v/>
      </c>
    </row>
    <row r="2189" spans="1:9" hidden="1" x14ac:dyDescent="0.25">
      <c r="A2189" s="114" t="s">
        <v>5908</v>
      </c>
      <c r="B2189" s="115" t="s">
        <v>4676</v>
      </c>
      <c r="C2189" s="116" t="s">
        <v>20</v>
      </c>
      <c r="D2189" s="116">
        <v>0</v>
      </c>
      <c r="E2189" s="135" t="s">
        <v>558</v>
      </c>
      <c r="F2189" s="136" t="str">
        <f t="shared" si="126"/>
        <v/>
      </c>
      <c r="G2189" s="137" t="e">
        <f>IF(A2189&lt;&gt;"",IF(AND(#REF!="Padrão",$H$4=#REF!),BDI!$B$17,IF(AND(#REF!="Padrão",$H$4=#REF!),BDI!#REF!,IF(AND(#REF!="Diferenciado",$H$4=#REF!),BDI!$E$17,IF(AND(#REF!="Diferenciado",$H$4=#REF!),BDI!#REF!,IF(#REF!="ZERO",0))))),"")</f>
        <v>#REF!</v>
      </c>
      <c r="H2189" s="138" t="str">
        <f t="shared" si="127"/>
        <v/>
      </c>
      <c r="I2189" s="136" t="str">
        <f t="shared" si="128"/>
        <v/>
      </c>
    </row>
    <row r="2190" spans="1:9" hidden="1" x14ac:dyDescent="0.25">
      <c r="A2190" s="114" t="s">
        <v>5909</v>
      </c>
      <c r="B2190" s="115" t="s">
        <v>4677</v>
      </c>
      <c r="C2190" s="116" t="s">
        <v>20</v>
      </c>
      <c r="D2190" s="116">
        <v>0</v>
      </c>
      <c r="E2190" s="135" t="s">
        <v>558</v>
      </c>
      <c r="F2190" s="136" t="str">
        <f t="shared" si="126"/>
        <v/>
      </c>
      <c r="G2190" s="137" t="e">
        <f>IF(A2190&lt;&gt;"",IF(AND(#REF!="Padrão",$H$4=#REF!),BDI!$B$17,IF(AND(#REF!="Padrão",$H$4=#REF!),BDI!#REF!,IF(AND(#REF!="Diferenciado",$H$4=#REF!),BDI!$E$17,IF(AND(#REF!="Diferenciado",$H$4=#REF!),BDI!#REF!,IF(#REF!="ZERO",0))))),"")</f>
        <v>#REF!</v>
      </c>
      <c r="H2190" s="138" t="str">
        <f t="shared" si="127"/>
        <v/>
      </c>
      <c r="I2190" s="136" t="str">
        <f t="shared" si="128"/>
        <v/>
      </c>
    </row>
    <row r="2191" spans="1:9" hidden="1" x14ac:dyDescent="0.25">
      <c r="A2191" s="114" t="s">
        <v>5910</v>
      </c>
      <c r="B2191" s="115" t="s">
        <v>4678</v>
      </c>
      <c r="C2191" s="116" t="s">
        <v>20</v>
      </c>
      <c r="D2191" s="116">
        <v>0</v>
      </c>
      <c r="E2191" s="135" t="s">
        <v>558</v>
      </c>
      <c r="F2191" s="136" t="str">
        <f t="shared" si="126"/>
        <v/>
      </c>
      <c r="G2191" s="137" t="e">
        <f>IF(A2191&lt;&gt;"",IF(AND(#REF!="Padrão",$H$4=#REF!),BDI!$B$17,IF(AND(#REF!="Padrão",$H$4=#REF!),BDI!#REF!,IF(AND(#REF!="Diferenciado",$H$4=#REF!),BDI!$E$17,IF(AND(#REF!="Diferenciado",$H$4=#REF!),BDI!#REF!,IF(#REF!="ZERO",0))))),"")</f>
        <v>#REF!</v>
      </c>
      <c r="H2191" s="138" t="str">
        <f t="shared" si="127"/>
        <v/>
      </c>
      <c r="I2191" s="136" t="str">
        <f t="shared" si="128"/>
        <v/>
      </c>
    </row>
    <row r="2192" spans="1:9" hidden="1" x14ac:dyDescent="0.25">
      <c r="A2192" s="114" t="s">
        <v>5911</v>
      </c>
      <c r="B2192" s="115" t="s">
        <v>4679</v>
      </c>
      <c r="C2192" s="116" t="s">
        <v>20</v>
      </c>
      <c r="D2192" s="116">
        <v>0</v>
      </c>
      <c r="E2192" s="135" t="s">
        <v>558</v>
      </c>
      <c r="F2192" s="136" t="str">
        <f t="shared" si="126"/>
        <v/>
      </c>
      <c r="G2192" s="137" t="e">
        <f>IF(A2192&lt;&gt;"",IF(AND(#REF!="Padrão",$H$4=#REF!),BDI!$B$17,IF(AND(#REF!="Padrão",$H$4=#REF!),BDI!#REF!,IF(AND(#REF!="Diferenciado",$H$4=#REF!),BDI!$E$17,IF(AND(#REF!="Diferenciado",$H$4=#REF!),BDI!#REF!,IF(#REF!="ZERO",0))))),"")</f>
        <v>#REF!</v>
      </c>
      <c r="H2192" s="138" t="str">
        <f t="shared" si="127"/>
        <v/>
      </c>
      <c r="I2192" s="136" t="str">
        <f t="shared" si="128"/>
        <v/>
      </c>
    </row>
    <row r="2193" spans="1:9" hidden="1" x14ac:dyDescent="0.25">
      <c r="A2193" s="114" t="s">
        <v>5912</v>
      </c>
      <c r="B2193" s="115" t="s">
        <v>4680</v>
      </c>
      <c r="C2193" s="116" t="s">
        <v>20</v>
      </c>
      <c r="D2193" s="116">
        <v>0</v>
      </c>
      <c r="E2193" s="135" t="s">
        <v>558</v>
      </c>
      <c r="F2193" s="136" t="str">
        <f t="shared" si="126"/>
        <v/>
      </c>
      <c r="G2193" s="137" t="e">
        <f>IF(A2193&lt;&gt;"",IF(AND(#REF!="Padrão",$H$4=#REF!),BDI!$B$17,IF(AND(#REF!="Padrão",$H$4=#REF!),BDI!#REF!,IF(AND(#REF!="Diferenciado",$H$4=#REF!),BDI!$E$17,IF(AND(#REF!="Diferenciado",$H$4=#REF!),BDI!#REF!,IF(#REF!="ZERO",0))))),"")</f>
        <v>#REF!</v>
      </c>
      <c r="H2193" s="138" t="str">
        <f t="shared" si="127"/>
        <v/>
      </c>
      <c r="I2193" s="136" t="str">
        <f t="shared" si="128"/>
        <v/>
      </c>
    </row>
    <row r="2194" spans="1:9" hidden="1" x14ac:dyDescent="0.25">
      <c r="A2194" s="114" t="s">
        <v>5913</v>
      </c>
      <c r="B2194" s="115" t="s">
        <v>4681</v>
      </c>
      <c r="C2194" s="116" t="s">
        <v>20</v>
      </c>
      <c r="D2194" s="116">
        <v>0</v>
      </c>
      <c r="E2194" s="135" t="s">
        <v>558</v>
      </c>
      <c r="F2194" s="136" t="str">
        <f t="shared" si="126"/>
        <v/>
      </c>
      <c r="G2194" s="137" t="e">
        <f>IF(A2194&lt;&gt;"",IF(AND(#REF!="Padrão",$H$4=#REF!),BDI!$B$17,IF(AND(#REF!="Padrão",$H$4=#REF!),BDI!#REF!,IF(AND(#REF!="Diferenciado",$H$4=#REF!),BDI!$E$17,IF(AND(#REF!="Diferenciado",$H$4=#REF!),BDI!#REF!,IF(#REF!="ZERO",0))))),"")</f>
        <v>#REF!</v>
      </c>
      <c r="H2194" s="138" t="str">
        <f t="shared" si="127"/>
        <v/>
      </c>
      <c r="I2194" s="136" t="str">
        <f t="shared" si="128"/>
        <v/>
      </c>
    </row>
    <row r="2195" spans="1:9" hidden="1" x14ac:dyDescent="0.25">
      <c r="A2195" s="114" t="s">
        <v>5914</v>
      </c>
      <c r="B2195" s="115" t="s">
        <v>4682</v>
      </c>
      <c r="C2195" s="116" t="s">
        <v>20</v>
      </c>
      <c r="D2195" s="116">
        <v>0</v>
      </c>
      <c r="E2195" s="135" t="s">
        <v>558</v>
      </c>
      <c r="F2195" s="136" t="str">
        <f t="shared" si="126"/>
        <v/>
      </c>
      <c r="G2195" s="137" t="e">
        <f>IF(A2195&lt;&gt;"",IF(AND(#REF!="Padrão",$H$4=#REF!),BDI!$B$17,IF(AND(#REF!="Padrão",$H$4=#REF!),BDI!#REF!,IF(AND(#REF!="Diferenciado",$H$4=#REF!),BDI!$E$17,IF(AND(#REF!="Diferenciado",$H$4=#REF!),BDI!#REF!,IF(#REF!="ZERO",0))))),"")</f>
        <v>#REF!</v>
      </c>
      <c r="H2195" s="138" t="str">
        <f t="shared" si="127"/>
        <v/>
      </c>
      <c r="I2195" s="136" t="str">
        <f t="shared" si="128"/>
        <v/>
      </c>
    </row>
    <row r="2196" spans="1:9" hidden="1" x14ac:dyDescent="0.25">
      <c r="A2196" s="114" t="s">
        <v>5915</v>
      </c>
      <c r="B2196" s="115" t="s">
        <v>4683</v>
      </c>
      <c r="C2196" s="116" t="s">
        <v>20</v>
      </c>
      <c r="D2196" s="116">
        <v>0</v>
      </c>
      <c r="E2196" s="135" t="s">
        <v>558</v>
      </c>
      <c r="F2196" s="136" t="str">
        <f t="shared" si="126"/>
        <v/>
      </c>
      <c r="G2196" s="137" t="e">
        <f>IF(A2196&lt;&gt;"",IF(AND(#REF!="Padrão",$H$4=#REF!),BDI!$B$17,IF(AND(#REF!="Padrão",$H$4=#REF!),BDI!#REF!,IF(AND(#REF!="Diferenciado",$H$4=#REF!),BDI!$E$17,IF(AND(#REF!="Diferenciado",$H$4=#REF!),BDI!#REF!,IF(#REF!="ZERO",0))))),"")</f>
        <v>#REF!</v>
      </c>
      <c r="H2196" s="138" t="str">
        <f t="shared" si="127"/>
        <v/>
      </c>
      <c r="I2196" s="136" t="str">
        <f t="shared" si="128"/>
        <v/>
      </c>
    </row>
    <row r="2197" spans="1:9" hidden="1" x14ac:dyDescent="0.25">
      <c r="A2197" s="114" t="s">
        <v>5916</v>
      </c>
      <c r="B2197" s="115" t="s">
        <v>4684</v>
      </c>
      <c r="C2197" s="116" t="s">
        <v>20</v>
      </c>
      <c r="D2197" s="116">
        <v>0</v>
      </c>
      <c r="E2197" s="135" t="s">
        <v>558</v>
      </c>
      <c r="F2197" s="136" t="str">
        <f t="shared" si="126"/>
        <v/>
      </c>
      <c r="G2197" s="137" t="e">
        <f>IF(A2197&lt;&gt;"",IF(AND(#REF!="Padrão",$H$4=#REF!),BDI!$B$17,IF(AND(#REF!="Padrão",$H$4=#REF!),BDI!#REF!,IF(AND(#REF!="Diferenciado",$H$4=#REF!),BDI!$E$17,IF(AND(#REF!="Diferenciado",$H$4=#REF!),BDI!#REF!,IF(#REF!="ZERO",0))))),"")</f>
        <v>#REF!</v>
      </c>
      <c r="H2197" s="138" t="str">
        <f t="shared" si="127"/>
        <v/>
      </c>
      <c r="I2197" s="136" t="str">
        <f t="shared" si="128"/>
        <v/>
      </c>
    </row>
    <row r="2198" spans="1:9" hidden="1" x14ac:dyDescent="0.25">
      <c r="A2198" s="114" t="s">
        <v>5917</v>
      </c>
      <c r="B2198" s="115" t="s">
        <v>4685</v>
      </c>
      <c r="C2198" s="116" t="s">
        <v>20</v>
      </c>
      <c r="D2198" s="116">
        <v>0</v>
      </c>
      <c r="E2198" s="135" t="s">
        <v>558</v>
      </c>
      <c r="F2198" s="136" t="str">
        <f t="shared" si="126"/>
        <v/>
      </c>
      <c r="G2198" s="137" t="e">
        <f>IF(A2198&lt;&gt;"",IF(AND(#REF!="Padrão",$H$4=#REF!),BDI!$B$17,IF(AND(#REF!="Padrão",$H$4=#REF!),BDI!#REF!,IF(AND(#REF!="Diferenciado",$H$4=#REF!),BDI!$E$17,IF(AND(#REF!="Diferenciado",$H$4=#REF!),BDI!#REF!,IF(#REF!="ZERO",0))))),"")</f>
        <v>#REF!</v>
      </c>
      <c r="H2198" s="138" t="str">
        <f t="shared" si="127"/>
        <v/>
      </c>
      <c r="I2198" s="136" t="str">
        <f t="shared" si="128"/>
        <v/>
      </c>
    </row>
    <row r="2199" spans="1:9" hidden="1" x14ac:dyDescent="0.25">
      <c r="A2199" s="114" t="s">
        <v>5918</v>
      </c>
      <c r="B2199" s="115" t="s">
        <v>4686</v>
      </c>
      <c r="C2199" s="116" t="s">
        <v>20</v>
      </c>
      <c r="D2199" s="116">
        <v>0</v>
      </c>
      <c r="E2199" s="135" t="s">
        <v>558</v>
      </c>
      <c r="F2199" s="136" t="str">
        <f t="shared" si="126"/>
        <v/>
      </c>
      <c r="G2199" s="137" t="e">
        <f>IF(A2199&lt;&gt;"",IF(AND(#REF!="Padrão",$H$4=#REF!),BDI!$B$17,IF(AND(#REF!="Padrão",$H$4=#REF!),BDI!#REF!,IF(AND(#REF!="Diferenciado",$H$4=#REF!),BDI!$E$17,IF(AND(#REF!="Diferenciado",$H$4=#REF!),BDI!#REF!,IF(#REF!="ZERO",0))))),"")</f>
        <v>#REF!</v>
      </c>
      <c r="H2199" s="138" t="str">
        <f t="shared" si="127"/>
        <v/>
      </c>
      <c r="I2199" s="136" t="str">
        <f t="shared" si="128"/>
        <v/>
      </c>
    </row>
    <row r="2200" spans="1:9" hidden="1" x14ac:dyDescent="0.25">
      <c r="A2200" s="114" t="s">
        <v>5919</v>
      </c>
      <c r="B2200" s="115" t="s">
        <v>4687</v>
      </c>
      <c r="C2200" s="116" t="s">
        <v>20</v>
      </c>
      <c r="D2200" s="116">
        <v>0</v>
      </c>
      <c r="E2200" s="135" t="s">
        <v>558</v>
      </c>
      <c r="F2200" s="136" t="str">
        <f t="shared" si="126"/>
        <v/>
      </c>
      <c r="G2200" s="137" t="e">
        <f>IF(A2200&lt;&gt;"",IF(AND(#REF!="Padrão",$H$4=#REF!),BDI!$B$17,IF(AND(#REF!="Padrão",$H$4=#REF!),BDI!#REF!,IF(AND(#REF!="Diferenciado",$H$4=#REF!),BDI!$E$17,IF(AND(#REF!="Diferenciado",$H$4=#REF!),BDI!#REF!,IF(#REF!="ZERO",0))))),"")</f>
        <v>#REF!</v>
      </c>
      <c r="H2200" s="138" t="str">
        <f t="shared" si="127"/>
        <v/>
      </c>
      <c r="I2200" s="136" t="str">
        <f t="shared" si="128"/>
        <v/>
      </c>
    </row>
    <row r="2201" spans="1:9" hidden="1" x14ac:dyDescent="0.25">
      <c r="A2201" s="114" t="s">
        <v>5920</v>
      </c>
      <c r="B2201" s="115" t="s">
        <v>4688</v>
      </c>
      <c r="C2201" s="116" t="s">
        <v>20</v>
      </c>
      <c r="D2201" s="116">
        <v>0</v>
      </c>
      <c r="E2201" s="135" t="s">
        <v>558</v>
      </c>
      <c r="F2201" s="136" t="str">
        <f t="shared" si="126"/>
        <v/>
      </c>
      <c r="G2201" s="137" t="e">
        <f>IF(A2201&lt;&gt;"",IF(AND(#REF!="Padrão",$H$4=#REF!),BDI!$B$17,IF(AND(#REF!="Padrão",$H$4=#REF!),BDI!#REF!,IF(AND(#REF!="Diferenciado",$H$4=#REF!),BDI!$E$17,IF(AND(#REF!="Diferenciado",$H$4=#REF!),BDI!#REF!,IF(#REF!="ZERO",0))))),"")</f>
        <v>#REF!</v>
      </c>
      <c r="H2201" s="138" t="str">
        <f t="shared" si="127"/>
        <v/>
      </c>
      <c r="I2201" s="136" t="str">
        <f t="shared" si="128"/>
        <v/>
      </c>
    </row>
    <row r="2202" spans="1:9" hidden="1" x14ac:dyDescent="0.25">
      <c r="A2202" s="114" t="s">
        <v>5921</v>
      </c>
      <c r="B2202" s="115" t="s">
        <v>4689</v>
      </c>
      <c r="C2202" s="116" t="s">
        <v>20</v>
      </c>
      <c r="D2202" s="116">
        <v>0</v>
      </c>
      <c r="E2202" s="135" t="s">
        <v>558</v>
      </c>
      <c r="F2202" s="136" t="str">
        <f t="shared" si="126"/>
        <v/>
      </c>
      <c r="G2202" s="137" t="e">
        <f>IF(A2202&lt;&gt;"",IF(AND(#REF!="Padrão",$H$4=#REF!),BDI!$B$17,IF(AND(#REF!="Padrão",$H$4=#REF!),BDI!#REF!,IF(AND(#REF!="Diferenciado",$H$4=#REF!),BDI!$E$17,IF(AND(#REF!="Diferenciado",$H$4=#REF!),BDI!#REF!,IF(#REF!="ZERO",0))))),"")</f>
        <v>#REF!</v>
      </c>
      <c r="H2202" s="138" t="str">
        <f t="shared" si="127"/>
        <v/>
      </c>
      <c r="I2202" s="136" t="str">
        <f t="shared" si="128"/>
        <v/>
      </c>
    </row>
    <row r="2203" spans="1:9" hidden="1" x14ac:dyDescent="0.25">
      <c r="A2203" s="114" t="s">
        <v>5922</v>
      </c>
      <c r="B2203" s="115" t="s">
        <v>4690</v>
      </c>
      <c r="C2203" s="116" t="s">
        <v>20</v>
      </c>
      <c r="D2203" s="116">
        <v>0</v>
      </c>
      <c r="E2203" s="135" t="s">
        <v>558</v>
      </c>
      <c r="F2203" s="136" t="str">
        <f t="shared" si="126"/>
        <v/>
      </c>
      <c r="G2203" s="137" t="e">
        <f>IF(A2203&lt;&gt;"",IF(AND(#REF!="Padrão",$H$4=#REF!),BDI!$B$17,IF(AND(#REF!="Padrão",$H$4=#REF!),BDI!#REF!,IF(AND(#REF!="Diferenciado",$H$4=#REF!),BDI!$E$17,IF(AND(#REF!="Diferenciado",$H$4=#REF!),BDI!#REF!,IF(#REF!="ZERO",0))))),"")</f>
        <v>#REF!</v>
      </c>
      <c r="H2203" s="138" t="str">
        <f t="shared" si="127"/>
        <v/>
      </c>
      <c r="I2203" s="136" t="str">
        <f t="shared" si="128"/>
        <v/>
      </c>
    </row>
    <row r="2204" spans="1:9" hidden="1" x14ac:dyDescent="0.25">
      <c r="A2204" s="114" t="s">
        <v>5923</v>
      </c>
      <c r="B2204" s="115" t="s">
        <v>4691</v>
      </c>
      <c r="C2204" s="116" t="s">
        <v>20</v>
      </c>
      <c r="D2204" s="116">
        <v>0</v>
      </c>
      <c r="E2204" s="135" t="s">
        <v>558</v>
      </c>
      <c r="F2204" s="136" t="str">
        <f t="shared" si="126"/>
        <v/>
      </c>
      <c r="G2204" s="137" t="e">
        <f>IF(A2204&lt;&gt;"",IF(AND(#REF!="Padrão",$H$4=#REF!),BDI!$B$17,IF(AND(#REF!="Padrão",$H$4=#REF!),BDI!#REF!,IF(AND(#REF!="Diferenciado",$H$4=#REF!),BDI!$E$17,IF(AND(#REF!="Diferenciado",$H$4=#REF!),BDI!#REF!,IF(#REF!="ZERO",0))))),"")</f>
        <v>#REF!</v>
      </c>
      <c r="H2204" s="138" t="str">
        <f t="shared" si="127"/>
        <v/>
      </c>
      <c r="I2204" s="136" t="str">
        <f t="shared" si="128"/>
        <v/>
      </c>
    </row>
    <row r="2205" spans="1:9" hidden="1" x14ac:dyDescent="0.25">
      <c r="A2205" s="114" t="s">
        <v>5924</v>
      </c>
      <c r="B2205" s="115" t="s">
        <v>4692</v>
      </c>
      <c r="C2205" s="116" t="s">
        <v>20</v>
      </c>
      <c r="D2205" s="116">
        <v>0</v>
      </c>
      <c r="E2205" s="135" t="s">
        <v>558</v>
      </c>
      <c r="F2205" s="136" t="str">
        <f t="shared" si="126"/>
        <v/>
      </c>
      <c r="G2205" s="137" t="e">
        <f>IF(A2205&lt;&gt;"",IF(AND(#REF!="Padrão",$H$4=#REF!),BDI!$B$17,IF(AND(#REF!="Padrão",$H$4=#REF!),BDI!#REF!,IF(AND(#REF!="Diferenciado",$H$4=#REF!),BDI!$E$17,IF(AND(#REF!="Diferenciado",$H$4=#REF!),BDI!#REF!,IF(#REF!="ZERO",0))))),"")</f>
        <v>#REF!</v>
      </c>
      <c r="H2205" s="138" t="str">
        <f t="shared" si="127"/>
        <v/>
      </c>
      <c r="I2205" s="136" t="str">
        <f t="shared" si="128"/>
        <v/>
      </c>
    </row>
    <row r="2206" spans="1:9" hidden="1" x14ac:dyDescent="0.25">
      <c r="A2206" s="114" t="s">
        <v>5925</v>
      </c>
      <c r="B2206" s="115" t="s">
        <v>4693</v>
      </c>
      <c r="C2206" s="116" t="s">
        <v>20</v>
      </c>
      <c r="D2206" s="116">
        <v>0</v>
      </c>
      <c r="E2206" s="135" t="s">
        <v>558</v>
      </c>
      <c r="F2206" s="136" t="str">
        <f t="shared" si="126"/>
        <v/>
      </c>
      <c r="G2206" s="137" t="e">
        <f>IF(A2206&lt;&gt;"",IF(AND(#REF!="Padrão",$H$4=#REF!),BDI!$B$17,IF(AND(#REF!="Padrão",$H$4=#REF!),BDI!#REF!,IF(AND(#REF!="Diferenciado",$H$4=#REF!),BDI!$E$17,IF(AND(#REF!="Diferenciado",$H$4=#REF!),BDI!#REF!,IF(#REF!="ZERO",0))))),"")</f>
        <v>#REF!</v>
      </c>
      <c r="H2206" s="138" t="str">
        <f t="shared" si="127"/>
        <v/>
      </c>
      <c r="I2206" s="136" t="str">
        <f t="shared" si="128"/>
        <v/>
      </c>
    </row>
    <row r="2207" spans="1:9" hidden="1" x14ac:dyDescent="0.25">
      <c r="A2207" s="114" t="s">
        <v>5926</v>
      </c>
      <c r="B2207" s="115" t="s">
        <v>4694</v>
      </c>
      <c r="C2207" s="116" t="s">
        <v>20</v>
      </c>
      <c r="D2207" s="116">
        <v>0</v>
      </c>
      <c r="E2207" s="135" t="s">
        <v>558</v>
      </c>
      <c r="F2207" s="136" t="str">
        <f t="shared" si="126"/>
        <v/>
      </c>
      <c r="G2207" s="137" t="e">
        <f>IF(A2207&lt;&gt;"",IF(AND(#REF!="Padrão",$H$4=#REF!),BDI!$B$17,IF(AND(#REF!="Padrão",$H$4=#REF!),BDI!#REF!,IF(AND(#REF!="Diferenciado",$H$4=#REF!),BDI!$E$17,IF(AND(#REF!="Diferenciado",$H$4=#REF!),BDI!#REF!,IF(#REF!="ZERO",0))))),"")</f>
        <v>#REF!</v>
      </c>
      <c r="H2207" s="138" t="str">
        <f t="shared" si="127"/>
        <v/>
      </c>
      <c r="I2207" s="136" t="str">
        <f t="shared" si="128"/>
        <v/>
      </c>
    </row>
    <row r="2208" spans="1:9" hidden="1" x14ac:dyDescent="0.25">
      <c r="A2208" s="114" t="s">
        <v>5927</v>
      </c>
      <c r="B2208" s="115" t="s">
        <v>4695</v>
      </c>
      <c r="C2208" s="116" t="s">
        <v>20</v>
      </c>
      <c r="D2208" s="116">
        <v>0</v>
      </c>
      <c r="E2208" s="135" t="s">
        <v>558</v>
      </c>
      <c r="F2208" s="136" t="str">
        <f t="shared" si="126"/>
        <v/>
      </c>
      <c r="G2208" s="137" t="e">
        <f>IF(A2208&lt;&gt;"",IF(AND(#REF!="Padrão",$H$4=#REF!),BDI!$B$17,IF(AND(#REF!="Padrão",$H$4=#REF!),BDI!#REF!,IF(AND(#REF!="Diferenciado",$H$4=#REF!),BDI!$E$17,IF(AND(#REF!="Diferenciado",$H$4=#REF!),BDI!#REF!,IF(#REF!="ZERO",0))))),"")</f>
        <v>#REF!</v>
      </c>
      <c r="H2208" s="138" t="str">
        <f t="shared" si="127"/>
        <v/>
      </c>
      <c r="I2208" s="136" t="str">
        <f t="shared" si="128"/>
        <v/>
      </c>
    </row>
    <row r="2209" spans="1:9" hidden="1" x14ac:dyDescent="0.25">
      <c r="A2209" s="114" t="s">
        <v>5928</v>
      </c>
      <c r="B2209" s="115" t="s">
        <v>4696</v>
      </c>
      <c r="C2209" s="116" t="s">
        <v>20</v>
      </c>
      <c r="D2209" s="116">
        <v>0</v>
      </c>
      <c r="E2209" s="135" t="s">
        <v>558</v>
      </c>
      <c r="F2209" s="136" t="str">
        <f t="shared" si="126"/>
        <v/>
      </c>
      <c r="G2209" s="137" t="e">
        <f>IF(A2209&lt;&gt;"",IF(AND(#REF!="Padrão",$H$4=#REF!),BDI!$B$17,IF(AND(#REF!="Padrão",$H$4=#REF!),BDI!#REF!,IF(AND(#REF!="Diferenciado",$H$4=#REF!),BDI!$E$17,IF(AND(#REF!="Diferenciado",$H$4=#REF!),BDI!#REF!,IF(#REF!="ZERO",0))))),"")</f>
        <v>#REF!</v>
      </c>
      <c r="H2209" s="138" t="str">
        <f t="shared" si="127"/>
        <v/>
      </c>
      <c r="I2209" s="136" t="str">
        <f t="shared" si="128"/>
        <v/>
      </c>
    </row>
    <row r="2210" spans="1:9" hidden="1" x14ac:dyDescent="0.25">
      <c r="A2210" s="114" t="s">
        <v>5929</v>
      </c>
      <c r="B2210" s="115" t="s">
        <v>4697</v>
      </c>
      <c r="C2210" s="116" t="s">
        <v>20</v>
      </c>
      <c r="D2210" s="116">
        <v>0</v>
      </c>
      <c r="E2210" s="135" t="s">
        <v>558</v>
      </c>
      <c r="F2210" s="136" t="str">
        <f t="shared" si="126"/>
        <v/>
      </c>
      <c r="G2210" s="137" t="e">
        <f>IF(A2210&lt;&gt;"",IF(AND(#REF!="Padrão",$H$4=#REF!),BDI!$B$17,IF(AND(#REF!="Padrão",$H$4=#REF!),BDI!#REF!,IF(AND(#REF!="Diferenciado",$H$4=#REF!),BDI!$E$17,IF(AND(#REF!="Diferenciado",$H$4=#REF!),BDI!#REF!,IF(#REF!="ZERO",0))))),"")</f>
        <v>#REF!</v>
      </c>
      <c r="H2210" s="138" t="str">
        <f t="shared" si="127"/>
        <v/>
      </c>
      <c r="I2210" s="136" t="str">
        <f t="shared" si="128"/>
        <v/>
      </c>
    </row>
    <row r="2211" spans="1:9" hidden="1" x14ac:dyDescent="0.25">
      <c r="A2211" s="114" t="s">
        <v>5930</v>
      </c>
      <c r="B2211" s="115" t="s">
        <v>4698</v>
      </c>
      <c r="C2211" s="116" t="s">
        <v>20</v>
      </c>
      <c r="D2211" s="116">
        <v>0</v>
      </c>
      <c r="E2211" s="135" t="s">
        <v>558</v>
      </c>
      <c r="F2211" s="136" t="str">
        <f t="shared" si="126"/>
        <v/>
      </c>
      <c r="G2211" s="137" t="e">
        <f>IF(A2211&lt;&gt;"",IF(AND(#REF!="Padrão",$H$4=#REF!),BDI!$B$17,IF(AND(#REF!="Padrão",$H$4=#REF!),BDI!#REF!,IF(AND(#REF!="Diferenciado",$H$4=#REF!),BDI!$E$17,IF(AND(#REF!="Diferenciado",$H$4=#REF!),BDI!#REF!,IF(#REF!="ZERO",0))))),"")</f>
        <v>#REF!</v>
      </c>
      <c r="H2211" s="138" t="str">
        <f t="shared" si="127"/>
        <v/>
      </c>
      <c r="I2211" s="136" t="str">
        <f t="shared" si="128"/>
        <v/>
      </c>
    </row>
    <row r="2212" spans="1:9" hidden="1" x14ac:dyDescent="0.25">
      <c r="A2212" s="114" t="s">
        <v>5931</v>
      </c>
      <c r="B2212" s="115" t="s">
        <v>4699</v>
      </c>
      <c r="C2212" s="116" t="s">
        <v>20</v>
      </c>
      <c r="D2212" s="116">
        <v>0</v>
      </c>
      <c r="E2212" s="135" t="s">
        <v>558</v>
      </c>
      <c r="F2212" s="136" t="str">
        <f t="shared" si="126"/>
        <v/>
      </c>
      <c r="G2212" s="137" t="e">
        <f>IF(A2212&lt;&gt;"",IF(AND(#REF!="Padrão",$H$4=#REF!),BDI!$B$17,IF(AND(#REF!="Padrão",$H$4=#REF!),BDI!#REF!,IF(AND(#REF!="Diferenciado",$H$4=#REF!),BDI!$E$17,IF(AND(#REF!="Diferenciado",$H$4=#REF!),BDI!#REF!,IF(#REF!="ZERO",0))))),"")</f>
        <v>#REF!</v>
      </c>
      <c r="H2212" s="138" t="str">
        <f t="shared" si="127"/>
        <v/>
      </c>
      <c r="I2212" s="136" t="str">
        <f t="shared" si="128"/>
        <v/>
      </c>
    </row>
    <row r="2213" spans="1:9" hidden="1" x14ac:dyDescent="0.25">
      <c r="A2213" s="114" t="s">
        <v>5932</v>
      </c>
      <c r="B2213" s="115" t="s">
        <v>4700</v>
      </c>
      <c r="C2213" s="116" t="s">
        <v>20</v>
      </c>
      <c r="D2213" s="116">
        <v>0</v>
      </c>
      <c r="E2213" s="135" t="s">
        <v>558</v>
      </c>
      <c r="F2213" s="136" t="str">
        <f t="shared" si="126"/>
        <v/>
      </c>
      <c r="G2213" s="137" t="e">
        <f>IF(A2213&lt;&gt;"",IF(AND(#REF!="Padrão",$H$4=#REF!),BDI!$B$17,IF(AND(#REF!="Padrão",$H$4=#REF!),BDI!#REF!,IF(AND(#REF!="Diferenciado",$H$4=#REF!),BDI!$E$17,IF(AND(#REF!="Diferenciado",$H$4=#REF!),BDI!#REF!,IF(#REF!="ZERO",0))))),"")</f>
        <v>#REF!</v>
      </c>
      <c r="H2213" s="138" t="str">
        <f t="shared" si="127"/>
        <v/>
      </c>
      <c r="I2213" s="136" t="str">
        <f t="shared" si="128"/>
        <v/>
      </c>
    </row>
    <row r="2214" spans="1:9" hidden="1" x14ac:dyDescent="0.25">
      <c r="A2214" s="114" t="s">
        <v>5933</v>
      </c>
      <c r="B2214" s="115" t="s">
        <v>4701</v>
      </c>
      <c r="C2214" s="116" t="s">
        <v>20</v>
      </c>
      <c r="D2214" s="116">
        <v>0</v>
      </c>
      <c r="E2214" s="135" t="s">
        <v>558</v>
      </c>
      <c r="F2214" s="136" t="str">
        <f t="shared" si="126"/>
        <v/>
      </c>
      <c r="G2214" s="137" t="e">
        <f>IF(A2214&lt;&gt;"",IF(AND(#REF!="Padrão",$H$4=#REF!),BDI!$B$17,IF(AND(#REF!="Padrão",$H$4=#REF!),BDI!#REF!,IF(AND(#REF!="Diferenciado",$H$4=#REF!),BDI!$E$17,IF(AND(#REF!="Diferenciado",$H$4=#REF!),BDI!#REF!,IF(#REF!="ZERO",0))))),"")</f>
        <v>#REF!</v>
      </c>
      <c r="H2214" s="138" t="str">
        <f t="shared" si="127"/>
        <v/>
      </c>
      <c r="I2214" s="136" t="str">
        <f t="shared" si="128"/>
        <v/>
      </c>
    </row>
    <row r="2215" spans="1:9" hidden="1" x14ac:dyDescent="0.25">
      <c r="A2215" s="114" t="s">
        <v>5934</v>
      </c>
      <c r="B2215" s="115" t="s">
        <v>4702</v>
      </c>
      <c r="C2215" s="116" t="s">
        <v>20</v>
      </c>
      <c r="D2215" s="116">
        <v>0</v>
      </c>
      <c r="E2215" s="135" t="s">
        <v>558</v>
      </c>
      <c r="F2215" s="136" t="str">
        <f t="shared" si="126"/>
        <v/>
      </c>
      <c r="G2215" s="137" t="e">
        <f>IF(A2215&lt;&gt;"",IF(AND(#REF!="Padrão",$H$4=#REF!),BDI!$B$17,IF(AND(#REF!="Padrão",$H$4=#REF!),BDI!#REF!,IF(AND(#REF!="Diferenciado",$H$4=#REF!),BDI!$E$17,IF(AND(#REF!="Diferenciado",$H$4=#REF!),BDI!#REF!,IF(#REF!="ZERO",0))))),"")</f>
        <v>#REF!</v>
      </c>
      <c r="H2215" s="138" t="str">
        <f t="shared" si="127"/>
        <v/>
      </c>
      <c r="I2215" s="136" t="str">
        <f t="shared" si="128"/>
        <v/>
      </c>
    </row>
    <row r="2216" spans="1:9" hidden="1" x14ac:dyDescent="0.25">
      <c r="A2216" s="114" t="s">
        <v>5935</v>
      </c>
      <c r="B2216" s="115" t="s">
        <v>4703</v>
      </c>
      <c r="C2216" s="116" t="s">
        <v>20</v>
      </c>
      <c r="D2216" s="116">
        <v>0</v>
      </c>
      <c r="E2216" s="135" t="s">
        <v>558</v>
      </c>
      <c r="F2216" s="136" t="str">
        <f t="shared" si="126"/>
        <v/>
      </c>
      <c r="G2216" s="137" t="e">
        <f>IF(A2216&lt;&gt;"",IF(AND(#REF!="Padrão",$H$4=#REF!),BDI!$B$17,IF(AND(#REF!="Padrão",$H$4=#REF!),BDI!#REF!,IF(AND(#REF!="Diferenciado",$H$4=#REF!),BDI!$E$17,IF(AND(#REF!="Diferenciado",$H$4=#REF!),BDI!#REF!,IF(#REF!="ZERO",0))))),"")</f>
        <v>#REF!</v>
      </c>
      <c r="H2216" s="138" t="str">
        <f t="shared" si="127"/>
        <v/>
      </c>
      <c r="I2216" s="136" t="str">
        <f t="shared" si="128"/>
        <v/>
      </c>
    </row>
    <row r="2217" spans="1:9" hidden="1" x14ac:dyDescent="0.25">
      <c r="A2217" s="114" t="s">
        <v>5936</v>
      </c>
      <c r="B2217" s="115" t="s">
        <v>4704</v>
      </c>
      <c r="C2217" s="116" t="s">
        <v>20</v>
      </c>
      <c r="D2217" s="116">
        <v>0</v>
      </c>
      <c r="E2217" s="135">
        <f ca="1">OFFSET(INDEX(Composições!A:J,MATCH(Orçamentária!A2217,Composições!A:A,0),8),2,0)</f>
        <v>179.1035</v>
      </c>
      <c r="F2217" s="136">
        <f t="shared" ca="1" si="126"/>
        <v>0</v>
      </c>
      <c r="G2217" s="137" t="e">
        <f>IF(A2217&lt;&gt;"",IF(AND(#REF!="Padrão",$H$4=#REF!),BDI!$B$17,IF(AND(#REF!="Padrão",$H$4=#REF!),BDI!#REF!,IF(AND(#REF!="Diferenciado",$H$4=#REF!),BDI!$E$17,IF(AND(#REF!="Diferenciado",$H$4=#REF!),BDI!#REF!,IF(#REF!="ZERO",0))))),"")</f>
        <v>#REF!</v>
      </c>
      <c r="H2217" s="138" t="e">
        <f t="shared" ca="1" si="127"/>
        <v>#REF!</v>
      </c>
      <c r="I2217" s="136" t="e">
        <f t="shared" ca="1" si="128"/>
        <v>#REF!</v>
      </c>
    </row>
    <row r="2218" spans="1:9" hidden="1" x14ac:dyDescent="0.25">
      <c r="A2218" s="114" t="s">
        <v>5937</v>
      </c>
      <c r="B2218" s="115" t="s">
        <v>4705</v>
      </c>
      <c r="C2218" s="116" t="s">
        <v>20</v>
      </c>
      <c r="D2218" s="116">
        <v>0</v>
      </c>
      <c r="E2218" s="135">
        <f ca="1">OFFSET(INDEX(Composições!A:J,MATCH(Orçamentária!A2218,Composições!A:A,0),8),2,0)</f>
        <v>331.83499999999998</v>
      </c>
      <c r="F2218" s="136">
        <f t="shared" ca="1" si="126"/>
        <v>0</v>
      </c>
      <c r="G2218" s="137" t="e">
        <f>IF(A2218&lt;&gt;"",IF(AND(#REF!="Padrão",$H$4=#REF!),BDI!$B$17,IF(AND(#REF!="Padrão",$H$4=#REF!),BDI!#REF!,IF(AND(#REF!="Diferenciado",$H$4=#REF!),BDI!$E$17,IF(AND(#REF!="Diferenciado",$H$4=#REF!),BDI!#REF!,IF(#REF!="ZERO",0))))),"")</f>
        <v>#REF!</v>
      </c>
      <c r="H2218" s="138" t="e">
        <f t="shared" ca="1" si="127"/>
        <v>#REF!</v>
      </c>
      <c r="I2218" s="136" t="e">
        <f t="shared" ca="1" si="128"/>
        <v>#REF!</v>
      </c>
    </row>
    <row r="2219" spans="1:9" hidden="1" x14ac:dyDescent="0.25">
      <c r="A2219" s="114" t="s">
        <v>5938</v>
      </c>
      <c r="B2219" s="115" t="s">
        <v>4706</v>
      </c>
      <c r="C2219" s="116" t="s">
        <v>20</v>
      </c>
      <c r="D2219" s="116">
        <v>0</v>
      </c>
      <c r="E2219" s="135">
        <f ca="1">OFFSET(INDEX(Composições!A:J,MATCH(Orçamentária!A2219,Composições!A:A,0),8),2,0)</f>
        <v>719.16899999999998</v>
      </c>
      <c r="F2219" s="136">
        <f t="shared" ca="1" si="126"/>
        <v>0</v>
      </c>
      <c r="G2219" s="137" t="e">
        <f>IF(A2219&lt;&gt;"",IF(AND(#REF!="Padrão",$H$4=#REF!),BDI!$B$17,IF(AND(#REF!="Padrão",$H$4=#REF!),BDI!#REF!,IF(AND(#REF!="Diferenciado",$H$4=#REF!),BDI!$E$17,IF(AND(#REF!="Diferenciado",$H$4=#REF!),BDI!#REF!,IF(#REF!="ZERO",0))))),"")</f>
        <v>#REF!</v>
      </c>
      <c r="H2219" s="138" t="e">
        <f t="shared" ca="1" si="127"/>
        <v>#REF!</v>
      </c>
      <c r="I2219" s="136" t="e">
        <f t="shared" ca="1" si="128"/>
        <v>#REF!</v>
      </c>
    </row>
    <row r="2220" spans="1:9" hidden="1" x14ac:dyDescent="0.25">
      <c r="A2220" s="114" t="s">
        <v>5939</v>
      </c>
      <c r="B2220" s="115" t="s">
        <v>4707</v>
      </c>
      <c r="C2220" s="116" t="s">
        <v>20</v>
      </c>
      <c r="D2220" s="116">
        <v>0</v>
      </c>
      <c r="E2220" s="135" t="s">
        <v>558</v>
      </c>
      <c r="F2220" s="136" t="str">
        <f t="shared" si="126"/>
        <v/>
      </c>
      <c r="G2220" s="137" t="e">
        <f>IF(A2220&lt;&gt;"",IF(AND(#REF!="Padrão",$H$4=#REF!),BDI!$B$17,IF(AND(#REF!="Padrão",$H$4=#REF!),BDI!#REF!,IF(AND(#REF!="Diferenciado",$H$4=#REF!),BDI!$E$17,IF(AND(#REF!="Diferenciado",$H$4=#REF!),BDI!#REF!,IF(#REF!="ZERO",0))))),"")</f>
        <v>#REF!</v>
      </c>
      <c r="H2220" s="138" t="str">
        <f t="shared" si="127"/>
        <v/>
      </c>
      <c r="I2220" s="136" t="str">
        <f t="shared" si="128"/>
        <v/>
      </c>
    </row>
    <row r="2221" spans="1:9" hidden="1" x14ac:dyDescent="0.25">
      <c r="A2221" s="114" t="s">
        <v>5940</v>
      </c>
      <c r="B2221" s="115" t="s">
        <v>4708</v>
      </c>
      <c r="C2221" s="116" t="s">
        <v>20</v>
      </c>
      <c r="D2221" s="116">
        <v>0</v>
      </c>
      <c r="E2221" s="135" t="s">
        <v>558</v>
      </c>
      <c r="F2221" s="136" t="str">
        <f t="shared" ref="F2221:F2284" si="129">IF(ISNUMBER(E2221),D2221*E2221,"")</f>
        <v/>
      </c>
      <c r="G2221" s="137" t="e">
        <f>IF(A2221&lt;&gt;"",IF(AND(#REF!="Padrão",$H$4=#REF!),BDI!$B$17,IF(AND(#REF!="Padrão",$H$4=#REF!),BDI!#REF!,IF(AND(#REF!="Diferenciado",$H$4=#REF!),BDI!$E$17,IF(AND(#REF!="Diferenciado",$H$4=#REF!),BDI!#REF!,IF(#REF!="ZERO",0))))),"")</f>
        <v>#REF!</v>
      </c>
      <c r="H2221" s="138" t="str">
        <f t="shared" ref="H2221:H2284" si="130">IF(ISNUMBER(E2221),ROUND(E2221*(1+G2221),2),"")</f>
        <v/>
      </c>
      <c r="I2221" s="136" t="str">
        <f t="shared" ref="I2221:I2284" si="131">IF(ISNUMBER(E2221),ROUND(H2221*D2221,2),"")</f>
        <v/>
      </c>
    </row>
    <row r="2222" spans="1:9" hidden="1" x14ac:dyDescent="0.25">
      <c r="A2222" s="114" t="s">
        <v>5941</v>
      </c>
      <c r="B2222" s="115" t="s">
        <v>4709</v>
      </c>
      <c r="C2222" s="116" t="s">
        <v>20</v>
      </c>
      <c r="D2222" s="116">
        <v>0</v>
      </c>
      <c r="E2222" s="135" t="s">
        <v>558</v>
      </c>
      <c r="F2222" s="136" t="str">
        <f t="shared" si="129"/>
        <v/>
      </c>
      <c r="G2222" s="137" t="e">
        <f>IF(A2222&lt;&gt;"",IF(AND(#REF!="Padrão",$H$4=#REF!),BDI!$B$17,IF(AND(#REF!="Padrão",$H$4=#REF!),BDI!#REF!,IF(AND(#REF!="Diferenciado",$H$4=#REF!),BDI!$E$17,IF(AND(#REF!="Diferenciado",$H$4=#REF!),BDI!#REF!,IF(#REF!="ZERO",0))))),"")</f>
        <v>#REF!</v>
      </c>
      <c r="H2222" s="138" t="str">
        <f t="shared" si="130"/>
        <v/>
      </c>
      <c r="I2222" s="136" t="str">
        <f t="shared" si="131"/>
        <v/>
      </c>
    </row>
    <row r="2223" spans="1:9" hidden="1" x14ac:dyDescent="0.25">
      <c r="A2223" s="114" t="s">
        <v>5942</v>
      </c>
      <c r="B2223" s="115" t="s">
        <v>4710</v>
      </c>
      <c r="C2223" s="116" t="s">
        <v>20</v>
      </c>
      <c r="D2223" s="116">
        <v>0</v>
      </c>
      <c r="E2223" s="135" t="s">
        <v>558</v>
      </c>
      <c r="F2223" s="136" t="str">
        <f t="shared" si="129"/>
        <v/>
      </c>
      <c r="G2223" s="137" t="e">
        <f>IF(A2223&lt;&gt;"",IF(AND(#REF!="Padrão",$H$4=#REF!),BDI!$B$17,IF(AND(#REF!="Padrão",$H$4=#REF!),BDI!#REF!,IF(AND(#REF!="Diferenciado",$H$4=#REF!),BDI!$E$17,IF(AND(#REF!="Diferenciado",$H$4=#REF!),BDI!#REF!,IF(#REF!="ZERO",0))))),"")</f>
        <v>#REF!</v>
      </c>
      <c r="H2223" s="138" t="str">
        <f t="shared" si="130"/>
        <v/>
      </c>
      <c r="I2223" s="136" t="str">
        <f t="shared" si="131"/>
        <v/>
      </c>
    </row>
    <row r="2224" spans="1:9" hidden="1" x14ac:dyDescent="0.25">
      <c r="A2224" s="114" t="s">
        <v>5943</v>
      </c>
      <c r="B2224" s="115" t="s">
        <v>4711</v>
      </c>
      <c r="C2224" s="116" t="s">
        <v>20</v>
      </c>
      <c r="D2224" s="116">
        <v>0</v>
      </c>
      <c r="E2224" s="135" t="s">
        <v>558</v>
      </c>
      <c r="F2224" s="136" t="str">
        <f t="shared" si="129"/>
        <v/>
      </c>
      <c r="G2224" s="137" t="e">
        <f>IF(A2224&lt;&gt;"",IF(AND(#REF!="Padrão",$H$4=#REF!),BDI!$B$17,IF(AND(#REF!="Padrão",$H$4=#REF!),BDI!#REF!,IF(AND(#REF!="Diferenciado",$H$4=#REF!),BDI!$E$17,IF(AND(#REF!="Diferenciado",$H$4=#REF!),BDI!#REF!,IF(#REF!="ZERO",0))))),"")</f>
        <v>#REF!</v>
      </c>
      <c r="H2224" s="138" t="str">
        <f t="shared" si="130"/>
        <v/>
      </c>
      <c r="I2224" s="136" t="str">
        <f t="shared" si="131"/>
        <v/>
      </c>
    </row>
    <row r="2225" spans="1:9" hidden="1" x14ac:dyDescent="0.25">
      <c r="A2225" s="114" t="s">
        <v>5944</v>
      </c>
      <c r="B2225" s="115" t="s">
        <v>4712</v>
      </c>
      <c r="C2225" s="116" t="s">
        <v>20</v>
      </c>
      <c r="D2225" s="116">
        <v>0</v>
      </c>
      <c r="E2225" s="135" t="s">
        <v>558</v>
      </c>
      <c r="F2225" s="136" t="str">
        <f t="shared" si="129"/>
        <v/>
      </c>
      <c r="G2225" s="137" t="e">
        <f>IF(A2225&lt;&gt;"",IF(AND(#REF!="Padrão",$H$4=#REF!),BDI!$B$17,IF(AND(#REF!="Padrão",$H$4=#REF!),BDI!#REF!,IF(AND(#REF!="Diferenciado",$H$4=#REF!),BDI!$E$17,IF(AND(#REF!="Diferenciado",$H$4=#REF!),BDI!#REF!,IF(#REF!="ZERO",0))))),"")</f>
        <v>#REF!</v>
      </c>
      <c r="H2225" s="138" t="str">
        <f t="shared" si="130"/>
        <v/>
      </c>
      <c r="I2225" s="136" t="str">
        <f t="shared" si="131"/>
        <v/>
      </c>
    </row>
    <row r="2226" spans="1:9" hidden="1" x14ac:dyDescent="0.25">
      <c r="A2226" s="114" t="s">
        <v>5945</v>
      </c>
      <c r="B2226" s="115" t="s">
        <v>4713</v>
      </c>
      <c r="C2226" s="116" t="s">
        <v>20</v>
      </c>
      <c r="D2226" s="116">
        <v>0</v>
      </c>
      <c r="E2226" s="135" t="s">
        <v>558</v>
      </c>
      <c r="F2226" s="136" t="str">
        <f t="shared" si="129"/>
        <v/>
      </c>
      <c r="G2226" s="137" t="e">
        <f>IF(A2226&lt;&gt;"",IF(AND(#REF!="Padrão",$H$4=#REF!),BDI!$B$17,IF(AND(#REF!="Padrão",$H$4=#REF!),BDI!#REF!,IF(AND(#REF!="Diferenciado",$H$4=#REF!),BDI!$E$17,IF(AND(#REF!="Diferenciado",$H$4=#REF!),BDI!#REF!,IF(#REF!="ZERO",0))))),"")</f>
        <v>#REF!</v>
      </c>
      <c r="H2226" s="138" t="str">
        <f t="shared" si="130"/>
        <v/>
      </c>
      <c r="I2226" s="136" t="str">
        <f t="shared" si="131"/>
        <v/>
      </c>
    </row>
    <row r="2227" spans="1:9" hidden="1" x14ac:dyDescent="0.25">
      <c r="A2227" s="114" t="s">
        <v>5946</v>
      </c>
      <c r="B2227" s="115" t="s">
        <v>4714</v>
      </c>
      <c r="C2227" s="116" t="s">
        <v>20</v>
      </c>
      <c r="D2227" s="116">
        <v>0</v>
      </c>
      <c r="E2227" s="135" t="s">
        <v>558</v>
      </c>
      <c r="F2227" s="136" t="str">
        <f t="shared" si="129"/>
        <v/>
      </c>
      <c r="G2227" s="137" t="e">
        <f>IF(A2227&lt;&gt;"",IF(AND(#REF!="Padrão",$H$4=#REF!),BDI!$B$17,IF(AND(#REF!="Padrão",$H$4=#REF!),BDI!#REF!,IF(AND(#REF!="Diferenciado",$H$4=#REF!),BDI!$E$17,IF(AND(#REF!="Diferenciado",$H$4=#REF!),BDI!#REF!,IF(#REF!="ZERO",0))))),"")</f>
        <v>#REF!</v>
      </c>
      <c r="H2227" s="138" t="str">
        <f t="shared" si="130"/>
        <v/>
      </c>
      <c r="I2227" s="136" t="str">
        <f t="shared" si="131"/>
        <v/>
      </c>
    </row>
    <row r="2228" spans="1:9" hidden="1" x14ac:dyDescent="0.25">
      <c r="A2228" s="114" t="s">
        <v>5947</v>
      </c>
      <c r="B2228" s="115" t="s">
        <v>4715</v>
      </c>
      <c r="C2228" s="116" t="s">
        <v>20</v>
      </c>
      <c r="D2228" s="116">
        <v>0</v>
      </c>
      <c r="E2228" s="135" t="s">
        <v>558</v>
      </c>
      <c r="F2228" s="136" t="str">
        <f t="shared" si="129"/>
        <v/>
      </c>
      <c r="G2228" s="137" t="e">
        <f>IF(A2228&lt;&gt;"",IF(AND(#REF!="Padrão",$H$4=#REF!),BDI!$B$17,IF(AND(#REF!="Padrão",$H$4=#REF!),BDI!#REF!,IF(AND(#REF!="Diferenciado",$H$4=#REF!),BDI!$E$17,IF(AND(#REF!="Diferenciado",$H$4=#REF!),BDI!#REF!,IF(#REF!="ZERO",0))))),"")</f>
        <v>#REF!</v>
      </c>
      <c r="H2228" s="138" t="str">
        <f t="shared" si="130"/>
        <v/>
      </c>
      <c r="I2228" s="136" t="str">
        <f t="shared" si="131"/>
        <v/>
      </c>
    </row>
    <row r="2229" spans="1:9" hidden="1" x14ac:dyDescent="0.25">
      <c r="A2229" s="114" t="s">
        <v>5948</v>
      </c>
      <c r="B2229" s="115" t="s">
        <v>4716</v>
      </c>
      <c r="C2229" s="116" t="s">
        <v>20</v>
      </c>
      <c r="D2229" s="116">
        <v>0</v>
      </c>
      <c r="E2229" s="135" t="s">
        <v>558</v>
      </c>
      <c r="F2229" s="136" t="str">
        <f t="shared" si="129"/>
        <v/>
      </c>
      <c r="G2229" s="137" t="e">
        <f>IF(A2229&lt;&gt;"",IF(AND(#REF!="Padrão",$H$4=#REF!),BDI!$B$17,IF(AND(#REF!="Padrão",$H$4=#REF!),BDI!#REF!,IF(AND(#REF!="Diferenciado",$H$4=#REF!),BDI!$E$17,IF(AND(#REF!="Diferenciado",$H$4=#REF!),BDI!#REF!,IF(#REF!="ZERO",0))))),"")</f>
        <v>#REF!</v>
      </c>
      <c r="H2229" s="138" t="str">
        <f t="shared" si="130"/>
        <v/>
      </c>
      <c r="I2229" s="136" t="str">
        <f t="shared" si="131"/>
        <v/>
      </c>
    </row>
    <row r="2230" spans="1:9" hidden="1" x14ac:dyDescent="0.25">
      <c r="A2230" s="114" t="s">
        <v>5949</v>
      </c>
      <c r="B2230" s="115" t="s">
        <v>4717</v>
      </c>
      <c r="C2230" s="116" t="s">
        <v>20</v>
      </c>
      <c r="D2230" s="116">
        <v>0</v>
      </c>
      <c r="E2230" s="135" t="s">
        <v>558</v>
      </c>
      <c r="F2230" s="136" t="str">
        <f t="shared" si="129"/>
        <v/>
      </c>
      <c r="G2230" s="137" t="e">
        <f>IF(A2230&lt;&gt;"",IF(AND(#REF!="Padrão",$H$4=#REF!),BDI!$B$17,IF(AND(#REF!="Padrão",$H$4=#REF!),BDI!#REF!,IF(AND(#REF!="Diferenciado",$H$4=#REF!),BDI!$E$17,IF(AND(#REF!="Diferenciado",$H$4=#REF!),BDI!#REF!,IF(#REF!="ZERO",0))))),"")</f>
        <v>#REF!</v>
      </c>
      <c r="H2230" s="138" t="str">
        <f t="shared" si="130"/>
        <v/>
      </c>
      <c r="I2230" s="136" t="str">
        <f t="shared" si="131"/>
        <v/>
      </c>
    </row>
    <row r="2231" spans="1:9" hidden="1" x14ac:dyDescent="0.25">
      <c r="A2231" s="114" t="s">
        <v>5950</v>
      </c>
      <c r="B2231" s="115" t="s">
        <v>4718</v>
      </c>
      <c r="C2231" s="116" t="s">
        <v>20</v>
      </c>
      <c r="D2231" s="116">
        <v>0</v>
      </c>
      <c r="E2231" s="135" t="s">
        <v>558</v>
      </c>
      <c r="F2231" s="136" t="str">
        <f t="shared" si="129"/>
        <v/>
      </c>
      <c r="G2231" s="137" t="e">
        <f>IF(A2231&lt;&gt;"",IF(AND(#REF!="Padrão",$H$4=#REF!),BDI!$B$17,IF(AND(#REF!="Padrão",$H$4=#REF!),BDI!#REF!,IF(AND(#REF!="Diferenciado",$H$4=#REF!),BDI!$E$17,IF(AND(#REF!="Diferenciado",$H$4=#REF!),BDI!#REF!,IF(#REF!="ZERO",0))))),"")</f>
        <v>#REF!</v>
      </c>
      <c r="H2231" s="138" t="str">
        <f t="shared" si="130"/>
        <v/>
      </c>
      <c r="I2231" s="136" t="str">
        <f t="shared" si="131"/>
        <v/>
      </c>
    </row>
    <row r="2232" spans="1:9" hidden="1" x14ac:dyDescent="0.25">
      <c r="A2232" s="114" t="s">
        <v>5951</v>
      </c>
      <c r="B2232" s="115" t="s">
        <v>4719</v>
      </c>
      <c r="C2232" s="116" t="s">
        <v>20</v>
      </c>
      <c r="D2232" s="116">
        <v>0</v>
      </c>
      <c r="E2232" s="135" t="s">
        <v>558</v>
      </c>
      <c r="F2232" s="136" t="str">
        <f t="shared" si="129"/>
        <v/>
      </c>
      <c r="G2232" s="137" t="e">
        <f>IF(A2232&lt;&gt;"",IF(AND(#REF!="Padrão",$H$4=#REF!),BDI!$B$17,IF(AND(#REF!="Padrão",$H$4=#REF!),BDI!#REF!,IF(AND(#REF!="Diferenciado",$H$4=#REF!),BDI!$E$17,IF(AND(#REF!="Diferenciado",$H$4=#REF!),BDI!#REF!,IF(#REF!="ZERO",0))))),"")</f>
        <v>#REF!</v>
      </c>
      <c r="H2232" s="138" t="str">
        <f t="shared" si="130"/>
        <v/>
      </c>
      <c r="I2232" s="136" t="str">
        <f t="shared" si="131"/>
        <v/>
      </c>
    </row>
    <row r="2233" spans="1:9" hidden="1" x14ac:dyDescent="0.25">
      <c r="A2233" s="114" t="s">
        <v>5952</v>
      </c>
      <c r="B2233" s="115" t="s">
        <v>4720</v>
      </c>
      <c r="C2233" s="116" t="s">
        <v>20</v>
      </c>
      <c r="D2233" s="116">
        <v>0</v>
      </c>
      <c r="E2233" s="135" t="s">
        <v>558</v>
      </c>
      <c r="F2233" s="136" t="str">
        <f t="shared" si="129"/>
        <v/>
      </c>
      <c r="G2233" s="137" t="e">
        <f>IF(A2233&lt;&gt;"",IF(AND(#REF!="Padrão",$H$4=#REF!),BDI!$B$17,IF(AND(#REF!="Padrão",$H$4=#REF!),BDI!#REF!,IF(AND(#REF!="Diferenciado",$H$4=#REF!),BDI!$E$17,IF(AND(#REF!="Diferenciado",$H$4=#REF!),BDI!#REF!,IF(#REF!="ZERO",0))))),"")</f>
        <v>#REF!</v>
      </c>
      <c r="H2233" s="138" t="str">
        <f t="shared" si="130"/>
        <v/>
      </c>
      <c r="I2233" s="136" t="str">
        <f t="shared" si="131"/>
        <v/>
      </c>
    </row>
    <row r="2234" spans="1:9" hidden="1" x14ac:dyDescent="0.25">
      <c r="A2234" s="114" t="s">
        <v>5953</v>
      </c>
      <c r="B2234" s="115" t="s">
        <v>4721</v>
      </c>
      <c r="C2234" s="116" t="s">
        <v>20</v>
      </c>
      <c r="D2234" s="116">
        <v>0</v>
      </c>
      <c r="E2234" s="135" t="s">
        <v>558</v>
      </c>
      <c r="F2234" s="136" t="str">
        <f t="shared" si="129"/>
        <v/>
      </c>
      <c r="G2234" s="137" t="e">
        <f>IF(A2234&lt;&gt;"",IF(AND(#REF!="Padrão",$H$4=#REF!),BDI!$B$17,IF(AND(#REF!="Padrão",$H$4=#REF!),BDI!#REF!,IF(AND(#REF!="Diferenciado",$H$4=#REF!),BDI!$E$17,IF(AND(#REF!="Diferenciado",$H$4=#REF!),BDI!#REF!,IF(#REF!="ZERO",0))))),"")</f>
        <v>#REF!</v>
      </c>
      <c r="H2234" s="138" t="str">
        <f t="shared" si="130"/>
        <v/>
      </c>
      <c r="I2234" s="136" t="str">
        <f t="shared" si="131"/>
        <v/>
      </c>
    </row>
    <row r="2235" spans="1:9" hidden="1" x14ac:dyDescent="0.25">
      <c r="A2235" s="114" t="s">
        <v>5954</v>
      </c>
      <c r="B2235" s="115" t="s">
        <v>4722</v>
      </c>
      <c r="C2235" s="116" t="s">
        <v>20</v>
      </c>
      <c r="D2235" s="116">
        <v>0</v>
      </c>
      <c r="E2235" s="135" t="s">
        <v>558</v>
      </c>
      <c r="F2235" s="136" t="str">
        <f t="shared" si="129"/>
        <v/>
      </c>
      <c r="G2235" s="137" t="e">
        <f>IF(A2235&lt;&gt;"",IF(AND(#REF!="Padrão",$H$4=#REF!),BDI!$B$17,IF(AND(#REF!="Padrão",$H$4=#REF!),BDI!#REF!,IF(AND(#REF!="Diferenciado",$H$4=#REF!),BDI!$E$17,IF(AND(#REF!="Diferenciado",$H$4=#REF!),BDI!#REF!,IF(#REF!="ZERO",0))))),"")</f>
        <v>#REF!</v>
      </c>
      <c r="H2235" s="138" t="str">
        <f t="shared" si="130"/>
        <v/>
      </c>
      <c r="I2235" s="136" t="str">
        <f t="shared" si="131"/>
        <v/>
      </c>
    </row>
    <row r="2236" spans="1:9" hidden="1" x14ac:dyDescent="0.25">
      <c r="A2236" s="114" t="s">
        <v>5955</v>
      </c>
      <c r="B2236" s="115" t="s">
        <v>4723</v>
      </c>
      <c r="C2236" s="116" t="s">
        <v>20</v>
      </c>
      <c r="D2236" s="116">
        <v>0</v>
      </c>
      <c r="E2236" s="135" t="s">
        <v>558</v>
      </c>
      <c r="F2236" s="136" t="str">
        <f t="shared" si="129"/>
        <v/>
      </c>
      <c r="G2236" s="137" t="e">
        <f>IF(A2236&lt;&gt;"",IF(AND(#REF!="Padrão",$H$4=#REF!),BDI!$B$17,IF(AND(#REF!="Padrão",$H$4=#REF!),BDI!#REF!,IF(AND(#REF!="Diferenciado",$H$4=#REF!),BDI!$E$17,IF(AND(#REF!="Diferenciado",$H$4=#REF!),BDI!#REF!,IF(#REF!="ZERO",0))))),"")</f>
        <v>#REF!</v>
      </c>
      <c r="H2236" s="138" t="str">
        <f t="shared" si="130"/>
        <v/>
      </c>
      <c r="I2236" s="136" t="str">
        <f t="shared" si="131"/>
        <v/>
      </c>
    </row>
    <row r="2237" spans="1:9" hidden="1" x14ac:dyDescent="0.25">
      <c r="A2237" s="114" t="s">
        <v>5956</v>
      </c>
      <c r="B2237" s="115" t="s">
        <v>4724</v>
      </c>
      <c r="C2237" s="116" t="s">
        <v>20</v>
      </c>
      <c r="D2237" s="116">
        <v>0</v>
      </c>
      <c r="E2237" s="135" t="s">
        <v>558</v>
      </c>
      <c r="F2237" s="136" t="str">
        <f t="shared" si="129"/>
        <v/>
      </c>
      <c r="G2237" s="137" t="e">
        <f>IF(A2237&lt;&gt;"",IF(AND(#REF!="Padrão",$H$4=#REF!),BDI!$B$17,IF(AND(#REF!="Padrão",$H$4=#REF!),BDI!#REF!,IF(AND(#REF!="Diferenciado",$H$4=#REF!),BDI!$E$17,IF(AND(#REF!="Diferenciado",$H$4=#REF!),BDI!#REF!,IF(#REF!="ZERO",0))))),"")</f>
        <v>#REF!</v>
      </c>
      <c r="H2237" s="138" t="str">
        <f t="shared" si="130"/>
        <v/>
      </c>
      <c r="I2237" s="136" t="str">
        <f t="shared" si="131"/>
        <v/>
      </c>
    </row>
    <row r="2238" spans="1:9" hidden="1" x14ac:dyDescent="0.25">
      <c r="A2238" s="114" t="s">
        <v>5957</v>
      </c>
      <c r="B2238" s="115" t="s">
        <v>4725</v>
      </c>
      <c r="C2238" s="116" t="s">
        <v>20</v>
      </c>
      <c r="D2238" s="116">
        <v>0</v>
      </c>
      <c r="E2238" s="135" t="s">
        <v>558</v>
      </c>
      <c r="F2238" s="136" t="str">
        <f t="shared" si="129"/>
        <v/>
      </c>
      <c r="G2238" s="137" t="e">
        <f>IF(A2238&lt;&gt;"",IF(AND(#REF!="Padrão",$H$4=#REF!),BDI!$B$17,IF(AND(#REF!="Padrão",$H$4=#REF!),BDI!#REF!,IF(AND(#REF!="Diferenciado",$H$4=#REF!),BDI!$E$17,IF(AND(#REF!="Diferenciado",$H$4=#REF!),BDI!#REF!,IF(#REF!="ZERO",0))))),"")</f>
        <v>#REF!</v>
      </c>
      <c r="H2238" s="138" t="str">
        <f t="shared" si="130"/>
        <v/>
      </c>
      <c r="I2238" s="136" t="str">
        <f t="shared" si="131"/>
        <v/>
      </c>
    </row>
    <row r="2239" spans="1:9" hidden="1" x14ac:dyDescent="0.25">
      <c r="A2239" s="114" t="s">
        <v>5958</v>
      </c>
      <c r="B2239" s="115" t="s">
        <v>4726</v>
      </c>
      <c r="C2239" s="116" t="s">
        <v>20</v>
      </c>
      <c r="D2239" s="116">
        <v>0</v>
      </c>
      <c r="E2239" s="135" t="s">
        <v>558</v>
      </c>
      <c r="F2239" s="136" t="str">
        <f t="shared" si="129"/>
        <v/>
      </c>
      <c r="G2239" s="137" t="e">
        <f>IF(A2239&lt;&gt;"",IF(AND(#REF!="Padrão",$H$4=#REF!),BDI!$B$17,IF(AND(#REF!="Padrão",$H$4=#REF!),BDI!#REF!,IF(AND(#REF!="Diferenciado",$H$4=#REF!),BDI!$E$17,IF(AND(#REF!="Diferenciado",$H$4=#REF!),BDI!#REF!,IF(#REF!="ZERO",0))))),"")</f>
        <v>#REF!</v>
      </c>
      <c r="H2239" s="138" t="str">
        <f t="shared" si="130"/>
        <v/>
      </c>
      <c r="I2239" s="136" t="str">
        <f t="shared" si="131"/>
        <v/>
      </c>
    </row>
    <row r="2240" spans="1:9" hidden="1" x14ac:dyDescent="0.25">
      <c r="A2240" s="114" t="s">
        <v>5959</v>
      </c>
      <c r="B2240" s="115" t="s">
        <v>4727</v>
      </c>
      <c r="C2240" s="116" t="s">
        <v>20</v>
      </c>
      <c r="D2240" s="116">
        <v>0</v>
      </c>
      <c r="E2240" s="135" t="s">
        <v>558</v>
      </c>
      <c r="F2240" s="136" t="str">
        <f t="shared" si="129"/>
        <v/>
      </c>
      <c r="G2240" s="137" t="e">
        <f>IF(A2240&lt;&gt;"",IF(AND(#REF!="Padrão",$H$4=#REF!),BDI!$B$17,IF(AND(#REF!="Padrão",$H$4=#REF!),BDI!#REF!,IF(AND(#REF!="Diferenciado",$H$4=#REF!),BDI!$E$17,IF(AND(#REF!="Diferenciado",$H$4=#REF!),BDI!#REF!,IF(#REF!="ZERO",0))))),"")</f>
        <v>#REF!</v>
      </c>
      <c r="H2240" s="138" t="str">
        <f t="shared" si="130"/>
        <v/>
      </c>
      <c r="I2240" s="136" t="str">
        <f t="shared" si="131"/>
        <v/>
      </c>
    </row>
    <row r="2241" spans="1:9" hidden="1" x14ac:dyDescent="0.25">
      <c r="A2241" s="114" t="s">
        <v>5960</v>
      </c>
      <c r="B2241" s="115" t="s">
        <v>4728</v>
      </c>
      <c r="C2241" s="116" t="s">
        <v>20</v>
      </c>
      <c r="D2241" s="116">
        <v>0</v>
      </c>
      <c r="E2241" s="135" t="s">
        <v>558</v>
      </c>
      <c r="F2241" s="136" t="str">
        <f t="shared" si="129"/>
        <v/>
      </c>
      <c r="G2241" s="137" t="e">
        <f>IF(A2241&lt;&gt;"",IF(AND(#REF!="Padrão",$H$4=#REF!),BDI!$B$17,IF(AND(#REF!="Padrão",$H$4=#REF!),BDI!#REF!,IF(AND(#REF!="Diferenciado",$H$4=#REF!),BDI!$E$17,IF(AND(#REF!="Diferenciado",$H$4=#REF!),BDI!#REF!,IF(#REF!="ZERO",0))))),"")</f>
        <v>#REF!</v>
      </c>
      <c r="H2241" s="138" t="str">
        <f t="shared" si="130"/>
        <v/>
      </c>
      <c r="I2241" s="136" t="str">
        <f t="shared" si="131"/>
        <v/>
      </c>
    </row>
    <row r="2242" spans="1:9" hidden="1" x14ac:dyDescent="0.25">
      <c r="A2242" s="114" t="s">
        <v>5961</v>
      </c>
      <c r="B2242" s="115" t="s">
        <v>4729</v>
      </c>
      <c r="C2242" s="116" t="s">
        <v>20</v>
      </c>
      <c r="D2242" s="116">
        <v>0</v>
      </c>
      <c r="E2242" s="135" t="s">
        <v>558</v>
      </c>
      <c r="F2242" s="136" t="str">
        <f t="shared" si="129"/>
        <v/>
      </c>
      <c r="G2242" s="137" t="e">
        <f>IF(A2242&lt;&gt;"",IF(AND(#REF!="Padrão",$H$4=#REF!),BDI!$B$17,IF(AND(#REF!="Padrão",$H$4=#REF!),BDI!#REF!,IF(AND(#REF!="Diferenciado",$H$4=#REF!),BDI!$E$17,IF(AND(#REF!="Diferenciado",$H$4=#REF!),BDI!#REF!,IF(#REF!="ZERO",0))))),"")</f>
        <v>#REF!</v>
      </c>
      <c r="H2242" s="138" t="str">
        <f t="shared" si="130"/>
        <v/>
      </c>
      <c r="I2242" s="136" t="str">
        <f t="shared" si="131"/>
        <v/>
      </c>
    </row>
    <row r="2243" spans="1:9" hidden="1" x14ac:dyDescent="0.25">
      <c r="A2243" s="114" t="s">
        <v>5962</v>
      </c>
      <c r="B2243" s="115" t="s">
        <v>4730</v>
      </c>
      <c r="C2243" s="116" t="s">
        <v>20</v>
      </c>
      <c r="D2243" s="116">
        <v>0</v>
      </c>
      <c r="E2243" s="135" t="s">
        <v>558</v>
      </c>
      <c r="F2243" s="136" t="str">
        <f t="shared" si="129"/>
        <v/>
      </c>
      <c r="G2243" s="137" t="e">
        <f>IF(A2243&lt;&gt;"",IF(AND(#REF!="Padrão",$H$4=#REF!),BDI!$B$17,IF(AND(#REF!="Padrão",$H$4=#REF!),BDI!#REF!,IF(AND(#REF!="Diferenciado",$H$4=#REF!),BDI!$E$17,IF(AND(#REF!="Diferenciado",$H$4=#REF!),BDI!#REF!,IF(#REF!="ZERO",0))))),"")</f>
        <v>#REF!</v>
      </c>
      <c r="H2243" s="138" t="str">
        <f t="shared" si="130"/>
        <v/>
      </c>
      <c r="I2243" s="136" t="str">
        <f t="shared" si="131"/>
        <v/>
      </c>
    </row>
    <row r="2244" spans="1:9" hidden="1" x14ac:dyDescent="0.25">
      <c r="A2244" s="114" t="s">
        <v>5963</v>
      </c>
      <c r="B2244" s="115" t="s">
        <v>4731</v>
      </c>
      <c r="C2244" s="116" t="s">
        <v>20</v>
      </c>
      <c r="D2244" s="116">
        <v>0</v>
      </c>
      <c r="E2244" s="135" t="s">
        <v>558</v>
      </c>
      <c r="F2244" s="136" t="str">
        <f t="shared" si="129"/>
        <v/>
      </c>
      <c r="G2244" s="137" t="e">
        <f>IF(A2244&lt;&gt;"",IF(AND(#REF!="Padrão",$H$4=#REF!),BDI!$B$17,IF(AND(#REF!="Padrão",$H$4=#REF!),BDI!#REF!,IF(AND(#REF!="Diferenciado",$H$4=#REF!),BDI!$E$17,IF(AND(#REF!="Diferenciado",$H$4=#REF!),BDI!#REF!,IF(#REF!="ZERO",0))))),"")</f>
        <v>#REF!</v>
      </c>
      <c r="H2244" s="138" t="str">
        <f t="shared" si="130"/>
        <v/>
      </c>
      <c r="I2244" s="136" t="str">
        <f t="shared" si="131"/>
        <v/>
      </c>
    </row>
    <row r="2245" spans="1:9" hidden="1" x14ac:dyDescent="0.25">
      <c r="A2245" s="114" t="s">
        <v>5964</v>
      </c>
      <c r="B2245" s="115" t="s">
        <v>4732</v>
      </c>
      <c r="C2245" s="116" t="s">
        <v>20</v>
      </c>
      <c r="D2245" s="116">
        <v>0</v>
      </c>
      <c r="E2245" s="135" t="s">
        <v>558</v>
      </c>
      <c r="F2245" s="136" t="str">
        <f t="shared" si="129"/>
        <v/>
      </c>
      <c r="G2245" s="137" t="e">
        <f>IF(A2245&lt;&gt;"",IF(AND(#REF!="Padrão",$H$4=#REF!),BDI!$B$17,IF(AND(#REF!="Padrão",$H$4=#REF!),BDI!#REF!,IF(AND(#REF!="Diferenciado",$H$4=#REF!),BDI!$E$17,IF(AND(#REF!="Diferenciado",$H$4=#REF!),BDI!#REF!,IF(#REF!="ZERO",0))))),"")</f>
        <v>#REF!</v>
      </c>
      <c r="H2245" s="138" t="str">
        <f t="shared" si="130"/>
        <v/>
      </c>
      <c r="I2245" s="136" t="str">
        <f t="shared" si="131"/>
        <v/>
      </c>
    </row>
    <row r="2246" spans="1:9" hidden="1" x14ac:dyDescent="0.25">
      <c r="A2246" s="114" t="s">
        <v>5965</v>
      </c>
      <c r="B2246" s="115" t="s">
        <v>4733</v>
      </c>
      <c r="C2246" s="116" t="s">
        <v>20</v>
      </c>
      <c r="D2246" s="116">
        <v>0</v>
      </c>
      <c r="E2246" s="135" t="s">
        <v>558</v>
      </c>
      <c r="F2246" s="136" t="str">
        <f t="shared" si="129"/>
        <v/>
      </c>
      <c r="G2246" s="137" t="e">
        <f>IF(A2246&lt;&gt;"",IF(AND(#REF!="Padrão",$H$4=#REF!),BDI!$B$17,IF(AND(#REF!="Padrão",$H$4=#REF!),BDI!#REF!,IF(AND(#REF!="Diferenciado",$H$4=#REF!),BDI!$E$17,IF(AND(#REF!="Diferenciado",$H$4=#REF!),BDI!#REF!,IF(#REF!="ZERO",0))))),"")</f>
        <v>#REF!</v>
      </c>
      <c r="H2246" s="138" t="str">
        <f t="shared" si="130"/>
        <v/>
      </c>
      <c r="I2246" s="136" t="str">
        <f t="shared" si="131"/>
        <v/>
      </c>
    </row>
    <row r="2247" spans="1:9" hidden="1" x14ac:dyDescent="0.25">
      <c r="A2247" s="114" t="s">
        <v>5966</v>
      </c>
      <c r="B2247" s="115" t="s">
        <v>4734</v>
      </c>
      <c r="C2247" s="116" t="s">
        <v>95</v>
      </c>
      <c r="D2247" s="116">
        <v>0</v>
      </c>
      <c r="E2247" s="135" t="s">
        <v>558</v>
      </c>
      <c r="F2247" s="136" t="str">
        <f t="shared" si="129"/>
        <v/>
      </c>
      <c r="G2247" s="137" t="e">
        <f>IF(A2247&lt;&gt;"",IF(AND(#REF!="Padrão",$H$4=#REF!),BDI!$B$17,IF(AND(#REF!="Padrão",$H$4=#REF!),BDI!#REF!,IF(AND(#REF!="Diferenciado",$H$4=#REF!),BDI!$E$17,IF(AND(#REF!="Diferenciado",$H$4=#REF!),BDI!#REF!,IF(#REF!="ZERO",0))))),"")</f>
        <v>#REF!</v>
      </c>
      <c r="H2247" s="138" t="str">
        <f t="shared" si="130"/>
        <v/>
      </c>
      <c r="I2247" s="136" t="str">
        <f t="shared" si="131"/>
        <v/>
      </c>
    </row>
    <row r="2248" spans="1:9" hidden="1" x14ac:dyDescent="0.25">
      <c r="A2248" s="114" t="s">
        <v>5967</v>
      </c>
      <c r="B2248" s="115" t="s">
        <v>4735</v>
      </c>
      <c r="C2248" s="116" t="s">
        <v>95</v>
      </c>
      <c r="D2248" s="116">
        <v>0</v>
      </c>
      <c r="E2248" s="135" t="s">
        <v>558</v>
      </c>
      <c r="F2248" s="136" t="str">
        <f t="shared" si="129"/>
        <v/>
      </c>
      <c r="G2248" s="137" t="e">
        <f>IF(A2248&lt;&gt;"",IF(AND(#REF!="Padrão",$H$4=#REF!),BDI!$B$17,IF(AND(#REF!="Padrão",$H$4=#REF!),BDI!#REF!,IF(AND(#REF!="Diferenciado",$H$4=#REF!),BDI!$E$17,IF(AND(#REF!="Diferenciado",$H$4=#REF!),BDI!#REF!,IF(#REF!="ZERO",0))))),"")</f>
        <v>#REF!</v>
      </c>
      <c r="H2248" s="138" t="str">
        <f t="shared" si="130"/>
        <v/>
      </c>
      <c r="I2248" s="136" t="str">
        <f t="shared" si="131"/>
        <v/>
      </c>
    </row>
    <row r="2249" spans="1:9" hidden="1" x14ac:dyDescent="0.25">
      <c r="A2249" s="114" t="s">
        <v>5968</v>
      </c>
      <c r="B2249" s="115" t="s">
        <v>4736</v>
      </c>
      <c r="C2249" s="116" t="s">
        <v>20</v>
      </c>
      <c r="D2249" s="116">
        <v>0</v>
      </c>
      <c r="E2249" s="135" t="s">
        <v>558</v>
      </c>
      <c r="F2249" s="136" t="str">
        <f t="shared" si="129"/>
        <v/>
      </c>
      <c r="G2249" s="137" t="e">
        <f>IF(A2249&lt;&gt;"",IF(AND(#REF!="Padrão",$H$4=#REF!),BDI!$B$17,IF(AND(#REF!="Padrão",$H$4=#REF!),BDI!#REF!,IF(AND(#REF!="Diferenciado",$H$4=#REF!),BDI!$E$17,IF(AND(#REF!="Diferenciado",$H$4=#REF!),BDI!#REF!,IF(#REF!="ZERO",0))))),"")</f>
        <v>#REF!</v>
      </c>
      <c r="H2249" s="138" t="str">
        <f t="shared" si="130"/>
        <v/>
      </c>
      <c r="I2249" s="136" t="str">
        <f t="shared" si="131"/>
        <v/>
      </c>
    </row>
    <row r="2250" spans="1:9" hidden="1" x14ac:dyDescent="0.25">
      <c r="A2250" s="114" t="s">
        <v>5969</v>
      </c>
      <c r="B2250" s="115" t="s">
        <v>4737</v>
      </c>
      <c r="C2250" s="116" t="s">
        <v>20</v>
      </c>
      <c r="D2250" s="116">
        <v>0</v>
      </c>
      <c r="E2250" s="135" t="s">
        <v>558</v>
      </c>
      <c r="F2250" s="136" t="str">
        <f t="shared" si="129"/>
        <v/>
      </c>
      <c r="G2250" s="137" t="e">
        <f>IF(A2250&lt;&gt;"",IF(AND(#REF!="Padrão",$H$4=#REF!),BDI!$B$17,IF(AND(#REF!="Padrão",$H$4=#REF!),BDI!#REF!,IF(AND(#REF!="Diferenciado",$H$4=#REF!),BDI!$E$17,IF(AND(#REF!="Diferenciado",$H$4=#REF!),BDI!#REF!,IF(#REF!="ZERO",0))))),"")</f>
        <v>#REF!</v>
      </c>
      <c r="H2250" s="138" t="str">
        <f t="shared" si="130"/>
        <v/>
      </c>
      <c r="I2250" s="136" t="str">
        <f t="shared" si="131"/>
        <v/>
      </c>
    </row>
    <row r="2251" spans="1:9" hidden="1" x14ac:dyDescent="0.25">
      <c r="A2251" s="114" t="s">
        <v>5970</v>
      </c>
      <c r="B2251" s="115" t="s">
        <v>4738</v>
      </c>
      <c r="C2251" s="116" t="s">
        <v>20</v>
      </c>
      <c r="D2251" s="116">
        <v>0</v>
      </c>
      <c r="E2251" s="135" t="s">
        <v>558</v>
      </c>
      <c r="F2251" s="136" t="str">
        <f t="shared" si="129"/>
        <v/>
      </c>
      <c r="G2251" s="137" t="e">
        <f>IF(A2251&lt;&gt;"",IF(AND(#REF!="Padrão",$H$4=#REF!),BDI!$B$17,IF(AND(#REF!="Padrão",$H$4=#REF!),BDI!#REF!,IF(AND(#REF!="Diferenciado",$H$4=#REF!),BDI!$E$17,IF(AND(#REF!="Diferenciado",$H$4=#REF!),BDI!#REF!,IF(#REF!="ZERO",0))))),"")</f>
        <v>#REF!</v>
      </c>
      <c r="H2251" s="138" t="str">
        <f t="shared" si="130"/>
        <v/>
      </c>
      <c r="I2251" s="136" t="str">
        <f t="shared" si="131"/>
        <v/>
      </c>
    </row>
    <row r="2252" spans="1:9" hidden="1" x14ac:dyDescent="0.25">
      <c r="A2252" s="114" t="s">
        <v>5971</v>
      </c>
      <c r="B2252" s="115" t="s">
        <v>4739</v>
      </c>
      <c r="C2252" s="116" t="s">
        <v>20</v>
      </c>
      <c r="D2252" s="116">
        <v>0</v>
      </c>
      <c r="E2252" s="135" t="s">
        <v>558</v>
      </c>
      <c r="F2252" s="136" t="str">
        <f t="shared" si="129"/>
        <v/>
      </c>
      <c r="G2252" s="137" t="e">
        <f>IF(A2252&lt;&gt;"",IF(AND(#REF!="Padrão",$H$4=#REF!),BDI!$B$17,IF(AND(#REF!="Padrão",$H$4=#REF!),BDI!#REF!,IF(AND(#REF!="Diferenciado",$H$4=#REF!),BDI!$E$17,IF(AND(#REF!="Diferenciado",$H$4=#REF!),BDI!#REF!,IF(#REF!="ZERO",0))))),"")</f>
        <v>#REF!</v>
      </c>
      <c r="H2252" s="138" t="str">
        <f t="shared" si="130"/>
        <v/>
      </c>
      <c r="I2252" s="136" t="str">
        <f t="shared" si="131"/>
        <v/>
      </c>
    </row>
    <row r="2253" spans="1:9" hidden="1" x14ac:dyDescent="0.25">
      <c r="A2253" s="114" t="s">
        <v>5972</v>
      </c>
      <c r="B2253" s="115" t="s">
        <v>4740</v>
      </c>
      <c r="C2253" s="116" t="s">
        <v>20</v>
      </c>
      <c r="D2253" s="116">
        <v>0</v>
      </c>
      <c r="E2253" s="135" t="s">
        <v>558</v>
      </c>
      <c r="F2253" s="136" t="str">
        <f t="shared" si="129"/>
        <v/>
      </c>
      <c r="G2253" s="137" t="e">
        <f>IF(A2253&lt;&gt;"",IF(AND(#REF!="Padrão",$H$4=#REF!),BDI!$B$17,IF(AND(#REF!="Padrão",$H$4=#REF!),BDI!#REF!,IF(AND(#REF!="Diferenciado",$H$4=#REF!),BDI!$E$17,IF(AND(#REF!="Diferenciado",$H$4=#REF!),BDI!#REF!,IF(#REF!="ZERO",0))))),"")</f>
        <v>#REF!</v>
      </c>
      <c r="H2253" s="138" t="str">
        <f t="shared" si="130"/>
        <v/>
      </c>
      <c r="I2253" s="136" t="str">
        <f t="shared" si="131"/>
        <v/>
      </c>
    </row>
    <row r="2254" spans="1:9" hidden="1" x14ac:dyDescent="0.25">
      <c r="A2254" s="114" t="s">
        <v>5973</v>
      </c>
      <c r="B2254" s="115" t="s">
        <v>4741</v>
      </c>
      <c r="C2254" s="116" t="s">
        <v>20</v>
      </c>
      <c r="D2254" s="116">
        <v>0</v>
      </c>
      <c r="E2254" s="135" t="s">
        <v>558</v>
      </c>
      <c r="F2254" s="136" t="str">
        <f t="shared" si="129"/>
        <v/>
      </c>
      <c r="G2254" s="137" t="e">
        <f>IF(A2254&lt;&gt;"",IF(AND(#REF!="Padrão",$H$4=#REF!),BDI!$B$17,IF(AND(#REF!="Padrão",$H$4=#REF!),BDI!#REF!,IF(AND(#REF!="Diferenciado",$H$4=#REF!),BDI!$E$17,IF(AND(#REF!="Diferenciado",$H$4=#REF!),BDI!#REF!,IF(#REF!="ZERO",0))))),"")</f>
        <v>#REF!</v>
      </c>
      <c r="H2254" s="138" t="str">
        <f t="shared" si="130"/>
        <v/>
      </c>
      <c r="I2254" s="136" t="str">
        <f t="shared" si="131"/>
        <v/>
      </c>
    </row>
    <row r="2255" spans="1:9" hidden="1" x14ac:dyDescent="0.25">
      <c r="A2255" s="114" t="s">
        <v>5974</v>
      </c>
      <c r="B2255" s="115" t="s">
        <v>4742</v>
      </c>
      <c r="C2255" s="116" t="s">
        <v>20</v>
      </c>
      <c r="D2255" s="116">
        <v>0</v>
      </c>
      <c r="E2255" s="135">
        <f ca="1">OFFSET(INDEX(Composições!A:J,MATCH(Orçamentária!A2255,Composições!A:A,0),8),2,0)</f>
        <v>49.362000000000002</v>
      </c>
      <c r="F2255" s="136">
        <f t="shared" ca="1" si="129"/>
        <v>0</v>
      </c>
      <c r="G2255" s="137" t="e">
        <f>IF(A2255&lt;&gt;"",IF(AND(#REF!="Padrão",$H$4=#REF!),BDI!$B$17,IF(AND(#REF!="Padrão",$H$4=#REF!),BDI!#REF!,IF(AND(#REF!="Diferenciado",$H$4=#REF!),BDI!$E$17,IF(AND(#REF!="Diferenciado",$H$4=#REF!),BDI!#REF!,IF(#REF!="ZERO",0))))),"")</f>
        <v>#REF!</v>
      </c>
      <c r="H2255" s="138" t="e">
        <f t="shared" ca="1" si="130"/>
        <v>#REF!</v>
      </c>
      <c r="I2255" s="136" t="e">
        <f t="shared" ca="1" si="131"/>
        <v>#REF!</v>
      </c>
    </row>
    <row r="2256" spans="1:9" hidden="1" x14ac:dyDescent="0.25">
      <c r="A2256" s="114" t="s">
        <v>5975</v>
      </c>
      <c r="B2256" s="115" t="s">
        <v>4743</v>
      </c>
      <c r="C2256" s="116" t="s">
        <v>20</v>
      </c>
      <c r="D2256" s="116">
        <v>0</v>
      </c>
      <c r="E2256" s="135" t="s">
        <v>558</v>
      </c>
      <c r="F2256" s="136" t="str">
        <f t="shared" si="129"/>
        <v/>
      </c>
      <c r="G2256" s="137" t="e">
        <f>IF(A2256&lt;&gt;"",IF(AND(#REF!="Padrão",$H$4=#REF!),BDI!$B$17,IF(AND(#REF!="Padrão",$H$4=#REF!),BDI!#REF!,IF(AND(#REF!="Diferenciado",$H$4=#REF!),BDI!$E$17,IF(AND(#REF!="Diferenciado",$H$4=#REF!),BDI!#REF!,IF(#REF!="ZERO",0))))),"")</f>
        <v>#REF!</v>
      </c>
      <c r="H2256" s="138" t="str">
        <f t="shared" si="130"/>
        <v/>
      </c>
      <c r="I2256" s="136" t="str">
        <f t="shared" si="131"/>
        <v/>
      </c>
    </row>
    <row r="2257" spans="1:9" hidden="1" x14ac:dyDescent="0.25">
      <c r="A2257" s="114" t="s">
        <v>5976</v>
      </c>
      <c r="B2257" s="115" t="s">
        <v>4744</v>
      </c>
      <c r="C2257" s="116" t="s">
        <v>20</v>
      </c>
      <c r="D2257" s="116">
        <v>0</v>
      </c>
      <c r="E2257" s="135" t="s">
        <v>558</v>
      </c>
      <c r="F2257" s="136" t="str">
        <f t="shared" si="129"/>
        <v/>
      </c>
      <c r="G2257" s="137" t="e">
        <f>IF(A2257&lt;&gt;"",IF(AND(#REF!="Padrão",$H$4=#REF!),BDI!$B$17,IF(AND(#REF!="Padrão",$H$4=#REF!),BDI!#REF!,IF(AND(#REF!="Diferenciado",$H$4=#REF!),BDI!$E$17,IF(AND(#REF!="Diferenciado",$H$4=#REF!),BDI!#REF!,IF(#REF!="ZERO",0))))),"")</f>
        <v>#REF!</v>
      </c>
      <c r="H2257" s="138" t="str">
        <f t="shared" si="130"/>
        <v/>
      </c>
      <c r="I2257" s="136" t="str">
        <f t="shared" si="131"/>
        <v/>
      </c>
    </row>
    <row r="2258" spans="1:9" hidden="1" x14ac:dyDescent="0.25">
      <c r="A2258" s="114" t="s">
        <v>5977</v>
      </c>
      <c r="B2258" s="115" t="s">
        <v>4745</v>
      </c>
      <c r="C2258" s="116" t="s">
        <v>20</v>
      </c>
      <c r="D2258" s="116">
        <v>0</v>
      </c>
      <c r="E2258" s="135" t="s">
        <v>558</v>
      </c>
      <c r="F2258" s="136" t="str">
        <f t="shared" si="129"/>
        <v/>
      </c>
      <c r="G2258" s="137" t="e">
        <f>IF(A2258&lt;&gt;"",IF(AND(#REF!="Padrão",$H$4=#REF!),BDI!$B$17,IF(AND(#REF!="Padrão",$H$4=#REF!),BDI!#REF!,IF(AND(#REF!="Diferenciado",$H$4=#REF!),BDI!$E$17,IF(AND(#REF!="Diferenciado",$H$4=#REF!),BDI!#REF!,IF(#REF!="ZERO",0))))),"")</f>
        <v>#REF!</v>
      </c>
      <c r="H2258" s="138" t="str">
        <f t="shared" si="130"/>
        <v/>
      </c>
      <c r="I2258" s="136" t="str">
        <f t="shared" si="131"/>
        <v/>
      </c>
    </row>
    <row r="2259" spans="1:9" hidden="1" x14ac:dyDescent="0.25">
      <c r="A2259" s="114" t="s">
        <v>5978</v>
      </c>
      <c r="B2259" s="115" t="s">
        <v>4746</v>
      </c>
      <c r="C2259" s="116" t="s">
        <v>20</v>
      </c>
      <c r="D2259" s="116">
        <v>0</v>
      </c>
      <c r="E2259" s="135" t="s">
        <v>558</v>
      </c>
      <c r="F2259" s="136" t="str">
        <f t="shared" si="129"/>
        <v/>
      </c>
      <c r="G2259" s="137" t="e">
        <f>IF(A2259&lt;&gt;"",IF(AND(#REF!="Padrão",$H$4=#REF!),BDI!$B$17,IF(AND(#REF!="Padrão",$H$4=#REF!),BDI!#REF!,IF(AND(#REF!="Diferenciado",$H$4=#REF!),BDI!$E$17,IF(AND(#REF!="Diferenciado",$H$4=#REF!),BDI!#REF!,IF(#REF!="ZERO",0))))),"")</f>
        <v>#REF!</v>
      </c>
      <c r="H2259" s="138" t="str">
        <f t="shared" si="130"/>
        <v/>
      </c>
      <c r="I2259" s="136" t="str">
        <f t="shared" si="131"/>
        <v/>
      </c>
    </row>
    <row r="2260" spans="1:9" hidden="1" x14ac:dyDescent="0.25">
      <c r="A2260" s="114" t="s">
        <v>5979</v>
      </c>
      <c r="B2260" s="115" t="s">
        <v>4747</v>
      </c>
      <c r="C2260" s="116" t="s">
        <v>20</v>
      </c>
      <c r="D2260" s="116">
        <v>0</v>
      </c>
      <c r="E2260" s="135" t="s">
        <v>558</v>
      </c>
      <c r="F2260" s="136" t="str">
        <f t="shared" si="129"/>
        <v/>
      </c>
      <c r="G2260" s="137" t="e">
        <f>IF(A2260&lt;&gt;"",IF(AND(#REF!="Padrão",$H$4=#REF!),BDI!$B$17,IF(AND(#REF!="Padrão",$H$4=#REF!),BDI!#REF!,IF(AND(#REF!="Diferenciado",$H$4=#REF!),BDI!$E$17,IF(AND(#REF!="Diferenciado",$H$4=#REF!),BDI!#REF!,IF(#REF!="ZERO",0))))),"")</f>
        <v>#REF!</v>
      </c>
      <c r="H2260" s="138" t="str">
        <f t="shared" si="130"/>
        <v/>
      </c>
      <c r="I2260" s="136" t="str">
        <f t="shared" si="131"/>
        <v/>
      </c>
    </row>
    <row r="2261" spans="1:9" hidden="1" x14ac:dyDescent="0.25">
      <c r="A2261" s="114" t="s">
        <v>5980</v>
      </c>
      <c r="B2261" s="115" t="s">
        <v>4748</v>
      </c>
      <c r="C2261" s="116" t="s">
        <v>20</v>
      </c>
      <c r="D2261" s="116">
        <v>0</v>
      </c>
      <c r="E2261" s="135" t="s">
        <v>558</v>
      </c>
      <c r="F2261" s="136" t="str">
        <f t="shared" si="129"/>
        <v/>
      </c>
      <c r="G2261" s="137" t="e">
        <f>IF(A2261&lt;&gt;"",IF(AND(#REF!="Padrão",$H$4=#REF!),BDI!$B$17,IF(AND(#REF!="Padrão",$H$4=#REF!),BDI!#REF!,IF(AND(#REF!="Diferenciado",$H$4=#REF!),BDI!$E$17,IF(AND(#REF!="Diferenciado",$H$4=#REF!),BDI!#REF!,IF(#REF!="ZERO",0))))),"")</f>
        <v>#REF!</v>
      </c>
      <c r="H2261" s="138" t="str">
        <f t="shared" si="130"/>
        <v/>
      </c>
      <c r="I2261" s="136" t="str">
        <f t="shared" si="131"/>
        <v/>
      </c>
    </row>
    <row r="2262" spans="1:9" hidden="1" x14ac:dyDescent="0.25">
      <c r="A2262" s="114" t="s">
        <v>5981</v>
      </c>
      <c r="B2262" s="115" t="s">
        <v>4749</v>
      </c>
      <c r="C2262" s="116" t="s">
        <v>20</v>
      </c>
      <c r="D2262" s="116">
        <v>0</v>
      </c>
      <c r="E2262" s="135" t="s">
        <v>558</v>
      </c>
      <c r="F2262" s="136" t="str">
        <f t="shared" si="129"/>
        <v/>
      </c>
      <c r="G2262" s="137" t="e">
        <f>IF(A2262&lt;&gt;"",IF(AND(#REF!="Padrão",$H$4=#REF!),BDI!$B$17,IF(AND(#REF!="Padrão",$H$4=#REF!),BDI!#REF!,IF(AND(#REF!="Diferenciado",$H$4=#REF!),BDI!$E$17,IF(AND(#REF!="Diferenciado",$H$4=#REF!),BDI!#REF!,IF(#REF!="ZERO",0))))),"")</f>
        <v>#REF!</v>
      </c>
      <c r="H2262" s="138" t="str">
        <f t="shared" si="130"/>
        <v/>
      </c>
      <c r="I2262" s="136" t="str">
        <f t="shared" si="131"/>
        <v/>
      </c>
    </row>
    <row r="2263" spans="1:9" hidden="1" x14ac:dyDescent="0.25">
      <c r="A2263" s="114" t="s">
        <v>5982</v>
      </c>
      <c r="B2263" s="115" t="s">
        <v>4750</v>
      </c>
      <c r="C2263" s="116" t="s">
        <v>20</v>
      </c>
      <c r="D2263" s="116">
        <v>0</v>
      </c>
      <c r="E2263" s="135" t="s">
        <v>558</v>
      </c>
      <c r="F2263" s="136" t="str">
        <f t="shared" si="129"/>
        <v/>
      </c>
      <c r="G2263" s="137" t="e">
        <f>IF(A2263&lt;&gt;"",IF(AND(#REF!="Padrão",$H$4=#REF!),BDI!$B$17,IF(AND(#REF!="Padrão",$H$4=#REF!),BDI!#REF!,IF(AND(#REF!="Diferenciado",$H$4=#REF!),BDI!$E$17,IF(AND(#REF!="Diferenciado",$H$4=#REF!),BDI!#REF!,IF(#REF!="ZERO",0))))),"")</f>
        <v>#REF!</v>
      </c>
      <c r="H2263" s="138" t="str">
        <f t="shared" si="130"/>
        <v/>
      </c>
      <c r="I2263" s="136" t="str">
        <f t="shared" si="131"/>
        <v/>
      </c>
    </row>
    <row r="2264" spans="1:9" hidden="1" x14ac:dyDescent="0.25">
      <c r="A2264" s="114" t="s">
        <v>5983</v>
      </c>
      <c r="B2264" s="115" t="s">
        <v>4751</v>
      </c>
      <c r="C2264" s="116" t="s">
        <v>20</v>
      </c>
      <c r="D2264" s="116">
        <v>0</v>
      </c>
      <c r="E2264" s="135" t="s">
        <v>558</v>
      </c>
      <c r="F2264" s="136" t="str">
        <f t="shared" si="129"/>
        <v/>
      </c>
      <c r="G2264" s="137" t="e">
        <f>IF(A2264&lt;&gt;"",IF(AND(#REF!="Padrão",$H$4=#REF!),BDI!$B$17,IF(AND(#REF!="Padrão",$H$4=#REF!),BDI!#REF!,IF(AND(#REF!="Diferenciado",$H$4=#REF!),BDI!$E$17,IF(AND(#REF!="Diferenciado",$H$4=#REF!),BDI!#REF!,IF(#REF!="ZERO",0))))),"")</f>
        <v>#REF!</v>
      </c>
      <c r="H2264" s="138" t="str">
        <f t="shared" si="130"/>
        <v/>
      </c>
      <c r="I2264" s="136" t="str">
        <f t="shared" si="131"/>
        <v/>
      </c>
    </row>
    <row r="2265" spans="1:9" hidden="1" x14ac:dyDescent="0.25">
      <c r="A2265" s="114" t="s">
        <v>5984</v>
      </c>
      <c r="B2265" s="115" t="s">
        <v>4752</v>
      </c>
      <c r="C2265" s="116" t="s">
        <v>20</v>
      </c>
      <c r="D2265" s="116">
        <v>0</v>
      </c>
      <c r="E2265" s="135" t="s">
        <v>558</v>
      </c>
      <c r="F2265" s="136" t="str">
        <f t="shared" si="129"/>
        <v/>
      </c>
      <c r="G2265" s="137" t="e">
        <f>IF(A2265&lt;&gt;"",IF(AND(#REF!="Padrão",$H$4=#REF!),BDI!$B$17,IF(AND(#REF!="Padrão",$H$4=#REF!),BDI!#REF!,IF(AND(#REF!="Diferenciado",$H$4=#REF!),BDI!$E$17,IF(AND(#REF!="Diferenciado",$H$4=#REF!),BDI!#REF!,IF(#REF!="ZERO",0))))),"")</f>
        <v>#REF!</v>
      </c>
      <c r="H2265" s="138" t="str">
        <f t="shared" si="130"/>
        <v/>
      </c>
      <c r="I2265" s="136" t="str">
        <f t="shared" si="131"/>
        <v/>
      </c>
    </row>
    <row r="2266" spans="1:9" hidden="1" x14ac:dyDescent="0.25">
      <c r="A2266" s="114" t="s">
        <v>5985</v>
      </c>
      <c r="B2266" s="115" t="s">
        <v>4753</v>
      </c>
      <c r="C2266" s="116" t="s">
        <v>20</v>
      </c>
      <c r="D2266" s="116">
        <v>0</v>
      </c>
      <c r="E2266" s="135" t="s">
        <v>558</v>
      </c>
      <c r="F2266" s="136" t="str">
        <f t="shared" si="129"/>
        <v/>
      </c>
      <c r="G2266" s="137" t="e">
        <f>IF(A2266&lt;&gt;"",IF(AND(#REF!="Padrão",$H$4=#REF!),BDI!$B$17,IF(AND(#REF!="Padrão",$H$4=#REF!),BDI!#REF!,IF(AND(#REF!="Diferenciado",$H$4=#REF!),BDI!$E$17,IF(AND(#REF!="Diferenciado",$H$4=#REF!),BDI!#REF!,IF(#REF!="ZERO",0))))),"")</f>
        <v>#REF!</v>
      </c>
      <c r="H2266" s="138" t="str">
        <f t="shared" si="130"/>
        <v/>
      </c>
      <c r="I2266" s="136" t="str">
        <f t="shared" si="131"/>
        <v/>
      </c>
    </row>
    <row r="2267" spans="1:9" hidden="1" x14ac:dyDescent="0.25">
      <c r="A2267" s="114" t="s">
        <v>5986</v>
      </c>
      <c r="B2267" s="115" t="s">
        <v>4754</v>
      </c>
      <c r="C2267" s="116" t="s">
        <v>20</v>
      </c>
      <c r="D2267" s="116">
        <v>0</v>
      </c>
      <c r="E2267" s="135" t="s">
        <v>558</v>
      </c>
      <c r="F2267" s="136" t="str">
        <f t="shared" si="129"/>
        <v/>
      </c>
      <c r="G2267" s="137" t="e">
        <f>IF(A2267&lt;&gt;"",IF(AND(#REF!="Padrão",$H$4=#REF!),BDI!$B$17,IF(AND(#REF!="Padrão",$H$4=#REF!),BDI!#REF!,IF(AND(#REF!="Diferenciado",$H$4=#REF!),BDI!$E$17,IF(AND(#REF!="Diferenciado",$H$4=#REF!),BDI!#REF!,IF(#REF!="ZERO",0))))),"")</f>
        <v>#REF!</v>
      </c>
      <c r="H2267" s="138" t="str">
        <f t="shared" si="130"/>
        <v/>
      </c>
      <c r="I2267" s="136" t="str">
        <f t="shared" si="131"/>
        <v/>
      </c>
    </row>
    <row r="2268" spans="1:9" hidden="1" x14ac:dyDescent="0.25">
      <c r="A2268" s="114" t="s">
        <v>5987</v>
      </c>
      <c r="B2268" s="115" t="s">
        <v>4755</v>
      </c>
      <c r="C2268" s="116" t="s">
        <v>20</v>
      </c>
      <c r="D2268" s="116">
        <v>0</v>
      </c>
      <c r="E2268" s="135" t="s">
        <v>558</v>
      </c>
      <c r="F2268" s="136" t="str">
        <f t="shared" si="129"/>
        <v/>
      </c>
      <c r="G2268" s="137" t="e">
        <f>IF(A2268&lt;&gt;"",IF(AND(#REF!="Padrão",$H$4=#REF!),BDI!$B$17,IF(AND(#REF!="Padrão",$H$4=#REF!),BDI!#REF!,IF(AND(#REF!="Diferenciado",$H$4=#REF!),BDI!$E$17,IF(AND(#REF!="Diferenciado",$H$4=#REF!),BDI!#REF!,IF(#REF!="ZERO",0))))),"")</f>
        <v>#REF!</v>
      </c>
      <c r="H2268" s="138" t="str">
        <f t="shared" si="130"/>
        <v/>
      </c>
      <c r="I2268" s="136" t="str">
        <f t="shared" si="131"/>
        <v/>
      </c>
    </row>
    <row r="2269" spans="1:9" hidden="1" x14ac:dyDescent="0.25">
      <c r="A2269" s="114" t="s">
        <v>5988</v>
      </c>
      <c r="B2269" s="115" t="s">
        <v>4756</v>
      </c>
      <c r="C2269" s="116" t="s">
        <v>20</v>
      </c>
      <c r="D2269" s="116">
        <v>0</v>
      </c>
      <c r="E2269" s="135" t="s">
        <v>558</v>
      </c>
      <c r="F2269" s="136" t="str">
        <f t="shared" si="129"/>
        <v/>
      </c>
      <c r="G2269" s="137" t="e">
        <f>IF(A2269&lt;&gt;"",IF(AND(#REF!="Padrão",$H$4=#REF!),BDI!$B$17,IF(AND(#REF!="Padrão",$H$4=#REF!),BDI!#REF!,IF(AND(#REF!="Diferenciado",$H$4=#REF!),BDI!$E$17,IF(AND(#REF!="Diferenciado",$H$4=#REF!),BDI!#REF!,IF(#REF!="ZERO",0))))),"")</f>
        <v>#REF!</v>
      </c>
      <c r="H2269" s="138" t="str">
        <f t="shared" si="130"/>
        <v/>
      </c>
      <c r="I2269" s="136" t="str">
        <f t="shared" si="131"/>
        <v/>
      </c>
    </row>
    <row r="2270" spans="1:9" hidden="1" x14ac:dyDescent="0.25">
      <c r="A2270" s="114" t="s">
        <v>5989</v>
      </c>
      <c r="B2270" s="115" t="s">
        <v>4757</v>
      </c>
      <c r="C2270" s="116" t="s">
        <v>20</v>
      </c>
      <c r="D2270" s="116">
        <v>0</v>
      </c>
      <c r="E2270" s="135" t="s">
        <v>558</v>
      </c>
      <c r="F2270" s="136" t="str">
        <f t="shared" si="129"/>
        <v/>
      </c>
      <c r="G2270" s="137" t="e">
        <f>IF(A2270&lt;&gt;"",IF(AND(#REF!="Padrão",$H$4=#REF!),BDI!$B$17,IF(AND(#REF!="Padrão",$H$4=#REF!),BDI!#REF!,IF(AND(#REF!="Diferenciado",$H$4=#REF!),BDI!$E$17,IF(AND(#REF!="Diferenciado",$H$4=#REF!),BDI!#REF!,IF(#REF!="ZERO",0))))),"")</f>
        <v>#REF!</v>
      </c>
      <c r="H2270" s="138" t="str">
        <f t="shared" si="130"/>
        <v/>
      </c>
      <c r="I2270" s="136" t="str">
        <f t="shared" si="131"/>
        <v/>
      </c>
    </row>
    <row r="2271" spans="1:9" hidden="1" x14ac:dyDescent="0.25">
      <c r="A2271" s="114" t="s">
        <v>5990</v>
      </c>
      <c r="B2271" s="115" t="s">
        <v>4758</v>
      </c>
      <c r="C2271" s="116" t="s">
        <v>20</v>
      </c>
      <c r="D2271" s="116">
        <v>0</v>
      </c>
      <c r="E2271" s="135" t="s">
        <v>558</v>
      </c>
      <c r="F2271" s="136" t="str">
        <f t="shared" si="129"/>
        <v/>
      </c>
      <c r="G2271" s="137" t="e">
        <f>IF(A2271&lt;&gt;"",IF(AND(#REF!="Padrão",$H$4=#REF!),BDI!$B$17,IF(AND(#REF!="Padrão",$H$4=#REF!),BDI!#REF!,IF(AND(#REF!="Diferenciado",$H$4=#REF!),BDI!$E$17,IF(AND(#REF!="Diferenciado",$H$4=#REF!),BDI!#REF!,IF(#REF!="ZERO",0))))),"")</f>
        <v>#REF!</v>
      </c>
      <c r="H2271" s="138" t="str">
        <f t="shared" si="130"/>
        <v/>
      </c>
      <c r="I2271" s="136" t="str">
        <f t="shared" si="131"/>
        <v/>
      </c>
    </row>
    <row r="2272" spans="1:9" hidden="1" x14ac:dyDescent="0.25">
      <c r="A2272" s="114" t="s">
        <v>5991</v>
      </c>
      <c r="B2272" s="115" t="s">
        <v>4759</v>
      </c>
      <c r="C2272" s="116" t="s">
        <v>20</v>
      </c>
      <c r="D2272" s="116">
        <v>0</v>
      </c>
      <c r="E2272" s="135" t="s">
        <v>558</v>
      </c>
      <c r="F2272" s="136" t="str">
        <f t="shared" si="129"/>
        <v/>
      </c>
      <c r="G2272" s="137" t="e">
        <f>IF(A2272&lt;&gt;"",IF(AND(#REF!="Padrão",$H$4=#REF!),BDI!$B$17,IF(AND(#REF!="Padrão",$H$4=#REF!),BDI!#REF!,IF(AND(#REF!="Diferenciado",$H$4=#REF!),BDI!$E$17,IF(AND(#REF!="Diferenciado",$H$4=#REF!),BDI!#REF!,IF(#REF!="ZERO",0))))),"")</f>
        <v>#REF!</v>
      </c>
      <c r="H2272" s="138" t="str">
        <f t="shared" si="130"/>
        <v/>
      </c>
      <c r="I2272" s="136" t="str">
        <f t="shared" si="131"/>
        <v/>
      </c>
    </row>
    <row r="2273" spans="1:9" hidden="1" x14ac:dyDescent="0.25">
      <c r="A2273" s="114" t="s">
        <v>5992</v>
      </c>
      <c r="B2273" s="115" t="s">
        <v>4760</v>
      </c>
      <c r="C2273" s="116" t="s">
        <v>20</v>
      </c>
      <c r="D2273" s="116">
        <v>0</v>
      </c>
      <c r="E2273" s="135" t="s">
        <v>558</v>
      </c>
      <c r="F2273" s="136" t="str">
        <f t="shared" si="129"/>
        <v/>
      </c>
      <c r="G2273" s="137" t="e">
        <f>IF(A2273&lt;&gt;"",IF(AND(#REF!="Padrão",$H$4=#REF!),BDI!$B$17,IF(AND(#REF!="Padrão",$H$4=#REF!),BDI!#REF!,IF(AND(#REF!="Diferenciado",$H$4=#REF!),BDI!$E$17,IF(AND(#REF!="Diferenciado",$H$4=#REF!),BDI!#REF!,IF(#REF!="ZERO",0))))),"")</f>
        <v>#REF!</v>
      </c>
      <c r="H2273" s="138" t="str">
        <f t="shared" si="130"/>
        <v/>
      </c>
      <c r="I2273" s="136" t="str">
        <f t="shared" si="131"/>
        <v/>
      </c>
    </row>
    <row r="2274" spans="1:9" hidden="1" x14ac:dyDescent="0.25">
      <c r="A2274" s="114" t="s">
        <v>5993</v>
      </c>
      <c r="B2274" s="115" t="s">
        <v>4761</v>
      </c>
      <c r="C2274" s="116" t="s">
        <v>20</v>
      </c>
      <c r="D2274" s="116">
        <v>0</v>
      </c>
      <c r="E2274" s="135" t="s">
        <v>558</v>
      </c>
      <c r="F2274" s="136" t="str">
        <f t="shared" si="129"/>
        <v/>
      </c>
      <c r="G2274" s="137" t="e">
        <f>IF(A2274&lt;&gt;"",IF(AND(#REF!="Padrão",$H$4=#REF!),BDI!$B$17,IF(AND(#REF!="Padrão",$H$4=#REF!),BDI!#REF!,IF(AND(#REF!="Diferenciado",$H$4=#REF!),BDI!$E$17,IF(AND(#REF!="Diferenciado",$H$4=#REF!),BDI!#REF!,IF(#REF!="ZERO",0))))),"")</f>
        <v>#REF!</v>
      </c>
      <c r="H2274" s="138" t="str">
        <f t="shared" si="130"/>
        <v/>
      </c>
      <c r="I2274" s="136" t="str">
        <f t="shared" si="131"/>
        <v/>
      </c>
    </row>
    <row r="2275" spans="1:9" hidden="1" x14ac:dyDescent="0.25">
      <c r="A2275" s="114" t="s">
        <v>5994</v>
      </c>
      <c r="B2275" s="115" t="s">
        <v>4762</v>
      </c>
      <c r="C2275" s="116" t="s">
        <v>20</v>
      </c>
      <c r="D2275" s="116">
        <v>0</v>
      </c>
      <c r="E2275" s="135" t="s">
        <v>558</v>
      </c>
      <c r="F2275" s="136" t="str">
        <f t="shared" si="129"/>
        <v/>
      </c>
      <c r="G2275" s="137" t="e">
        <f>IF(A2275&lt;&gt;"",IF(AND(#REF!="Padrão",$H$4=#REF!),BDI!$B$17,IF(AND(#REF!="Padrão",$H$4=#REF!),BDI!#REF!,IF(AND(#REF!="Diferenciado",$H$4=#REF!),BDI!$E$17,IF(AND(#REF!="Diferenciado",$H$4=#REF!),BDI!#REF!,IF(#REF!="ZERO",0))))),"")</f>
        <v>#REF!</v>
      </c>
      <c r="H2275" s="138" t="str">
        <f t="shared" si="130"/>
        <v/>
      </c>
      <c r="I2275" s="136" t="str">
        <f t="shared" si="131"/>
        <v/>
      </c>
    </row>
    <row r="2276" spans="1:9" hidden="1" x14ac:dyDescent="0.25">
      <c r="A2276" s="114" t="s">
        <v>5995</v>
      </c>
      <c r="B2276" s="115" t="s">
        <v>4763</v>
      </c>
      <c r="C2276" s="116" t="s">
        <v>20</v>
      </c>
      <c r="D2276" s="116">
        <v>0</v>
      </c>
      <c r="E2276" s="135" t="s">
        <v>558</v>
      </c>
      <c r="F2276" s="136" t="str">
        <f t="shared" si="129"/>
        <v/>
      </c>
      <c r="G2276" s="137" t="e">
        <f>IF(A2276&lt;&gt;"",IF(AND(#REF!="Padrão",$H$4=#REF!),BDI!$B$17,IF(AND(#REF!="Padrão",$H$4=#REF!),BDI!#REF!,IF(AND(#REF!="Diferenciado",$H$4=#REF!),BDI!$E$17,IF(AND(#REF!="Diferenciado",$H$4=#REF!),BDI!#REF!,IF(#REF!="ZERO",0))))),"")</f>
        <v>#REF!</v>
      </c>
      <c r="H2276" s="138" t="str">
        <f t="shared" si="130"/>
        <v/>
      </c>
      <c r="I2276" s="136" t="str">
        <f t="shared" si="131"/>
        <v/>
      </c>
    </row>
    <row r="2277" spans="1:9" hidden="1" x14ac:dyDescent="0.25">
      <c r="A2277" s="114" t="s">
        <v>5996</v>
      </c>
      <c r="B2277" s="115" t="s">
        <v>4764</v>
      </c>
      <c r="C2277" s="116" t="s">
        <v>20</v>
      </c>
      <c r="D2277" s="116">
        <v>0</v>
      </c>
      <c r="E2277" s="135" t="s">
        <v>558</v>
      </c>
      <c r="F2277" s="136" t="str">
        <f t="shared" si="129"/>
        <v/>
      </c>
      <c r="G2277" s="137" t="e">
        <f>IF(A2277&lt;&gt;"",IF(AND(#REF!="Padrão",$H$4=#REF!),BDI!$B$17,IF(AND(#REF!="Padrão",$H$4=#REF!),BDI!#REF!,IF(AND(#REF!="Diferenciado",$H$4=#REF!),BDI!$E$17,IF(AND(#REF!="Diferenciado",$H$4=#REF!),BDI!#REF!,IF(#REF!="ZERO",0))))),"")</f>
        <v>#REF!</v>
      </c>
      <c r="H2277" s="138" t="str">
        <f t="shared" si="130"/>
        <v/>
      </c>
      <c r="I2277" s="136" t="str">
        <f t="shared" si="131"/>
        <v/>
      </c>
    </row>
    <row r="2278" spans="1:9" hidden="1" x14ac:dyDescent="0.25">
      <c r="A2278" s="114" t="s">
        <v>5997</v>
      </c>
      <c r="B2278" s="115" t="s">
        <v>4765</v>
      </c>
      <c r="C2278" s="116" t="s">
        <v>20</v>
      </c>
      <c r="D2278" s="116">
        <v>0</v>
      </c>
      <c r="E2278" s="135" t="s">
        <v>558</v>
      </c>
      <c r="F2278" s="136" t="str">
        <f t="shared" si="129"/>
        <v/>
      </c>
      <c r="G2278" s="137" t="e">
        <f>IF(A2278&lt;&gt;"",IF(AND(#REF!="Padrão",$H$4=#REF!),BDI!$B$17,IF(AND(#REF!="Padrão",$H$4=#REF!),BDI!#REF!,IF(AND(#REF!="Diferenciado",$H$4=#REF!),BDI!$E$17,IF(AND(#REF!="Diferenciado",$H$4=#REF!),BDI!#REF!,IF(#REF!="ZERO",0))))),"")</f>
        <v>#REF!</v>
      </c>
      <c r="H2278" s="138" t="str">
        <f t="shared" si="130"/>
        <v/>
      </c>
      <c r="I2278" s="136" t="str">
        <f t="shared" si="131"/>
        <v/>
      </c>
    </row>
    <row r="2279" spans="1:9" hidden="1" x14ac:dyDescent="0.25">
      <c r="A2279" s="114" t="s">
        <v>5998</v>
      </c>
      <c r="B2279" s="115" t="s">
        <v>4766</v>
      </c>
      <c r="C2279" s="116" t="s">
        <v>20</v>
      </c>
      <c r="D2279" s="116">
        <v>0</v>
      </c>
      <c r="E2279" s="135" t="s">
        <v>558</v>
      </c>
      <c r="F2279" s="136" t="str">
        <f t="shared" si="129"/>
        <v/>
      </c>
      <c r="G2279" s="137" t="e">
        <f>IF(A2279&lt;&gt;"",IF(AND(#REF!="Padrão",$H$4=#REF!),BDI!$B$17,IF(AND(#REF!="Padrão",$H$4=#REF!),BDI!#REF!,IF(AND(#REF!="Diferenciado",$H$4=#REF!),BDI!$E$17,IF(AND(#REF!="Diferenciado",$H$4=#REF!),BDI!#REF!,IF(#REF!="ZERO",0))))),"")</f>
        <v>#REF!</v>
      </c>
      <c r="H2279" s="138" t="str">
        <f t="shared" si="130"/>
        <v/>
      </c>
      <c r="I2279" s="136" t="str">
        <f t="shared" si="131"/>
        <v/>
      </c>
    </row>
    <row r="2280" spans="1:9" hidden="1" x14ac:dyDescent="0.25">
      <c r="A2280" s="114" t="s">
        <v>5999</v>
      </c>
      <c r="B2280" s="115" t="s">
        <v>4767</v>
      </c>
      <c r="C2280" s="116" t="s">
        <v>20</v>
      </c>
      <c r="D2280" s="116">
        <v>0</v>
      </c>
      <c r="E2280" s="135" t="s">
        <v>558</v>
      </c>
      <c r="F2280" s="136" t="str">
        <f t="shared" si="129"/>
        <v/>
      </c>
      <c r="G2280" s="137" t="e">
        <f>IF(A2280&lt;&gt;"",IF(AND(#REF!="Padrão",$H$4=#REF!),BDI!$B$17,IF(AND(#REF!="Padrão",$H$4=#REF!),BDI!#REF!,IF(AND(#REF!="Diferenciado",$H$4=#REF!),BDI!$E$17,IF(AND(#REF!="Diferenciado",$H$4=#REF!),BDI!#REF!,IF(#REF!="ZERO",0))))),"")</f>
        <v>#REF!</v>
      </c>
      <c r="H2280" s="138" t="str">
        <f t="shared" si="130"/>
        <v/>
      </c>
      <c r="I2280" s="136" t="str">
        <f t="shared" si="131"/>
        <v/>
      </c>
    </row>
    <row r="2281" spans="1:9" hidden="1" x14ac:dyDescent="0.25">
      <c r="A2281" s="114" t="s">
        <v>6000</v>
      </c>
      <c r="B2281" s="115" t="s">
        <v>4768</v>
      </c>
      <c r="C2281" s="116" t="s">
        <v>20</v>
      </c>
      <c r="D2281" s="116">
        <v>0</v>
      </c>
      <c r="E2281" s="135" t="s">
        <v>558</v>
      </c>
      <c r="F2281" s="136" t="str">
        <f t="shared" si="129"/>
        <v/>
      </c>
      <c r="G2281" s="137" t="e">
        <f>IF(A2281&lt;&gt;"",IF(AND(#REF!="Padrão",$H$4=#REF!),BDI!$B$17,IF(AND(#REF!="Padrão",$H$4=#REF!),BDI!#REF!,IF(AND(#REF!="Diferenciado",$H$4=#REF!),BDI!$E$17,IF(AND(#REF!="Diferenciado",$H$4=#REF!),BDI!#REF!,IF(#REF!="ZERO",0))))),"")</f>
        <v>#REF!</v>
      </c>
      <c r="H2281" s="138" t="str">
        <f t="shared" si="130"/>
        <v/>
      </c>
      <c r="I2281" s="136" t="str">
        <f t="shared" si="131"/>
        <v/>
      </c>
    </row>
    <row r="2282" spans="1:9" hidden="1" x14ac:dyDescent="0.25">
      <c r="A2282" s="114" t="s">
        <v>6001</v>
      </c>
      <c r="B2282" s="115" t="s">
        <v>4769</v>
      </c>
      <c r="C2282" s="116" t="s">
        <v>20</v>
      </c>
      <c r="D2282" s="116">
        <v>0</v>
      </c>
      <c r="E2282" s="135" t="s">
        <v>558</v>
      </c>
      <c r="F2282" s="136" t="str">
        <f t="shared" si="129"/>
        <v/>
      </c>
      <c r="G2282" s="137" t="e">
        <f>IF(A2282&lt;&gt;"",IF(AND(#REF!="Padrão",$H$4=#REF!),BDI!$B$17,IF(AND(#REF!="Padrão",$H$4=#REF!),BDI!#REF!,IF(AND(#REF!="Diferenciado",$H$4=#REF!),BDI!$E$17,IF(AND(#REF!="Diferenciado",$H$4=#REF!),BDI!#REF!,IF(#REF!="ZERO",0))))),"")</f>
        <v>#REF!</v>
      </c>
      <c r="H2282" s="138" t="str">
        <f t="shared" si="130"/>
        <v/>
      </c>
      <c r="I2282" s="136" t="str">
        <f t="shared" si="131"/>
        <v/>
      </c>
    </row>
    <row r="2283" spans="1:9" hidden="1" x14ac:dyDescent="0.25">
      <c r="A2283" s="114" t="s">
        <v>6002</v>
      </c>
      <c r="B2283" s="115" t="s">
        <v>4770</v>
      </c>
      <c r="C2283" s="116" t="s">
        <v>20</v>
      </c>
      <c r="D2283" s="116">
        <v>0</v>
      </c>
      <c r="E2283" s="135" t="s">
        <v>558</v>
      </c>
      <c r="F2283" s="136" t="str">
        <f t="shared" si="129"/>
        <v/>
      </c>
      <c r="G2283" s="137" t="e">
        <f>IF(A2283&lt;&gt;"",IF(AND(#REF!="Padrão",$H$4=#REF!),BDI!$B$17,IF(AND(#REF!="Padrão",$H$4=#REF!),BDI!#REF!,IF(AND(#REF!="Diferenciado",$H$4=#REF!),BDI!$E$17,IF(AND(#REF!="Diferenciado",$H$4=#REF!),BDI!#REF!,IF(#REF!="ZERO",0))))),"")</f>
        <v>#REF!</v>
      </c>
      <c r="H2283" s="138" t="str">
        <f t="shared" si="130"/>
        <v/>
      </c>
      <c r="I2283" s="136" t="str">
        <f t="shared" si="131"/>
        <v/>
      </c>
    </row>
    <row r="2284" spans="1:9" hidden="1" x14ac:dyDescent="0.25">
      <c r="A2284" s="114" t="s">
        <v>6003</v>
      </c>
      <c r="B2284" s="115" t="s">
        <v>4771</v>
      </c>
      <c r="C2284" s="116" t="s">
        <v>6353</v>
      </c>
      <c r="D2284" s="116">
        <v>0</v>
      </c>
      <c r="E2284" s="135" t="s">
        <v>558</v>
      </c>
      <c r="F2284" s="136" t="str">
        <f t="shared" si="129"/>
        <v/>
      </c>
      <c r="G2284" s="137" t="e">
        <f>IF(A2284&lt;&gt;"",IF(AND(#REF!="Padrão",$H$4=#REF!),BDI!$B$17,IF(AND(#REF!="Padrão",$H$4=#REF!),BDI!#REF!,IF(AND(#REF!="Diferenciado",$H$4=#REF!),BDI!$E$17,IF(AND(#REF!="Diferenciado",$H$4=#REF!),BDI!#REF!,IF(#REF!="ZERO",0))))),"")</f>
        <v>#REF!</v>
      </c>
      <c r="H2284" s="138" t="str">
        <f t="shared" si="130"/>
        <v/>
      </c>
      <c r="I2284" s="136" t="str">
        <f t="shared" si="131"/>
        <v/>
      </c>
    </row>
    <row r="2285" spans="1:9" hidden="1" x14ac:dyDescent="0.25">
      <c r="A2285" s="114" t="s">
        <v>6004</v>
      </c>
      <c r="B2285" s="115" t="s">
        <v>4772</v>
      </c>
      <c r="C2285" s="116" t="s">
        <v>20</v>
      </c>
      <c r="D2285" s="116">
        <v>0</v>
      </c>
      <c r="E2285" s="135" t="s">
        <v>558</v>
      </c>
      <c r="F2285" s="136" t="str">
        <f t="shared" ref="F2285:F2348" si="132">IF(ISNUMBER(E2285),D2285*E2285,"")</f>
        <v/>
      </c>
      <c r="G2285" s="137" t="e">
        <f>IF(A2285&lt;&gt;"",IF(AND(#REF!="Padrão",$H$4=#REF!),BDI!$B$17,IF(AND(#REF!="Padrão",$H$4=#REF!),BDI!#REF!,IF(AND(#REF!="Diferenciado",$H$4=#REF!),BDI!$E$17,IF(AND(#REF!="Diferenciado",$H$4=#REF!),BDI!#REF!,IF(#REF!="ZERO",0))))),"")</f>
        <v>#REF!</v>
      </c>
      <c r="H2285" s="138" t="str">
        <f t="shared" ref="H2285:H2348" si="133">IF(ISNUMBER(E2285),ROUND(E2285*(1+G2285),2),"")</f>
        <v/>
      </c>
      <c r="I2285" s="136" t="str">
        <f t="shared" ref="I2285:I2348" si="134">IF(ISNUMBER(E2285),ROUND(H2285*D2285,2),"")</f>
        <v/>
      </c>
    </row>
    <row r="2286" spans="1:9" hidden="1" x14ac:dyDescent="0.25">
      <c r="A2286" s="114" t="s">
        <v>6005</v>
      </c>
      <c r="B2286" s="115" t="s">
        <v>4773</v>
      </c>
      <c r="C2286" s="116" t="s">
        <v>20</v>
      </c>
      <c r="D2286" s="116">
        <v>0</v>
      </c>
      <c r="E2286" s="135" t="s">
        <v>558</v>
      </c>
      <c r="F2286" s="136" t="str">
        <f t="shared" si="132"/>
        <v/>
      </c>
      <c r="G2286" s="137" t="e">
        <f>IF(A2286&lt;&gt;"",IF(AND(#REF!="Padrão",$H$4=#REF!),BDI!$B$17,IF(AND(#REF!="Padrão",$H$4=#REF!),BDI!#REF!,IF(AND(#REF!="Diferenciado",$H$4=#REF!),BDI!$E$17,IF(AND(#REF!="Diferenciado",$H$4=#REF!),BDI!#REF!,IF(#REF!="ZERO",0))))),"")</f>
        <v>#REF!</v>
      </c>
      <c r="H2286" s="138" t="str">
        <f t="shared" si="133"/>
        <v/>
      </c>
      <c r="I2286" s="136" t="str">
        <f t="shared" si="134"/>
        <v/>
      </c>
    </row>
    <row r="2287" spans="1:9" hidden="1" x14ac:dyDescent="0.25">
      <c r="A2287" s="114" t="s">
        <v>6006</v>
      </c>
      <c r="B2287" s="115" t="s">
        <v>4774</v>
      </c>
      <c r="C2287" s="116" t="s">
        <v>20</v>
      </c>
      <c r="D2287" s="116">
        <v>0</v>
      </c>
      <c r="E2287" s="135" t="s">
        <v>558</v>
      </c>
      <c r="F2287" s="136" t="str">
        <f t="shared" si="132"/>
        <v/>
      </c>
      <c r="G2287" s="137" t="e">
        <f>IF(A2287&lt;&gt;"",IF(AND(#REF!="Padrão",$H$4=#REF!),BDI!$B$17,IF(AND(#REF!="Padrão",$H$4=#REF!),BDI!#REF!,IF(AND(#REF!="Diferenciado",$H$4=#REF!),BDI!$E$17,IF(AND(#REF!="Diferenciado",$H$4=#REF!),BDI!#REF!,IF(#REF!="ZERO",0))))),"")</f>
        <v>#REF!</v>
      </c>
      <c r="H2287" s="138" t="str">
        <f t="shared" si="133"/>
        <v/>
      </c>
      <c r="I2287" s="136" t="str">
        <f t="shared" si="134"/>
        <v/>
      </c>
    </row>
    <row r="2288" spans="1:9" hidden="1" x14ac:dyDescent="0.25">
      <c r="A2288" s="114" t="s">
        <v>6007</v>
      </c>
      <c r="B2288" s="115" t="s">
        <v>4775</v>
      </c>
      <c r="C2288" s="116" t="s">
        <v>20</v>
      </c>
      <c r="D2288" s="116">
        <v>0</v>
      </c>
      <c r="E2288" s="135" t="s">
        <v>558</v>
      </c>
      <c r="F2288" s="136" t="str">
        <f t="shared" si="132"/>
        <v/>
      </c>
      <c r="G2288" s="137" t="e">
        <f>IF(A2288&lt;&gt;"",IF(AND(#REF!="Padrão",$H$4=#REF!),BDI!$B$17,IF(AND(#REF!="Padrão",$H$4=#REF!),BDI!#REF!,IF(AND(#REF!="Diferenciado",$H$4=#REF!),BDI!$E$17,IF(AND(#REF!="Diferenciado",$H$4=#REF!),BDI!#REF!,IF(#REF!="ZERO",0))))),"")</f>
        <v>#REF!</v>
      </c>
      <c r="H2288" s="138" t="str">
        <f t="shared" si="133"/>
        <v/>
      </c>
      <c r="I2288" s="136" t="str">
        <f t="shared" si="134"/>
        <v/>
      </c>
    </row>
    <row r="2289" spans="1:9" hidden="1" x14ac:dyDescent="0.25">
      <c r="A2289" s="114" t="s">
        <v>6008</v>
      </c>
      <c r="B2289" s="115" t="s">
        <v>4776</v>
      </c>
      <c r="C2289" s="116" t="s">
        <v>20</v>
      </c>
      <c r="D2289" s="116">
        <v>0</v>
      </c>
      <c r="E2289" s="135" t="s">
        <v>558</v>
      </c>
      <c r="F2289" s="136" t="str">
        <f t="shared" si="132"/>
        <v/>
      </c>
      <c r="G2289" s="137" t="e">
        <f>IF(A2289&lt;&gt;"",IF(AND(#REF!="Padrão",$H$4=#REF!),BDI!$B$17,IF(AND(#REF!="Padrão",$H$4=#REF!),BDI!#REF!,IF(AND(#REF!="Diferenciado",$H$4=#REF!),BDI!$E$17,IF(AND(#REF!="Diferenciado",$H$4=#REF!),BDI!#REF!,IF(#REF!="ZERO",0))))),"")</f>
        <v>#REF!</v>
      </c>
      <c r="H2289" s="138" t="str">
        <f t="shared" si="133"/>
        <v/>
      </c>
      <c r="I2289" s="136" t="str">
        <f t="shared" si="134"/>
        <v/>
      </c>
    </row>
    <row r="2290" spans="1:9" hidden="1" x14ac:dyDescent="0.25">
      <c r="A2290" s="114" t="s">
        <v>6009</v>
      </c>
      <c r="B2290" s="115" t="s">
        <v>4777</v>
      </c>
      <c r="C2290" s="116" t="s">
        <v>20</v>
      </c>
      <c r="D2290" s="116">
        <v>0</v>
      </c>
      <c r="E2290" s="135">
        <f ca="1">OFFSET(INDEX(Composições!A:J,MATCH(Orçamentária!A2290,Composições!A:A,0),8),2,0)</f>
        <v>18.5535</v>
      </c>
      <c r="F2290" s="136">
        <f t="shared" ca="1" si="132"/>
        <v>0</v>
      </c>
      <c r="G2290" s="137" t="e">
        <f>IF(A2290&lt;&gt;"",IF(AND(#REF!="Padrão",$H$4=#REF!),BDI!$B$17,IF(AND(#REF!="Padrão",$H$4=#REF!),BDI!#REF!,IF(AND(#REF!="Diferenciado",$H$4=#REF!),BDI!$E$17,IF(AND(#REF!="Diferenciado",$H$4=#REF!),BDI!#REF!,IF(#REF!="ZERO",0))))),"")</f>
        <v>#REF!</v>
      </c>
      <c r="H2290" s="138" t="e">
        <f t="shared" ca="1" si="133"/>
        <v>#REF!</v>
      </c>
      <c r="I2290" s="136" t="e">
        <f t="shared" ca="1" si="134"/>
        <v>#REF!</v>
      </c>
    </row>
    <row r="2291" spans="1:9" hidden="1" x14ac:dyDescent="0.25">
      <c r="A2291" s="114" t="s">
        <v>6010</v>
      </c>
      <c r="B2291" s="115" t="s">
        <v>4778</v>
      </c>
      <c r="C2291" s="116" t="s">
        <v>20</v>
      </c>
      <c r="D2291" s="116">
        <v>0</v>
      </c>
      <c r="E2291" s="135" t="s">
        <v>558</v>
      </c>
      <c r="F2291" s="136" t="str">
        <f t="shared" si="132"/>
        <v/>
      </c>
      <c r="G2291" s="137" t="e">
        <f>IF(A2291&lt;&gt;"",IF(AND(#REF!="Padrão",$H$4=#REF!),BDI!$B$17,IF(AND(#REF!="Padrão",$H$4=#REF!),BDI!#REF!,IF(AND(#REF!="Diferenciado",$H$4=#REF!),BDI!$E$17,IF(AND(#REF!="Diferenciado",$H$4=#REF!),BDI!#REF!,IF(#REF!="ZERO",0))))),"")</f>
        <v>#REF!</v>
      </c>
      <c r="H2291" s="138" t="str">
        <f t="shared" si="133"/>
        <v/>
      </c>
      <c r="I2291" s="136" t="str">
        <f t="shared" si="134"/>
        <v/>
      </c>
    </row>
    <row r="2292" spans="1:9" hidden="1" x14ac:dyDescent="0.25">
      <c r="A2292" s="114" t="s">
        <v>6011</v>
      </c>
      <c r="B2292" s="115" t="s">
        <v>4779</v>
      </c>
      <c r="C2292" s="116" t="s">
        <v>20</v>
      </c>
      <c r="D2292" s="116">
        <v>0</v>
      </c>
      <c r="E2292" s="135" t="s">
        <v>558</v>
      </c>
      <c r="F2292" s="136" t="str">
        <f t="shared" si="132"/>
        <v/>
      </c>
      <c r="G2292" s="137" t="e">
        <f>IF(A2292&lt;&gt;"",IF(AND(#REF!="Padrão",$H$4=#REF!),BDI!$B$17,IF(AND(#REF!="Padrão",$H$4=#REF!),BDI!#REF!,IF(AND(#REF!="Diferenciado",$H$4=#REF!),BDI!$E$17,IF(AND(#REF!="Diferenciado",$H$4=#REF!),BDI!#REF!,IF(#REF!="ZERO",0))))),"")</f>
        <v>#REF!</v>
      </c>
      <c r="H2292" s="138" t="str">
        <f t="shared" si="133"/>
        <v/>
      </c>
      <c r="I2292" s="136" t="str">
        <f t="shared" si="134"/>
        <v/>
      </c>
    </row>
    <row r="2293" spans="1:9" hidden="1" x14ac:dyDescent="0.25">
      <c r="A2293" s="114" t="s">
        <v>6012</v>
      </c>
      <c r="B2293" s="115" t="s">
        <v>4780</v>
      </c>
      <c r="C2293" s="116" t="s">
        <v>20</v>
      </c>
      <c r="D2293" s="116">
        <v>0</v>
      </c>
      <c r="E2293" s="135" t="s">
        <v>558</v>
      </c>
      <c r="F2293" s="136" t="str">
        <f t="shared" si="132"/>
        <v/>
      </c>
      <c r="G2293" s="137" t="e">
        <f>IF(A2293&lt;&gt;"",IF(AND(#REF!="Padrão",$H$4=#REF!),BDI!$B$17,IF(AND(#REF!="Padrão",$H$4=#REF!),BDI!#REF!,IF(AND(#REF!="Diferenciado",$H$4=#REF!),BDI!$E$17,IF(AND(#REF!="Diferenciado",$H$4=#REF!),BDI!#REF!,IF(#REF!="ZERO",0))))),"")</f>
        <v>#REF!</v>
      </c>
      <c r="H2293" s="138" t="str">
        <f t="shared" si="133"/>
        <v/>
      </c>
      <c r="I2293" s="136" t="str">
        <f t="shared" si="134"/>
        <v/>
      </c>
    </row>
    <row r="2294" spans="1:9" hidden="1" x14ac:dyDescent="0.25">
      <c r="A2294" s="114" t="s">
        <v>6013</v>
      </c>
      <c r="B2294" s="115" t="s">
        <v>4781</v>
      </c>
      <c r="C2294" s="116" t="s">
        <v>93</v>
      </c>
      <c r="D2294" s="116">
        <v>0</v>
      </c>
      <c r="E2294" s="135" t="s">
        <v>558</v>
      </c>
      <c r="F2294" s="136" t="str">
        <f t="shared" si="132"/>
        <v/>
      </c>
      <c r="G2294" s="137" t="e">
        <f>IF(A2294&lt;&gt;"",IF(AND(#REF!="Padrão",$H$4=#REF!),BDI!$B$17,IF(AND(#REF!="Padrão",$H$4=#REF!),BDI!#REF!,IF(AND(#REF!="Diferenciado",$H$4=#REF!),BDI!$E$17,IF(AND(#REF!="Diferenciado",$H$4=#REF!),BDI!#REF!,IF(#REF!="ZERO",0))))),"")</f>
        <v>#REF!</v>
      </c>
      <c r="H2294" s="138" t="str">
        <f t="shared" si="133"/>
        <v/>
      </c>
      <c r="I2294" s="136" t="str">
        <f t="shared" si="134"/>
        <v/>
      </c>
    </row>
    <row r="2295" spans="1:9" hidden="1" x14ac:dyDescent="0.25">
      <c r="A2295" s="114" t="s">
        <v>6014</v>
      </c>
      <c r="B2295" s="115" t="s">
        <v>4782</v>
      </c>
      <c r="C2295" s="116" t="s">
        <v>20</v>
      </c>
      <c r="D2295" s="116">
        <v>0</v>
      </c>
      <c r="E2295" s="135">
        <f ca="1">OFFSET(INDEX(Composições!A:J,MATCH(Orçamentária!A2295,Composições!A:A,0),8),2,0)</f>
        <v>97.678999999999988</v>
      </c>
      <c r="F2295" s="136">
        <f t="shared" ca="1" si="132"/>
        <v>0</v>
      </c>
      <c r="G2295" s="137" t="e">
        <f>IF(A2295&lt;&gt;"",IF(AND(#REF!="Padrão",$H$4=#REF!),BDI!$B$17,IF(AND(#REF!="Padrão",$H$4=#REF!),BDI!#REF!,IF(AND(#REF!="Diferenciado",$H$4=#REF!),BDI!$E$17,IF(AND(#REF!="Diferenciado",$H$4=#REF!),BDI!#REF!,IF(#REF!="ZERO",0))))),"")</f>
        <v>#REF!</v>
      </c>
      <c r="H2295" s="138" t="e">
        <f t="shared" ca="1" si="133"/>
        <v>#REF!</v>
      </c>
      <c r="I2295" s="136" t="e">
        <f t="shared" ca="1" si="134"/>
        <v>#REF!</v>
      </c>
    </row>
    <row r="2296" spans="1:9" hidden="1" x14ac:dyDescent="0.25">
      <c r="A2296" s="114" t="s">
        <v>6015</v>
      </c>
      <c r="B2296" s="115" t="s">
        <v>4783</v>
      </c>
      <c r="C2296" s="116" t="s">
        <v>20</v>
      </c>
      <c r="D2296" s="116">
        <v>0</v>
      </c>
      <c r="E2296" s="135" t="s">
        <v>558</v>
      </c>
      <c r="F2296" s="136" t="str">
        <f t="shared" si="132"/>
        <v/>
      </c>
      <c r="G2296" s="137" t="e">
        <f>IF(A2296&lt;&gt;"",IF(AND(#REF!="Padrão",$H$4=#REF!),BDI!$B$17,IF(AND(#REF!="Padrão",$H$4=#REF!),BDI!#REF!,IF(AND(#REF!="Diferenciado",$H$4=#REF!),BDI!$E$17,IF(AND(#REF!="Diferenciado",$H$4=#REF!),BDI!#REF!,IF(#REF!="ZERO",0))))),"")</f>
        <v>#REF!</v>
      </c>
      <c r="H2296" s="138" t="str">
        <f t="shared" si="133"/>
        <v/>
      </c>
      <c r="I2296" s="136" t="str">
        <f t="shared" si="134"/>
        <v/>
      </c>
    </row>
    <row r="2297" spans="1:9" hidden="1" x14ac:dyDescent="0.25">
      <c r="A2297" s="114" t="s">
        <v>6016</v>
      </c>
      <c r="B2297" s="115" t="s">
        <v>4784</v>
      </c>
      <c r="C2297" s="116" t="s">
        <v>20</v>
      </c>
      <c r="D2297" s="116">
        <v>0</v>
      </c>
      <c r="E2297" s="135" t="s">
        <v>558</v>
      </c>
      <c r="F2297" s="136" t="str">
        <f t="shared" si="132"/>
        <v/>
      </c>
      <c r="G2297" s="137" t="e">
        <f>IF(A2297&lt;&gt;"",IF(AND(#REF!="Padrão",$H$4=#REF!),BDI!$B$17,IF(AND(#REF!="Padrão",$H$4=#REF!),BDI!#REF!,IF(AND(#REF!="Diferenciado",$H$4=#REF!),BDI!$E$17,IF(AND(#REF!="Diferenciado",$H$4=#REF!),BDI!#REF!,IF(#REF!="ZERO",0))))),"")</f>
        <v>#REF!</v>
      </c>
      <c r="H2297" s="138" t="str">
        <f t="shared" si="133"/>
        <v/>
      </c>
      <c r="I2297" s="136" t="str">
        <f t="shared" si="134"/>
        <v/>
      </c>
    </row>
    <row r="2298" spans="1:9" hidden="1" x14ac:dyDescent="0.25">
      <c r="A2298" s="114" t="s">
        <v>6017</v>
      </c>
      <c r="B2298" s="115" t="s">
        <v>4785</v>
      </c>
      <c r="C2298" s="116" t="s">
        <v>20</v>
      </c>
      <c r="D2298" s="116">
        <v>0</v>
      </c>
      <c r="E2298" s="135" t="s">
        <v>558</v>
      </c>
      <c r="F2298" s="136" t="str">
        <f t="shared" si="132"/>
        <v/>
      </c>
      <c r="G2298" s="137" t="e">
        <f>IF(A2298&lt;&gt;"",IF(AND(#REF!="Padrão",$H$4=#REF!),BDI!$B$17,IF(AND(#REF!="Padrão",$H$4=#REF!),BDI!#REF!,IF(AND(#REF!="Diferenciado",$H$4=#REF!),BDI!$E$17,IF(AND(#REF!="Diferenciado",$H$4=#REF!),BDI!#REF!,IF(#REF!="ZERO",0))))),"")</f>
        <v>#REF!</v>
      </c>
      <c r="H2298" s="138" t="str">
        <f t="shared" si="133"/>
        <v/>
      </c>
      <c r="I2298" s="136" t="str">
        <f t="shared" si="134"/>
        <v/>
      </c>
    </row>
    <row r="2299" spans="1:9" hidden="1" x14ac:dyDescent="0.25">
      <c r="A2299" s="114" t="s">
        <v>6018</v>
      </c>
      <c r="B2299" s="115" t="s">
        <v>4786</v>
      </c>
      <c r="C2299" s="116" t="s">
        <v>20</v>
      </c>
      <c r="D2299" s="116">
        <v>0</v>
      </c>
      <c r="E2299" s="135">
        <f ca="1">OFFSET(INDEX(Composições!A:J,MATCH(Orçamentária!A2299,Composições!A:A,0),8),2,0)</f>
        <v>168.321</v>
      </c>
      <c r="F2299" s="136">
        <f t="shared" ca="1" si="132"/>
        <v>0</v>
      </c>
      <c r="G2299" s="137" t="e">
        <f>IF(A2299&lt;&gt;"",IF(AND(#REF!="Padrão",$H$4=#REF!),BDI!$B$17,IF(AND(#REF!="Padrão",$H$4=#REF!),BDI!#REF!,IF(AND(#REF!="Diferenciado",$H$4=#REF!),BDI!$E$17,IF(AND(#REF!="Diferenciado",$H$4=#REF!),BDI!#REF!,IF(#REF!="ZERO",0))))),"")</f>
        <v>#REF!</v>
      </c>
      <c r="H2299" s="138" t="e">
        <f t="shared" ca="1" si="133"/>
        <v>#REF!</v>
      </c>
      <c r="I2299" s="136" t="e">
        <f t="shared" ca="1" si="134"/>
        <v>#REF!</v>
      </c>
    </row>
    <row r="2300" spans="1:9" hidden="1" x14ac:dyDescent="0.25">
      <c r="A2300" s="114" t="s">
        <v>6019</v>
      </c>
      <c r="B2300" s="115" t="s">
        <v>4787</v>
      </c>
      <c r="C2300" s="116" t="s">
        <v>20</v>
      </c>
      <c r="D2300" s="116">
        <v>0</v>
      </c>
      <c r="E2300" s="135" t="s">
        <v>558</v>
      </c>
      <c r="F2300" s="136" t="str">
        <f t="shared" si="132"/>
        <v/>
      </c>
      <c r="G2300" s="137" t="e">
        <f>IF(A2300&lt;&gt;"",IF(AND(#REF!="Padrão",$H$4=#REF!),BDI!$B$17,IF(AND(#REF!="Padrão",$H$4=#REF!),BDI!#REF!,IF(AND(#REF!="Diferenciado",$H$4=#REF!),BDI!$E$17,IF(AND(#REF!="Diferenciado",$H$4=#REF!),BDI!#REF!,IF(#REF!="ZERO",0))))),"")</f>
        <v>#REF!</v>
      </c>
      <c r="H2300" s="138" t="str">
        <f t="shared" si="133"/>
        <v/>
      </c>
      <c r="I2300" s="136" t="str">
        <f t="shared" si="134"/>
        <v/>
      </c>
    </row>
    <row r="2301" spans="1:9" hidden="1" x14ac:dyDescent="0.25">
      <c r="A2301" s="114" t="s">
        <v>6020</v>
      </c>
      <c r="B2301" s="115" t="s">
        <v>4788</v>
      </c>
      <c r="C2301" s="116" t="s">
        <v>20</v>
      </c>
      <c r="D2301" s="116">
        <v>0</v>
      </c>
      <c r="E2301" s="135" t="s">
        <v>558</v>
      </c>
      <c r="F2301" s="136" t="str">
        <f t="shared" si="132"/>
        <v/>
      </c>
      <c r="G2301" s="137" t="e">
        <f>IF(A2301&lt;&gt;"",IF(AND(#REF!="Padrão",$H$4=#REF!),BDI!$B$17,IF(AND(#REF!="Padrão",$H$4=#REF!),BDI!#REF!,IF(AND(#REF!="Diferenciado",$H$4=#REF!),BDI!$E$17,IF(AND(#REF!="Diferenciado",$H$4=#REF!),BDI!#REF!,IF(#REF!="ZERO",0))))),"")</f>
        <v>#REF!</v>
      </c>
      <c r="H2301" s="138" t="str">
        <f t="shared" si="133"/>
        <v/>
      </c>
      <c r="I2301" s="136" t="str">
        <f t="shared" si="134"/>
        <v/>
      </c>
    </row>
    <row r="2302" spans="1:9" hidden="1" x14ac:dyDescent="0.25">
      <c r="A2302" s="114" t="s">
        <v>6021</v>
      </c>
      <c r="B2302" s="115" t="s">
        <v>4789</v>
      </c>
      <c r="C2302" s="116" t="s">
        <v>20</v>
      </c>
      <c r="D2302" s="116">
        <v>0</v>
      </c>
      <c r="E2302" s="135" t="s">
        <v>558</v>
      </c>
      <c r="F2302" s="136" t="str">
        <f t="shared" si="132"/>
        <v/>
      </c>
      <c r="G2302" s="137" t="e">
        <f>IF(A2302&lt;&gt;"",IF(AND(#REF!="Padrão",$H$4=#REF!),BDI!$B$17,IF(AND(#REF!="Padrão",$H$4=#REF!),BDI!#REF!,IF(AND(#REF!="Diferenciado",$H$4=#REF!),BDI!$E$17,IF(AND(#REF!="Diferenciado",$H$4=#REF!),BDI!#REF!,IF(#REF!="ZERO",0))))),"")</f>
        <v>#REF!</v>
      </c>
      <c r="H2302" s="138" t="str">
        <f t="shared" si="133"/>
        <v/>
      </c>
      <c r="I2302" s="136" t="str">
        <f t="shared" si="134"/>
        <v/>
      </c>
    </row>
    <row r="2303" spans="1:9" hidden="1" x14ac:dyDescent="0.25">
      <c r="A2303" s="114" t="s">
        <v>6022</v>
      </c>
      <c r="B2303" s="115" t="s">
        <v>4790</v>
      </c>
      <c r="C2303" s="116" t="s">
        <v>20</v>
      </c>
      <c r="D2303" s="116">
        <v>0</v>
      </c>
      <c r="E2303" s="135" t="s">
        <v>558</v>
      </c>
      <c r="F2303" s="136" t="str">
        <f t="shared" si="132"/>
        <v/>
      </c>
      <c r="G2303" s="137" t="e">
        <f>IF(A2303&lt;&gt;"",IF(AND(#REF!="Padrão",$H$4=#REF!),BDI!$B$17,IF(AND(#REF!="Padrão",$H$4=#REF!),BDI!#REF!,IF(AND(#REF!="Diferenciado",$H$4=#REF!),BDI!$E$17,IF(AND(#REF!="Diferenciado",$H$4=#REF!),BDI!#REF!,IF(#REF!="ZERO",0))))),"")</f>
        <v>#REF!</v>
      </c>
      <c r="H2303" s="138" t="str">
        <f t="shared" si="133"/>
        <v/>
      </c>
      <c r="I2303" s="136" t="str">
        <f t="shared" si="134"/>
        <v/>
      </c>
    </row>
    <row r="2304" spans="1:9" hidden="1" x14ac:dyDescent="0.25">
      <c r="A2304" s="114" t="s">
        <v>6023</v>
      </c>
      <c r="B2304" s="115" t="s">
        <v>4791</v>
      </c>
      <c r="C2304" s="116" t="s">
        <v>20</v>
      </c>
      <c r="D2304" s="116">
        <v>0</v>
      </c>
      <c r="E2304" s="135" t="s">
        <v>558</v>
      </c>
      <c r="F2304" s="136" t="str">
        <f t="shared" si="132"/>
        <v/>
      </c>
      <c r="G2304" s="137" t="e">
        <f>IF(A2304&lt;&gt;"",IF(AND(#REF!="Padrão",$H$4=#REF!),BDI!$B$17,IF(AND(#REF!="Padrão",$H$4=#REF!),BDI!#REF!,IF(AND(#REF!="Diferenciado",$H$4=#REF!),BDI!$E$17,IF(AND(#REF!="Diferenciado",$H$4=#REF!),BDI!#REF!,IF(#REF!="ZERO",0))))),"")</f>
        <v>#REF!</v>
      </c>
      <c r="H2304" s="138" t="str">
        <f t="shared" si="133"/>
        <v/>
      </c>
      <c r="I2304" s="136" t="str">
        <f t="shared" si="134"/>
        <v/>
      </c>
    </row>
    <row r="2305" spans="1:9" hidden="1" x14ac:dyDescent="0.25">
      <c r="A2305" s="114" t="s">
        <v>6024</v>
      </c>
      <c r="B2305" s="115" t="s">
        <v>4792</v>
      </c>
      <c r="C2305" s="116" t="s">
        <v>20</v>
      </c>
      <c r="D2305" s="116">
        <v>0</v>
      </c>
      <c r="E2305" s="135" t="s">
        <v>558</v>
      </c>
      <c r="F2305" s="136" t="str">
        <f t="shared" si="132"/>
        <v/>
      </c>
      <c r="G2305" s="137" t="e">
        <f>IF(A2305&lt;&gt;"",IF(AND(#REF!="Padrão",$H$4=#REF!),BDI!$B$17,IF(AND(#REF!="Padrão",$H$4=#REF!),BDI!#REF!,IF(AND(#REF!="Diferenciado",$H$4=#REF!),BDI!$E$17,IF(AND(#REF!="Diferenciado",$H$4=#REF!),BDI!#REF!,IF(#REF!="ZERO",0))))),"")</f>
        <v>#REF!</v>
      </c>
      <c r="H2305" s="138" t="str">
        <f t="shared" si="133"/>
        <v/>
      </c>
      <c r="I2305" s="136" t="str">
        <f t="shared" si="134"/>
        <v/>
      </c>
    </row>
    <row r="2306" spans="1:9" hidden="1" x14ac:dyDescent="0.25">
      <c r="A2306" s="114" t="s">
        <v>6025</v>
      </c>
      <c r="B2306" s="115" t="s">
        <v>4793</v>
      </c>
      <c r="C2306" s="116" t="s">
        <v>20</v>
      </c>
      <c r="D2306" s="116">
        <v>0</v>
      </c>
      <c r="E2306" s="135" t="s">
        <v>558</v>
      </c>
      <c r="F2306" s="136" t="str">
        <f t="shared" si="132"/>
        <v/>
      </c>
      <c r="G2306" s="137" t="e">
        <f>IF(A2306&lt;&gt;"",IF(AND(#REF!="Padrão",$H$4=#REF!),BDI!$B$17,IF(AND(#REF!="Padrão",$H$4=#REF!),BDI!#REF!,IF(AND(#REF!="Diferenciado",$H$4=#REF!),BDI!$E$17,IF(AND(#REF!="Diferenciado",$H$4=#REF!),BDI!#REF!,IF(#REF!="ZERO",0))))),"")</f>
        <v>#REF!</v>
      </c>
      <c r="H2306" s="138" t="str">
        <f t="shared" si="133"/>
        <v/>
      </c>
      <c r="I2306" s="136" t="str">
        <f t="shared" si="134"/>
        <v/>
      </c>
    </row>
    <row r="2307" spans="1:9" hidden="1" x14ac:dyDescent="0.25">
      <c r="A2307" s="114" t="s">
        <v>6026</v>
      </c>
      <c r="B2307" s="115" t="s">
        <v>4794</v>
      </c>
      <c r="C2307" s="116" t="s">
        <v>20</v>
      </c>
      <c r="D2307" s="116">
        <v>0</v>
      </c>
      <c r="E2307" s="135" t="s">
        <v>558</v>
      </c>
      <c r="F2307" s="136" t="str">
        <f t="shared" si="132"/>
        <v/>
      </c>
      <c r="G2307" s="137" t="e">
        <f>IF(A2307&lt;&gt;"",IF(AND(#REF!="Padrão",$H$4=#REF!),BDI!$B$17,IF(AND(#REF!="Padrão",$H$4=#REF!),BDI!#REF!,IF(AND(#REF!="Diferenciado",$H$4=#REF!),BDI!$E$17,IF(AND(#REF!="Diferenciado",$H$4=#REF!),BDI!#REF!,IF(#REF!="ZERO",0))))),"")</f>
        <v>#REF!</v>
      </c>
      <c r="H2307" s="138" t="str">
        <f t="shared" si="133"/>
        <v/>
      </c>
      <c r="I2307" s="136" t="str">
        <f t="shared" si="134"/>
        <v/>
      </c>
    </row>
    <row r="2308" spans="1:9" hidden="1" x14ac:dyDescent="0.25">
      <c r="A2308" s="114" t="s">
        <v>6027</v>
      </c>
      <c r="B2308" s="115" t="s">
        <v>4795</v>
      </c>
      <c r="C2308" s="116" t="s">
        <v>20</v>
      </c>
      <c r="D2308" s="116">
        <v>0</v>
      </c>
      <c r="E2308" s="135" t="s">
        <v>558</v>
      </c>
      <c r="F2308" s="136" t="str">
        <f t="shared" si="132"/>
        <v/>
      </c>
      <c r="G2308" s="137" t="e">
        <f>IF(A2308&lt;&gt;"",IF(AND(#REF!="Padrão",$H$4=#REF!),BDI!$B$17,IF(AND(#REF!="Padrão",$H$4=#REF!),BDI!#REF!,IF(AND(#REF!="Diferenciado",$H$4=#REF!),BDI!$E$17,IF(AND(#REF!="Diferenciado",$H$4=#REF!),BDI!#REF!,IF(#REF!="ZERO",0))))),"")</f>
        <v>#REF!</v>
      </c>
      <c r="H2308" s="138" t="str">
        <f t="shared" si="133"/>
        <v/>
      </c>
      <c r="I2308" s="136" t="str">
        <f t="shared" si="134"/>
        <v/>
      </c>
    </row>
    <row r="2309" spans="1:9" hidden="1" x14ac:dyDescent="0.25">
      <c r="A2309" s="114" t="s">
        <v>6028</v>
      </c>
      <c r="B2309" s="115" t="s">
        <v>4796</v>
      </c>
      <c r="C2309" s="116" t="s">
        <v>20</v>
      </c>
      <c r="D2309" s="116">
        <v>0</v>
      </c>
      <c r="E2309" s="135" t="s">
        <v>558</v>
      </c>
      <c r="F2309" s="136" t="str">
        <f t="shared" si="132"/>
        <v/>
      </c>
      <c r="G2309" s="137" t="e">
        <f>IF(A2309&lt;&gt;"",IF(AND(#REF!="Padrão",$H$4=#REF!),BDI!$B$17,IF(AND(#REF!="Padrão",$H$4=#REF!),BDI!#REF!,IF(AND(#REF!="Diferenciado",$H$4=#REF!),BDI!$E$17,IF(AND(#REF!="Diferenciado",$H$4=#REF!),BDI!#REF!,IF(#REF!="ZERO",0))))),"")</f>
        <v>#REF!</v>
      </c>
      <c r="H2309" s="138" t="str">
        <f t="shared" si="133"/>
        <v/>
      </c>
      <c r="I2309" s="136" t="str">
        <f t="shared" si="134"/>
        <v/>
      </c>
    </row>
    <row r="2310" spans="1:9" hidden="1" x14ac:dyDescent="0.25">
      <c r="A2310" s="114" t="s">
        <v>6029</v>
      </c>
      <c r="B2310" s="115" t="s">
        <v>4797</v>
      </c>
      <c r="C2310" s="116" t="s">
        <v>20</v>
      </c>
      <c r="D2310" s="116">
        <v>0</v>
      </c>
      <c r="E2310" s="135" t="s">
        <v>558</v>
      </c>
      <c r="F2310" s="136" t="str">
        <f t="shared" si="132"/>
        <v/>
      </c>
      <c r="G2310" s="137" t="e">
        <f>IF(A2310&lt;&gt;"",IF(AND(#REF!="Padrão",$H$4=#REF!),BDI!$B$17,IF(AND(#REF!="Padrão",$H$4=#REF!),BDI!#REF!,IF(AND(#REF!="Diferenciado",$H$4=#REF!),BDI!$E$17,IF(AND(#REF!="Diferenciado",$H$4=#REF!),BDI!#REF!,IF(#REF!="ZERO",0))))),"")</f>
        <v>#REF!</v>
      </c>
      <c r="H2310" s="138" t="str">
        <f t="shared" si="133"/>
        <v/>
      </c>
      <c r="I2310" s="136" t="str">
        <f t="shared" si="134"/>
        <v/>
      </c>
    </row>
    <row r="2311" spans="1:9" hidden="1" x14ac:dyDescent="0.25">
      <c r="A2311" s="114" t="s">
        <v>6030</v>
      </c>
      <c r="B2311" s="115" t="s">
        <v>4798</v>
      </c>
      <c r="C2311" s="116" t="s">
        <v>20</v>
      </c>
      <c r="D2311" s="116">
        <v>0</v>
      </c>
      <c r="E2311" s="135" t="s">
        <v>558</v>
      </c>
      <c r="F2311" s="136" t="str">
        <f t="shared" si="132"/>
        <v/>
      </c>
      <c r="G2311" s="137" t="e">
        <f>IF(A2311&lt;&gt;"",IF(AND(#REF!="Padrão",$H$4=#REF!),BDI!$B$17,IF(AND(#REF!="Padrão",$H$4=#REF!),BDI!#REF!,IF(AND(#REF!="Diferenciado",$H$4=#REF!),BDI!$E$17,IF(AND(#REF!="Diferenciado",$H$4=#REF!),BDI!#REF!,IF(#REF!="ZERO",0))))),"")</f>
        <v>#REF!</v>
      </c>
      <c r="H2311" s="138" t="str">
        <f t="shared" si="133"/>
        <v/>
      </c>
      <c r="I2311" s="136" t="str">
        <f t="shared" si="134"/>
        <v/>
      </c>
    </row>
    <row r="2312" spans="1:9" hidden="1" x14ac:dyDescent="0.25">
      <c r="A2312" s="114" t="s">
        <v>6031</v>
      </c>
      <c r="B2312" s="115" t="s">
        <v>4799</v>
      </c>
      <c r="C2312" s="116" t="s">
        <v>20</v>
      </c>
      <c r="D2312" s="116">
        <v>0</v>
      </c>
      <c r="E2312" s="135" t="s">
        <v>558</v>
      </c>
      <c r="F2312" s="136" t="str">
        <f t="shared" si="132"/>
        <v/>
      </c>
      <c r="G2312" s="137" t="e">
        <f>IF(A2312&lt;&gt;"",IF(AND(#REF!="Padrão",$H$4=#REF!),BDI!$B$17,IF(AND(#REF!="Padrão",$H$4=#REF!),BDI!#REF!,IF(AND(#REF!="Diferenciado",$H$4=#REF!),BDI!$E$17,IF(AND(#REF!="Diferenciado",$H$4=#REF!),BDI!#REF!,IF(#REF!="ZERO",0))))),"")</f>
        <v>#REF!</v>
      </c>
      <c r="H2312" s="138" t="str">
        <f t="shared" si="133"/>
        <v/>
      </c>
      <c r="I2312" s="136" t="str">
        <f t="shared" si="134"/>
        <v/>
      </c>
    </row>
    <row r="2313" spans="1:9" hidden="1" x14ac:dyDescent="0.25">
      <c r="A2313" s="114" t="s">
        <v>6032</v>
      </c>
      <c r="B2313" s="115" t="s">
        <v>4800</v>
      </c>
      <c r="C2313" s="116" t="s">
        <v>20</v>
      </c>
      <c r="D2313" s="116">
        <v>0</v>
      </c>
      <c r="E2313" s="135" t="s">
        <v>558</v>
      </c>
      <c r="F2313" s="136" t="str">
        <f t="shared" si="132"/>
        <v/>
      </c>
      <c r="G2313" s="137" t="e">
        <f>IF(A2313&lt;&gt;"",IF(AND(#REF!="Padrão",$H$4=#REF!),BDI!$B$17,IF(AND(#REF!="Padrão",$H$4=#REF!),BDI!#REF!,IF(AND(#REF!="Diferenciado",$H$4=#REF!),BDI!$E$17,IF(AND(#REF!="Diferenciado",$H$4=#REF!),BDI!#REF!,IF(#REF!="ZERO",0))))),"")</f>
        <v>#REF!</v>
      </c>
      <c r="H2313" s="138" t="str">
        <f t="shared" si="133"/>
        <v/>
      </c>
      <c r="I2313" s="136" t="str">
        <f t="shared" si="134"/>
        <v/>
      </c>
    </row>
    <row r="2314" spans="1:9" hidden="1" x14ac:dyDescent="0.25">
      <c r="A2314" s="114" t="s">
        <v>6033</v>
      </c>
      <c r="B2314" s="115" t="s">
        <v>4801</v>
      </c>
      <c r="C2314" s="116" t="s">
        <v>20</v>
      </c>
      <c r="D2314" s="116">
        <v>0</v>
      </c>
      <c r="E2314" s="135" t="s">
        <v>558</v>
      </c>
      <c r="F2314" s="136" t="str">
        <f t="shared" si="132"/>
        <v/>
      </c>
      <c r="G2314" s="137" t="e">
        <f>IF(A2314&lt;&gt;"",IF(AND(#REF!="Padrão",$H$4=#REF!),BDI!$B$17,IF(AND(#REF!="Padrão",$H$4=#REF!),BDI!#REF!,IF(AND(#REF!="Diferenciado",$H$4=#REF!),BDI!$E$17,IF(AND(#REF!="Diferenciado",$H$4=#REF!),BDI!#REF!,IF(#REF!="ZERO",0))))),"")</f>
        <v>#REF!</v>
      </c>
      <c r="H2314" s="138" t="str">
        <f t="shared" si="133"/>
        <v/>
      </c>
      <c r="I2314" s="136" t="str">
        <f t="shared" si="134"/>
        <v/>
      </c>
    </row>
    <row r="2315" spans="1:9" hidden="1" x14ac:dyDescent="0.25">
      <c r="A2315" s="114" t="s">
        <v>6034</v>
      </c>
      <c r="B2315" s="115" t="s">
        <v>4802</v>
      </c>
      <c r="C2315" s="116" t="s">
        <v>5106</v>
      </c>
      <c r="D2315" s="116">
        <v>0</v>
      </c>
      <c r="E2315" s="135">
        <f ca="1">OFFSET(INDEX(Composições!A:J,MATCH(Orçamentária!A2315,Composições!A:A,0),8),2,0)</f>
        <v>40.403500000000001</v>
      </c>
      <c r="F2315" s="136">
        <f t="shared" ca="1" si="132"/>
        <v>0</v>
      </c>
      <c r="G2315" s="137" t="e">
        <f>IF(A2315&lt;&gt;"",IF(AND(#REF!="Padrão",$H$4=#REF!),BDI!$B$17,IF(AND(#REF!="Padrão",$H$4=#REF!),BDI!#REF!,IF(AND(#REF!="Diferenciado",$H$4=#REF!),BDI!$E$17,IF(AND(#REF!="Diferenciado",$H$4=#REF!),BDI!#REF!,IF(#REF!="ZERO",0))))),"")</f>
        <v>#REF!</v>
      </c>
      <c r="H2315" s="138" t="e">
        <f t="shared" ca="1" si="133"/>
        <v>#REF!</v>
      </c>
      <c r="I2315" s="136" t="e">
        <f t="shared" ca="1" si="134"/>
        <v>#REF!</v>
      </c>
    </row>
    <row r="2316" spans="1:9" hidden="1" x14ac:dyDescent="0.25">
      <c r="A2316" s="114" t="s">
        <v>6035</v>
      </c>
      <c r="B2316" s="115" t="s">
        <v>4803</v>
      </c>
      <c r="C2316" s="116" t="s">
        <v>20</v>
      </c>
      <c r="D2316" s="116">
        <v>0</v>
      </c>
      <c r="E2316" s="135" t="s">
        <v>558</v>
      </c>
      <c r="F2316" s="136" t="str">
        <f t="shared" si="132"/>
        <v/>
      </c>
      <c r="G2316" s="137" t="e">
        <f>IF(A2316&lt;&gt;"",IF(AND(#REF!="Padrão",$H$4=#REF!),BDI!$B$17,IF(AND(#REF!="Padrão",$H$4=#REF!),BDI!#REF!,IF(AND(#REF!="Diferenciado",$H$4=#REF!),BDI!$E$17,IF(AND(#REF!="Diferenciado",$H$4=#REF!),BDI!#REF!,IF(#REF!="ZERO",0))))),"")</f>
        <v>#REF!</v>
      </c>
      <c r="H2316" s="138" t="str">
        <f t="shared" si="133"/>
        <v/>
      </c>
      <c r="I2316" s="136" t="str">
        <f t="shared" si="134"/>
        <v/>
      </c>
    </row>
    <row r="2317" spans="1:9" hidden="1" x14ac:dyDescent="0.25">
      <c r="A2317" s="114" t="s">
        <v>6036</v>
      </c>
      <c r="B2317" s="115" t="s">
        <v>4804</v>
      </c>
      <c r="C2317" s="116" t="s">
        <v>20</v>
      </c>
      <c r="D2317" s="116">
        <v>0</v>
      </c>
      <c r="E2317" s="135" t="s">
        <v>558</v>
      </c>
      <c r="F2317" s="136" t="str">
        <f t="shared" si="132"/>
        <v/>
      </c>
      <c r="G2317" s="137" t="e">
        <f>IF(A2317&lt;&gt;"",IF(AND(#REF!="Padrão",$H$4=#REF!),BDI!$B$17,IF(AND(#REF!="Padrão",$H$4=#REF!),BDI!#REF!,IF(AND(#REF!="Diferenciado",$H$4=#REF!),BDI!$E$17,IF(AND(#REF!="Diferenciado",$H$4=#REF!),BDI!#REF!,IF(#REF!="ZERO",0))))),"")</f>
        <v>#REF!</v>
      </c>
      <c r="H2317" s="138" t="str">
        <f t="shared" si="133"/>
        <v/>
      </c>
      <c r="I2317" s="136" t="str">
        <f t="shared" si="134"/>
        <v/>
      </c>
    </row>
    <row r="2318" spans="1:9" hidden="1" x14ac:dyDescent="0.25">
      <c r="A2318" s="114" t="s">
        <v>6037</v>
      </c>
      <c r="B2318" s="115" t="s">
        <v>4805</v>
      </c>
      <c r="C2318" s="116" t="s">
        <v>20</v>
      </c>
      <c r="D2318" s="116">
        <v>0</v>
      </c>
      <c r="E2318" s="135" t="s">
        <v>558</v>
      </c>
      <c r="F2318" s="136" t="str">
        <f t="shared" si="132"/>
        <v/>
      </c>
      <c r="G2318" s="137" t="e">
        <f>IF(A2318&lt;&gt;"",IF(AND(#REF!="Padrão",$H$4=#REF!),BDI!$B$17,IF(AND(#REF!="Padrão",$H$4=#REF!),BDI!#REF!,IF(AND(#REF!="Diferenciado",$H$4=#REF!),BDI!$E$17,IF(AND(#REF!="Diferenciado",$H$4=#REF!),BDI!#REF!,IF(#REF!="ZERO",0))))),"")</f>
        <v>#REF!</v>
      </c>
      <c r="H2318" s="138" t="str">
        <f t="shared" si="133"/>
        <v/>
      </c>
      <c r="I2318" s="136" t="str">
        <f t="shared" si="134"/>
        <v/>
      </c>
    </row>
    <row r="2319" spans="1:9" hidden="1" x14ac:dyDescent="0.25">
      <c r="A2319" s="114" t="s">
        <v>6038</v>
      </c>
      <c r="B2319" s="115" t="s">
        <v>4806</v>
      </c>
      <c r="C2319" s="116" t="s">
        <v>20</v>
      </c>
      <c r="D2319" s="116">
        <v>0</v>
      </c>
      <c r="E2319" s="135" t="s">
        <v>558</v>
      </c>
      <c r="F2319" s="136" t="str">
        <f t="shared" si="132"/>
        <v/>
      </c>
      <c r="G2319" s="137" t="e">
        <f>IF(A2319&lt;&gt;"",IF(AND(#REF!="Padrão",$H$4=#REF!),BDI!$B$17,IF(AND(#REF!="Padrão",$H$4=#REF!),BDI!#REF!,IF(AND(#REF!="Diferenciado",$H$4=#REF!),BDI!$E$17,IF(AND(#REF!="Diferenciado",$H$4=#REF!),BDI!#REF!,IF(#REF!="ZERO",0))))),"")</f>
        <v>#REF!</v>
      </c>
      <c r="H2319" s="138" t="str">
        <f t="shared" si="133"/>
        <v/>
      </c>
      <c r="I2319" s="136" t="str">
        <f t="shared" si="134"/>
        <v/>
      </c>
    </row>
    <row r="2320" spans="1:9" hidden="1" x14ac:dyDescent="0.25">
      <c r="A2320" s="114" t="s">
        <v>6039</v>
      </c>
      <c r="B2320" s="115" t="s">
        <v>4807</v>
      </c>
      <c r="C2320" s="116" t="s">
        <v>20</v>
      </c>
      <c r="D2320" s="116">
        <v>0</v>
      </c>
      <c r="E2320" s="135" t="s">
        <v>558</v>
      </c>
      <c r="F2320" s="136" t="str">
        <f t="shared" si="132"/>
        <v/>
      </c>
      <c r="G2320" s="137" t="e">
        <f>IF(A2320&lt;&gt;"",IF(AND(#REF!="Padrão",$H$4=#REF!),BDI!$B$17,IF(AND(#REF!="Padrão",$H$4=#REF!),BDI!#REF!,IF(AND(#REF!="Diferenciado",$H$4=#REF!),BDI!$E$17,IF(AND(#REF!="Diferenciado",$H$4=#REF!),BDI!#REF!,IF(#REF!="ZERO",0))))),"")</f>
        <v>#REF!</v>
      </c>
      <c r="H2320" s="138" t="str">
        <f t="shared" si="133"/>
        <v/>
      </c>
      <c r="I2320" s="136" t="str">
        <f t="shared" si="134"/>
        <v/>
      </c>
    </row>
    <row r="2321" spans="1:9" hidden="1" x14ac:dyDescent="0.25">
      <c r="A2321" s="114" t="s">
        <v>6040</v>
      </c>
      <c r="B2321" s="115" t="s">
        <v>4808</v>
      </c>
      <c r="C2321" s="116" t="s">
        <v>20</v>
      </c>
      <c r="D2321" s="116">
        <v>0</v>
      </c>
      <c r="E2321" s="135" t="s">
        <v>558</v>
      </c>
      <c r="F2321" s="136" t="str">
        <f t="shared" si="132"/>
        <v/>
      </c>
      <c r="G2321" s="137" t="e">
        <f>IF(A2321&lt;&gt;"",IF(AND(#REF!="Padrão",$H$4=#REF!),BDI!$B$17,IF(AND(#REF!="Padrão",$H$4=#REF!),BDI!#REF!,IF(AND(#REF!="Diferenciado",$H$4=#REF!),BDI!$E$17,IF(AND(#REF!="Diferenciado",$H$4=#REF!),BDI!#REF!,IF(#REF!="ZERO",0))))),"")</f>
        <v>#REF!</v>
      </c>
      <c r="H2321" s="138" t="str">
        <f t="shared" si="133"/>
        <v/>
      </c>
      <c r="I2321" s="136" t="str">
        <f t="shared" si="134"/>
        <v/>
      </c>
    </row>
    <row r="2322" spans="1:9" hidden="1" x14ac:dyDescent="0.25">
      <c r="A2322" s="114" t="s">
        <v>6041</v>
      </c>
      <c r="B2322" s="115" t="s">
        <v>4809</v>
      </c>
      <c r="C2322" s="116" t="s">
        <v>20</v>
      </c>
      <c r="D2322" s="116">
        <v>0</v>
      </c>
      <c r="E2322" s="135" t="s">
        <v>558</v>
      </c>
      <c r="F2322" s="136" t="str">
        <f t="shared" si="132"/>
        <v/>
      </c>
      <c r="G2322" s="137" t="e">
        <f>IF(A2322&lt;&gt;"",IF(AND(#REF!="Padrão",$H$4=#REF!),BDI!$B$17,IF(AND(#REF!="Padrão",$H$4=#REF!),BDI!#REF!,IF(AND(#REF!="Diferenciado",$H$4=#REF!),BDI!$E$17,IF(AND(#REF!="Diferenciado",$H$4=#REF!),BDI!#REF!,IF(#REF!="ZERO",0))))),"")</f>
        <v>#REF!</v>
      </c>
      <c r="H2322" s="138" t="str">
        <f t="shared" si="133"/>
        <v/>
      </c>
      <c r="I2322" s="136" t="str">
        <f t="shared" si="134"/>
        <v/>
      </c>
    </row>
    <row r="2323" spans="1:9" hidden="1" x14ac:dyDescent="0.25">
      <c r="A2323" s="114" t="s">
        <v>6042</v>
      </c>
      <c r="B2323" s="115" t="s">
        <v>4810</v>
      </c>
      <c r="C2323" s="116" t="s">
        <v>20</v>
      </c>
      <c r="D2323" s="116">
        <v>0</v>
      </c>
      <c r="E2323" s="135" t="s">
        <v>558</v>
      </c>
      <c r="F2323" s="136" t="str">
        <f t="shared" si="132"/>
        <v/>
      </c>
      <c r="G2323" s="137" t="e">
        <f>IF(A2323&lt;&gt;"",IF(AND(#REF!="Padrão",$H$4=#REF!),BDI!$B$17,IF(AND(#REF!="Padrão",$H$4=#REF!),BDI!#REF!,IF(AND(#REF!="Diferenciado",$H$4=#REF!),BDI!$E$17,IF(AND(#REF!="Diferenciado",$H$4=#REF!),BDI!#REF!,IF(#REF!="ZERO",0))))),"")</f>
        <v>#REF!</v>
      </c>
      <c r="H2323" s="138" t="str">
        <f t="shared" si="133"/>
        <v/>
      </c>
      <c r="I2323" s="136" t="str">
        <f t="shared" si="134"/>
        <v/>
      </c>
    </row>
    <row r="2324" spans="1:9" hidden="1" x14ac:dyDescent="0.25">
      <c r="A2324" s="114" t="s">
        <v>6043</v>
      </c>
      <c r="B2324" s="115" t="s">
        <v>4811</v>
      </c>
      <c r="C2324" s="116" t="s">
        <v>20</v>
      </c>
      <c r="D2324" s="116">
        <v>0</v>
      </c>
      <c r="E2324" s="135" t="s">
        <v>558</v>
      </c>
      <c r="F2324" s="136" t="str">
        <f t="shared" si="132"/>
        <v/>
      </c>
      <c r="G2324" s="137" t="e">
        <f>IF(A2324&lt;&gt;"",IF(AND(#REF!="Padrão",$H$4=#REF!),BDI!$B$17,IF(AND(#REF!="Padrão",$H$4=#REF!),BDI!#REF!,IF(AND(#REF!="Diferenciado",$H$4=#REF!),BDI!$E$17,IF(AND(#REF!="Diferenciado",$H$4=#REF!),BDI!#REF!,IF(#REF!="ZERO",0))))),"")</f>
        <v>#REF!</v>
      </c>
      <c r="H2324" s="138" t="str">
        <f t="shared" si="133"/>
        <v/>
      </c>
      <c r="I2324" s="136" t="str">
        <f t="shared" si="134"/>
        <v/>
      </c>
    </row>
    <row r="2325" spans="1:9" hidden="1" x14ac:dyDescent="0.25">
      <c r="A2325" s="114" t="s">
        <v>6044</v>
      </c>
      <c r="B2325" s="115" t="s">
        <v>4812</v>
      </c>
      <c r="C2325" s="116" t="s">
        <v>93</v>
      </c>
      <c r="D2325" s="116">
        <v>0</v>
      </c>
      <c r="E2325" s="135" t="s">
        <v>558</v>
      </c>
      <c r="F2325" s="136" t="str">
        <f t="shared" si="132"/>
        <v/>
      </c>
      <c r="G2325" s="137" t="e">
        <f>IF(A2325&lt;&gt;"",IF(AND(#REF!="Padrão",$H$4=#REF!),BDI!$B$17,IF(AND(#REF!="Padrão",$H$4=#REF!),BDI!#REF!,IF(AND(#REF!="Diferenciado",$H$4=#REF!),BDI!$E$17,IF(AND(#REF!="Diferenciado",$H$4=#REF!),BDI!#REF!,IF(#REF!="ZERO",0))))),"")</f>
        <v>#REF!</v>
      </c>
      <c r="H2325" s="138" t="str">
        <f t="shared" si="133"/>
        <v/>
      </c>
      <c r="I2325" s="136" t="str">
        <f t="shared" si="134"/>
        <v/>
      </c>
    </row>
    <row r="2326" spans="1:9" hidden="1" x14ac:dyDescent="0.25">
      <c r="A2326" s="114" t="s">
        <v>6045</v>
      </c>
      <c r="B2326" s="115" t="s">
        <v>4813</v>
      </c>
      <c r="C2326" s="116" t="s">
        <v>20</v>
      </c>
      <c r="D2326" s="116">
        <v>0</v>
      </c>
      <c r="E2326" s="135" t="s">
        <v>558</v>
      </c>
      <c r="F2326" s="136" t="str">
        <f t="shared" si="132"/>
        <v/>
      </c>
      <c r="G2326" s="137" t="e">
        <f>IF(A2326&lt;&gt;"",IF(AND(#REF!="Padrão",$H$4=#REF!),BDI!$B$17,IF(AND(#REF!="Padrão",$H$4=#REF!),BDI!#REF!,IF(AND(#REF!="Diferenciado",$H$4=#REF!),BDI!$E$17,IF(AND(#REF!="Diferenciado",$H$4=#REF!),BDI!#REF!,IF(#REF!="ZERO",0))))),"")</f>
        <v>#REF!</v>
      </c>
      <c r="H2326" s="138" t="str">
        <f t="shared" si="133"/>
        <v/>
      </c>
      <c r="I2326" s="136" t="str">
        <f t="shared" si="134"/>
        <v/>
      </c>
    </row>
    <row r="2327" spans="1:9" hidden="1" x14ac:dyDescent="0.25">
      <c r="A2327" s="114" t="s">
        <v>6046</v>
      </c>
      <c r="B2327" s="115" t="s">
        <v>4814</v>
      </c>
      <c r="C2327" s="116" t="s">
        <v>20</v>
      </c>
      <c r="D2327" s="116">
        <v>0</v>
      </c>
      <c r="E2327" s="135" t="s">
        <v>558</v>
      </c>
      <c r="F2327" s="136" t="str">
        <f t="shared" si="132"/>
        <v/>
      </c>
      <c r="G2327" s="137" t="e">
        <f>IF(A2327&lt;&gt;"",IF(AND(#REF!="Padrão",$H$4=#REF!),BDI!$B$17,IF(AND(#REF!="Padrão",$H$4=#REF!),BDI!#REF!,IF(AND(#REF!="Diferenciado",$H$4=#REF!),BDI!$E$17,IF(AND(#REF!="Diferenciado",$H$4=#REF!),BDI!#REF!,IF(#REF!="ZERO",0))))),"")</f>
        <v>#REF!</v>
      </c>
      <c r="H2327" s="138" t="str">
        <f t="shared" si="133"/>
        <v/>
      </c>
      <c r="I2327" s="136" t="str">
        <f t="shared" si="134"/>
        <v/>
      </c>
    </row>
    <row r="2328" spans="1:9" hidden="1" x14ac:dyDescent="0.25">
      <c r="A2328" s="114" t="s">
        <v>6047</v>
      </c>
      <c r="B2328" s="115" t="s">
        <v>4815</v>
      </c>
      <c r="C2328" s="116" t="s">
        <v>20</v>
      </c>
      <c r="D2328" s="116">
        <v>0</v>
      </c>
      <c r="E2328" s="135" t="s">
        <v>558</v>
      </c>
      <c r="F2328" s="136" t="str">
        <f t="shared" si="132"/>
        <v/>
      </c>
      <c r="G2328" s="137" t="e">
        <f>IF(A2328&lt;&gt;"",IF(AND(#REF!="Padrão",$H$4=#REF!),BDI!$B$17,IF(AND(#REF!="Padrão",$H$4=#REF!),BDI!#REF!,IF(AND(#REF!="Diferenciado",$H$4=#REF!),BDI!$E$17,IF(AND(#REF!="Diferenciado",$H$4=#REF!),BDI!#REF!,IF(#REF!="ZERO",0))))),"")</f>
        <v>#REF!</v>
      </c>
      <c r="H2328" s="138" t="str">
        <f t="shared" si="133"/>
        <v/>
      </c>
      <c r="I2328" s="136" t="str">
        <f t="shared" si="134"/>
        <v/>
      </c>
    </row>
    <row r="2329" spans="1:9" hidden="1" x14ac:dyDescent="0.25">
      <c r="A2329" s="114" t="s">
        <v>6048</v>
      </c>
      <c r="B2329" s="115" t="s">
        <v>4816</v>
      </c>
      <c r="C2329" s="116" t="s">
        <v>20</v>
      </c>
      <c r="D2329" s="116">
        <v>0</v>
      </c>
      <c r="E2329" s="135" t="s">
        <v>558</v>
      </c>
      <c r="F2329" s="136" t="str">
        <f t="shared" si="132"/>
        <v/>
      </c>
      <c r="G2329" s="137" t="e">
        <f>IF(A2329&lt;&gt;"",IF(AND(#REF!="Padrão",$H$4=#REF!),BDI!$B$17,IF(AND(#REF!="Padrão",$H$4=#REF!),BDI!#REF!,IF(AND(#REF!="Diferenciado",$H$4=#REF!),BDI!$E$17,IF(AND(#REF!="Diferenciado",$H$4=#REF!),BDI!#REF!,IF(#REF!="ZERO",0))))),"")</f>
        <v>#REF!</v>
      </c>
      <c r="H2329" s="138" t="str">
        <f t="shared" si="133"/>
        <v/>
      </c>
      <c r="I2329" s="136" t="str">
        <f t="shared" si="134"/>
        <v/>
      </c>
    </row>
    <row r="2330" spans="1:9" hidden="1" x14ac:dyDescent="0.25">
      <c r="A2330" s="114" t="s">
        <v>6049</v>
      </c>
      <c r="B2330" s="115" t="s">
        <v>4817</v>
      </c>
      <c r="C2330" s="116" t="s">
        <v>20</v>
      </c>
      <c r="D2330" s="116">
        <v>0</v>
      </c>
      <c r="E2330" s="135" t="s">
        <v>558</v>
      </c>
      <c r="F2330" s="136" t="str">
        <f t="shared" si="132"/>
        <v/>
      </c>
      <c r="G2330" s="137" t="e">
        <f>IF(A2330&lt;&gt;"",IF(AND(#REF!="Padrão",$H$4=#REF!),BDI!$B$17,IF(AND(#REF!="Padrão",$H$4=#REF!),BDI!#REF!,IF(AND(#REF!="Diferenciado",$H$4=#REF!),BDI!$E$17,IF(AND(#REF!="Diferenciado",$H$4=#REF!),BDI!#REF!,IF(#REF!="ZERO",0))))),"")</f>
        <v>#REF!</v>
      </c>
      <c r="H2330" s="138" t="str">
        <f t="shared" si="133"/>
        <v/>
      </c>
      <c r="I2330" s="136" t="str">
        <f t="shared" si="134"/>
        <v/>
      </c>
    </row>
    <row r="2331" spans="1:9" hidden="1" x14ac:dyDescent="0.25">
      <c r="A2331" s="114" t="s">
        <v>6050</v>
      </c>
      <c r="B2331" s="115" t="s">
        <v>4818</v>
      </c>
      <c r="C2331" s="116" t="s">
        <v>20</v>
      </c>
      <c r="D2331" s="116">
        <v>0</v>
      </c>
      <c r="E2331" s="135" t="s">
        <v>558</v>
      </c>
      <c r="F2331" s="136" t="str">
        <f t="shared" si="132"/>
        <v/>
      </c>
      <c r="G2331" s="137" t="e">
        <f>IF(A2331&lt;&gt;"",IF(AND(#REF!="Padrão",$H$4=#REF!),BDI!$B$17,IF(AND(#REF!="Padrão",$H$4=#REF!),BDI!#REF!,IF(AND(#REF!="Diferenciado",$H$4=#REF!),BDI!$E$17,IF(AND(#REF!="Diferenciado",$H$4=#REF!),BDI!#REF!,IF(#REF!="ZERO",0))))),"")</f>
        <v>#REF!</v>
      </c>
      <c r="H2331" s="138" t="str">
        <f t="shared" si="133"/>
        <v/>
      </c>
      <c r="I2331" s="136" t="str">
        <f t="shared" si="134"/>
        <v/>
      </c>
    </row>
    <row r="2332" spans="1:9" hidden="1" x14ac:dyDescent="0.25">
      <c r="A2332" s="114" t="s">
        <v>6051</v>
      </c>
      <c r="B2332" s="115" t="s">
        <v>4819</v>
      </c>
      <c r="C2332" s="116" t="s">
        <v>20</v>
      </c>
      <c r="D2332" s="116">
        <v>0</v>
      </c>
      <c r="E2332" s="135" t="s">
        <v>558</v>
      </c>
      <c r="F2332" s="136" t="str">
        <f t="shared" si="132"/>
        <v/>
      </c>
      <c r="G2332" s="137" t="e">
        <f>IF(A2332&lt;&gt;"",IF(AND(#REF!="Padrão",$H$4=#REF!),BDI!$B$17,IF(AND(#REF!="Padrão",$H$4=#REF!),BDI!#REF!,IF(AND(#REF!="Diferenciado",$H$4=#REF!),BDI!$E$17,IF(AND(#REF!="Diferenciado",$H$4=#REF!),BDI!#REF!,IF(#REF!="ZERO",0))))),"")</f>
        <v>#REF!</v>
      </c>
      <c r="H2332" s="138" t="str">
        <f t="shared" si="133"/>
        <v/>
      </c>
      <c r="I2332" s="136" t="str">
        <f t="shared" si="134"/>
        <v/>
      </c>
    </row>
    <row r="2333" spans="1:9" hidden="1" x14ac:dyDescent="0.25">
      <c r="A2333" s="114" t="s">
        <v>6052</v>
      </c>
      <c r="B2333" s="115" t="s">
        <v>4820</v>
      </c>
      <c r="C2333" s="116" t="s">
        <v>20</v>
      </c>
      <c r="D2333" s="116">
        <v>0</v>
      </c>
      <c r="E2333" s="135">
        <f ca="1">OFFSET(INDEX(Composições!A:J,MATCH(Orçamentária!A2333,Composições!A:A,0),8),2,0)</f>
        <v>768.83499999999992</v>
      </c>
      <c r="F2333" s="136">
        <f t="shared" ca="1" si="132"/>
        <v>0</v>
      </c>
      <c r="G2333" s="137" t="e">
        <f>IF(A2333&lt;&gt;"",IF(AND(#REF!="Padrão",$H$4=#REF!),BDI!$B$17,IF(AND(#REF!="Padrão",$H$4=#REF!),BDI!#REF!,IF(AND(#REF!="Diferenciado",$H$4=#REF!),BDI!$E$17,IF(AND(#REF!="Diferenciado",$H$4=#REF!),BDI!#REF!,IF(#REF!="ZERO",0))))),"")</f>
        <v>#REF!</v>
      </c>
      <c r="H2333" s="138" t="e">
        <f t="shared" ca="1" si="133"/>
        <v>#REF!</v>
      </c>
      <c r="I2333" s="136" t="e">
        <f t="shared" ca="1" si="134"/>
        <v>#REF!</v>
      </c>
    </row>
    <row r="2334" spans="1:9" hidden="1" x14ac:dyDescent="0.25">
      <c r="A2334" s="114" t="s">
        <v>6053</v>
      </c>
      <c r="B2334" s="115" t="s">
        <v>4821</v>
      </c>
      <c r="C2334" s="116" t="s">
        <v>20</v>
      </c>
      <c r="D2334" s="116">
        <v>0</v>
      </c>
      <c r="E2334" s="135" t="s">
        <v>558</v>
      </c>
      <c r="F2334" s="136" t="str">
        <f t="shared" si="132"/>
        <v/>
      </c>
      <c r="G2334" s="137" t="e">
        <f>IF(A2334&lt;&gt;"",IF(AND(#REF!="Padrão",$H$4=#REF!),BDI!$B$17,IF(AND(#REF!="Padrão",$H$4=#REF!),BDI!#REF!,IF(AND(#REF!="Diferenciado",$H$4=#REF!),BDI!$E$17,IF(AND(#REF!="Diferenciado",$H$4=#REF!),BDI!#REF!,IF(#REF!="ZERO",0))))),"")</f>
        <v>#REF!</v>
      </c>
      <c r="H2334" s="138" t="str">
        <f t="shared" si="133"/>
        <v/>
      </c>
      <c r="I2334" s="136" t="str">
        <f t="shared" si="134"/>
        <v/>
      </c>
    </row>
    <row r="2335" spans="1:9" hidden="1" x14ac:dyDescent="0.25">
      <c r="A2335" s="114" t="s">
        <v>6054</v>
      </c>
      <c r="B2335" s="115" t="s">
        <v>4822</v>
      </c>
      <c r="C2335" s="116" t="s">
        <v>20</v>
      </c>
      <c r="D2335" s="116">
        <v>0</v>
      </c>
      <c r="E2335" s="135" t="s">
        <v>558</v>
      </c>
      <c r="F2335" s="136" t="str">
        <f t="shared" si="132"/>
        <v/>
      </c>
      <c r="G2335" s="137" t="e">
        <f>IF(A2335&lt;&gt;"",IF(AND(#REF!="Padrão",$H$4=#REF!),BDI!$B$17,IF(AND(#REF!="Padrão",$H$4=#REF!),BDI!#REF!,IF(AND(#REF!="Diferenciado",$H$4=#REF!),BDI!$E$17,IF(AND(#REF!="Diferenciado",$H$4=#REF!),BDI!#REF!,IF(#REF!="ZERO",0))))),"")</f>
        <v>#REF!</v>
      </c>
      <c r="H2335" s="138" t="str">
        <f t="shared" si="133"/>
        <v/>
      </c>
      <c r="I2335" s="136" t="str">
        <f t="shared" si="134"/>
        <v/>
      </c>
    </row>
    <row r="2336" spans="1:9" hidden="1" x14ac:dyDescent="0.25">
      <c r="A2336" s="114" t="s">
        <v>6055</v>
      </c>
      <c r="B2336" s="115" t="s">
        <v>4823</v>
      </c>
      <c r="C2336" s="116" t="s">
        <v>20</v>
      </c>
      <c r="D2336" s="116">
        <v>0</v>
      </c>
      <c r="E2336" s="135" t="s">
        <v>558</v>
      </c>
      <c r="F2336" s="136" t="str">
        <f t="shared" si="132"/>
        <v/>
      </c>
      <c r="G2336" s="137" t="e">
        <f>IF(A2336&lt;&gt;"",IF(AND(#REF!="Padrão",$H$4=#REF!),BDI!$B$17,IF(AND(#REF!="Padrão",$H$4=#REF!),BDI!#REF!,IF(AND(#REF!="Diferenciado",$H$4=#REF!),BDI!$E$17,IF(AND(#REF!="Diferenciado",$H$4=#REF!),BDI!#REF!,IF(#REF!="ZERO",0))))),"")</f>
        <v>#REF!</v>
      </c>
      <c r="H2336" s="138" t="str">
        <f t="shared" si="133"/>
        <v/>
      </c>
      <c r="I2336" s="136" t="str">
        <f t="shared" si="134"/>
        <v/>
      </c>
    </row>
    <row r="2337" spans="1:9" hidden="1" x14ac:dyDescent="0.25">
      <c r="A2337" s="114" t="s">
        <v>6056</v>
      </c>
      <c r="B2337" s="115" t="s">
        <v>4824</v>
      </c>
      <c r="C2337" s="116" t="s">
        <v>20</v>
      </c>
      <c r="D2337" s="116">
        <v>0</v>
      </c>
      <c r="E2337" s="135" t="s">
        <v>558</v>
      </c>
      <c r="F2337" s="136" t="str">
        <f t="shared" si="132"/>
        <v/>
      </c>
      <c r="G2337" s="137" t="e">
        <f>IF(A2337&lt;&gt;"",IF(AND(#REF!="Padrão",$H$4=#REF!),BDI!$B$17,IF(AND(#REF!="Padrão",$H$4=#REF!),BDI!#REF!,IF(AND(#REF!="Diferenciado",$H$4=#REF!),BDI!$E$17,IF(AND(#REF!="Diferenciado",$H$4=#REF!),BDI!#REF!,IF(#REF!="ZERO",0))))),"")</f>
        <v>#REF!</v>
      </c>
      <c r="H2337" s="138" t="str">
        <f t="shared" si="133"/>
        <v/>
      </c>
      <c r="I2337" s="136" t="str">
        <f t="shared" si="134"/>
        <v/>
      </c>
    </row>
    <row r="2338" spans="1:9" hidden="1" x14ac:dyDescent="0.25">
      <c r="A2338" s="114" t="s">
        <v>6057</v>
      </c>
      <c r="B2338" s="115" t="s">
        <v>4825</v>
      </c>
      <c r="C2338" s="116" t="s">
        <v>20</v>
      </c>
      <c r="D2338" s="116">
        <v>0</v>
      </c>
      <c r="E2338" s="135" t="s">
        <v>558</v>
      </c>
      <c r="F2338" s="136" t="str">
        <f t="shared" si="132"/>
        <v/>
      </c>
      <c r="G2338" s="137" t="e">
        <f>IF(A2338&lt;&gt;"",IF(AND(#REF!="Padrão",$H$4=#REF!),BDI!$B$17,IF(AND(#REF!="Padrão",$H$4=#REF!),BDI!#REF!,IF(AND(#REF!="Diferenciado",$H$4=#REF!),BDI!$E$17,IF(AND(#REF!="Diferenciado",$H$4=#REF!),BDI!#REF!,IF(#REF!="ZERO",0))))),"")</f>
        <v>#REF!</v>
      </c>
      <c r="H2338" s="138" t="str">
        <f t="shared" si="133"/>
        <v/>
      </c>
      <c r="I2338" s="136" t="str">
        <f t="shared" si="134"/>
        <v/>
      </c>
    </row>
    <row r="2339" spans="1:9" hidden="1" x14ac:dyDescent="0.25">
      <c r="A2339" s="114" t="s">
        <v>6058</v>
      </c>
      <c r="B2339" s="115" t="s">
        <v>4826</v>
      </c>
      <c r="C2339" s="116" t="s">
        <v>20</v>
      </c>
      <c r="D2339" s="116">
        <v>0</v>
      </c>
      <c r="E2339" s="135" t="s">
        <v>558</v>
      </c>
      <c r="F2339" s="136" t="str">
        <f t="shared" si="132"/>
        <v/>
      </c>
      <c r="G2339" s="137" t="e">
        <f>IF(A2339&lt;&gt;"",IF(AND(#REF!="Padrão",$H$4=#REF!),BDI!$B$17,IF(AND(#REF!="Padrão",$H$4=#REF!),BDI!#REF!,IF(AND(#REF!="Diferenciado",$H$4=#REF!),BDI!$E$17,IF(AND(#REF!="Diferenciado",$H$4=#REF!),BDI!#REF!,IF(#REF!="ZERO",0))))),"")</f>
        <v>#REF!</v>
      </c>
      <c r="H2339" s="138" t="str">
        <f t="shared" si="133"/>
        <v/>
      </c>
      <c r="I2339" s="136" t="str">
        <f t="shared" si="134"/>
        <v/>
      </c>
    </row>
    <row r="2340" spans="1:9" hidden="1" x14ac:dyDescent="0.25">
      <c r="A2340" s="114" t="s">
        <v>6059</v>
      </c>
      <c r="B2340" s="115" t="s">
        <v>4827</v>
      </c>
      <c r="C2340" s="116" t="s">
        <v>20</v>
      </c>
      <c r="D2340" s="116">
        <v>0</v>
      </c>
      <c r="E2340" s="135" t="s">
        <v>558</v>
      </c>
      <c r="F2340" s="136" t="str">
        <f t="shared" si="132"/>
        <v/>
      </c>
      <c r="G2340" s="137" t="e">
        <f>IF(A2340&lt;&gt;"",IF(AND(#REF!="Padrão",$H$4=#REF!),BDI!$B$17,IF(AND(#REF!="Padrão",$H$4=#REF!),BDI!#REF!,IF(AND(#REF!="Diferenciado",$H$4=#REF!),BDI!$E$17,IF(AND(#REF!="Diferenciado",$H$4=#REF!),BDI!#REF!,IF(#REF!="ZERO",0))))),"")</f>
        <v>#REF!</v>
      </c>
      <c r="H2340" s="138" t="str">
        <f t="shared" si="133"/>
        <v/>
      </c>
      <c r="I2340" s="136" t="str">
        <f t="shared" si="134"/>
        <v/>
      </c>
    </row>
    <row r="2341" spans="1:9" hidden="1" x14ac:dyDescent="0.25">
      <c r="A2341" s="114" t="s">
        <v>6060</v>
      </c>
      <c r="B2341" s="115" t="s">
        <v>4828</v>
      </c>
      <c r="C2341" s="116" t="s">
        <v>20</v>
      </c>
      <c r="D2341" s="116">
        <v>0</v>
      </c>
      <c r="E2341" s="135" t="s">
        <v>558</v>
      </c>
      <c r="F2341" s="136" t="str">
        <f t="shared" si="132"/>
        <v/>
      </c>
      <c r="G2341" s="137" t="e">
        <f>IF(A2341&lt;&gt;"",IF(AND(#REF!="Padrão",$H$4=#REF!),BDI!$B$17,IF(AND(#REF!="Padrão",$H$4=#REF!),BDI!#REF!,IF(AND(#REF!="Diferenciado",$H$4=#REF!),BDI!$E$17,IF(AND(#REF!="Diferenciado",$H$4=#REF!),BDI!#REF!,IF(#REF!="ZERO",0))))),"")</f>
        <v>#REF!</v>
      </c>
      <c r="H2341" s="138" t="str">
        <f t="shared" si="133"/>
        <v/>
      </c>
      <c r="I2341" s="136" t="str">
        <f t="shared" si="134"/>
        <v/>
      </c>
    </row>
    <row r="2342" spans="1:9" hidden="1" x14ac:dyDescent="0.25">
      <c r="A2342" s="114" t="s">
        <v>6061</v>
      </c>
      <c r="B2342" s="115" t="s">
        <v>4829</v>
      </c>
      <c r="C2342" s="116" t="s">
        <v>20</v>
      </c>
      <c r="D2342" s="116">
        <v>0</v>
      </c>
      <c r="E2342" s="135" t="s">
        <v>558</v>
      </c>
      <c r="F2342" s="136" t="str">
        <f t="shared" si="132"/>
        <v/>
      </c>
      <c r="G2342" s="137" t="e">
        <f>IF(A2342&lt;&gt;"",IF(AND(#REF!="Padrão",$H$4=#REF!),BDI!$B$17,IF(AND(#REF!="Padrão",$H$4=#REF!),BDI!#REF!,IF(AND(#REF!="Diferenciado",$H$4=#REF!),BDI!$E$17,IF(AND(#REF!="Diferenciado",$H$4=#REF!),BDI!#REF!,IF(#REF!="ZERO",0))))),"")</f>
        <v>#REF!</v>
      </c>
      <c r="H2342" s="138" t="str">
        <f t="shared" si="133"/>
        <v/>
      </c>
      <c r="I2342" s="136" t="str">
        <f t="shared" si="134"/>
        <v/>
      </c>
    </row>
    <row r="2343" spans="1:9" hidden="1" x14ac:dyDescent="0.25">
      <c r="A2343" s="114" t="s">
        <v>6062</v>
      </c>
      <c r="B2343" s="115" t="s">
        <v>4830</v>
      </c>
      <c r="C2343" s="116" t="s">
        <v>20</v>
      </c>
      <c r="D2343" s="116">
        <v>0</v>
      </c>
      <c r="E2343" s="135" t="s">
        <v>558</v>
      </c>
      <c r="F2343" s="136" t="str">
        <f t="shared" si="132"/>
        <v/>
      </c>
      <c r="G2343" s="137" t="e">
        <f>IF(A2343&lt;&gt;"",IF(AND(#REF!="Padrão",$H$4=#REF!),BDI!$B$17,IF(AND(#REF!="Padrão",$H$4=#REF!),BDI!#REF!,IF(AND(#REF!="Diferenciado",$H$4=#REF!),BDI!$E$17,IF(AND(#REF!="Diferenciado",$H$4=#REF!),BDI!#REF!,IF(#REF!="ZERO",0))))),"")</f>
        <v>#REF!</v>
      </c>
      <c r="H2343" s="138" t="str">
        <f t="shared" si="133"/>
        <v/>
      </c>
      <c r="I2343" s="136" t="str">
        <f t="shared" si="134"/>
        <v/>
      </c>
    </row>
    <row r="2344" spans="1:9" hidden="1" x14ac:dyDescent="0.25">
      <c r="A2344" s="114" t="s">
        <v>6063</v>
      </c>
      <c r="B2344" s="115" t="s">
        <v>4831</v>
      </c>
      <c r="C2344" s="116" t="s">
        <v>20</v>
      </c>
      <c r="D2344" s="116">
        <v>0</v>
      </c>
      <c r="E2344" s="135" t="s">
        <v>558</v>
      </c>
      <c r="F2344" s="136" t="str">
        <f t="shared" si="132"/>
        <v/>
      </c>
      <c r="G2344" s="137" t="e">
        <f>IF(A2344&lt;&gt;"",IF(AND(#REF!="Padrão",$H$4=#REF!),BDI!$B$17,IF(AND(#REF!="Padrão",$H$4=#REF!),BDI!#REF!,IF(AND(#REF!="Diferenciado",$H$4=#REF!),BDI!$E$17,IF(AND(#REF!="Diferenciado",$H$4=#REF!),BDI!#REF!,IF(#REF!="ZERO",0))))),"")</f>
        <v>#REF!</v>
      </c>
      <c r="H2344" s="138" t="str">
        <f t="shared" si="133"/>
        <v/>
      </c>
      <c r="I2344" s="136" t="str">
        <f t="shared" si="134"/>
        <v/>
      </c>
    </row>
    <row r="2345" spans="1:9" hidden="1" x14ac:dyDescent="0.25">
      <c r="A2345" s="114" t="s">
        <v>6064</v>
      </c>
      <c r="B2345" s="115" t="s">
        <v>4832</v>
      </c>
      <c r="C2345" s="116" t="s">
        <v>20</v>
      </c>
      <c r="D2345" s="116">
        <v>0</v>
      </c>
      <c r="E2345" s="135" t="s">
        <v>558</v>
      </c>
      <c r="F2345" s="136" t="str">
        <f t="shared" si="132"/>
        <v/>
      </c>
      <c r="G2345" s="137" t="e">
        <f>IF(A2345&lt;&gt;"",IF(AND(#REF!="Padrão",$H$4=#REF!),BDI!$B$17,IF(AND(#REF!="Padrão",$H$4=#REF!),BDI!#REF!,IF(AND(#REF!="Diferenciado",$H$4=#REF!),BDI!$E$17,IF(AND(#REF!="Diferenciado",$H$4=#REF!),BDI!#REF!,IF(#REF!="ZERO",0))))),"")</f>
        <v>#REF!</v>
      </c>
      <c r="H2345" s="138" t="str">
        <f t="shared" si="133"/>
        <v/>
      </c>
      <c r="I2345" s="136" t="str">
        <f t="shared" si="134"/>
        <v/>
      </c>
    </row>
    <row r="2346" spans="1:9" hidden="1" x14ac:dyDescent="0.25">
      <c r="A2346" s="114" t="s">
        <v>6065</v>
      </c>
      <c r="B2346" s="115" t="s">
        <v>4833</v>
      </c>
      <c r="C2346" s="116" t="s">
        <v>20</v>
      </c>
      <c r="D2346" s="116">
        <v>0</v>
      </c>
      <c r="E2346" s="135" t="s">
        <v>558</v>
      </c>
      <c r="F2346" s="136" t="str">
        <f t="shared" si="132"/>
        <v/>
      </c>
      <c r="G2346" s="137" t="e">
        <f>IF(A2346&lt;&gt;"",IF(AND(#REF!="Padrão",$H$4=#REF!),BDI!$B$17,IF(AND(#REF!="Padrão",$H$4=#REF!),BDI!#REF!,IF(AND(#REF!="Diferenciado",$H$4=#REF!),BDI!$E$17,IF(AND(#REF!="Diferenciado",$H$4=#REF!),BDI!#REF!,IF(#REF!="ZERO",0))))),"")</f>
        <v>#REF!</v>
      </c>
      <c r="H2346" s="138" t="str">
        <f t="shared" si="133"/>
        <v/>
      </c>
      <c r="I2346" s="136" t="str">
        <f t="shared" si="134"/>
        <v/>
      </c>
    </row>
    <row r="2347" spans="1:9" hidden="1" x14ac:dyDescent="0.25">
      <c r="A2347" s="114" t="s">
        <v>6066</v>
      </c>
      <c r="B2347" s="115" t="s">
        <v>4834</v>
      </c>
      <c r="C2347" s="116" t="s">
        <v>20</v>
      </c>
      <c r="D2347" s="116">
        <v>0</v>
      </c>
      <c r="E2347" s="135" t="s">
        <v>558</v>
      </c>
      <c r="F2347" s="136" t="str">
        <f t="shared" si="132"/>
        <v/>
      </c>
      <c r="G2347" s="137" t="e">
        <f>IF(A2347&lt;&gt;"",IF(AND(#REF!="Padrão",$H$4=#REF!),BDI!$B$17,IF(AND(#REF!="Padrão",$H$4=#REF!),BDI!#REF!,IF(AND(#REF!="Diferenciado",$H$4=#REF!),BDI!$E$17,IF(AND(#REF!="Diferenciado",$H$4=#REF!),BDI!#REF!,IF(#REF!="ZERO",0))))),"")</f>
        <v>#REF!</v>
      </c>
      <c r="H2347" s="138" t="str">
        <f t="shared" si="133"/>
        <v/>
      </c>
      <c r="I2347" s="136" t="str">
        <f t="shared" si="134"/>
        <v/>
      </c>
    </row>
    <row r="2348" spans="1:9" hidden="1" x14ac:dyDescent="0.25">
      <c r="A2348" s="114" t="s">
        <v>6067</v>
      </c>
      <c r="B2348" s="115" t="s">
        <v>4835</v>
      </c>
      <c r="C2348" s="116" t="s">
        <v>20</v>
      </c>
      <c r="D2348" s="116">
        <v>0</v>
      </c>
      <c r="E2348" s="135" t="s">
        <v>558</v>
      </c>
      <c r="F2348" s="136" t="str">
        <f t="shared" si="132"/>
        <v/>
      </c>
      <c r="G2348" s="137" t="e">
        <f>IF(A2348&lt;&gt;"",IF(AND(#REF!="Padrão",$H$4=#REF!),BDI!$B$17,IF(AND(#REF!="Padrão",$H$4=#REF!),BDI!#REF!,IF(AND(#REF!="Diferenciado",$H$4=#REF!),BDI!$E$17,IF(AND(#REF!="Diferenciado",$H$4=#REF!),BDI!#REF!,IF(#REF!="ZERO",0))))),"")</f>
        <v>#REF!</v>
      </c>
      <c r="H2348" s="138" t="str">
        <f t="shared" si="133"/>
        <v/>
      </c>
      <c r="I2348" s="136" t="str">
        <f t="shared" si="134"/>
        <v/>
      </c>
    </row>
    <row r="2349" spans="1:9" hidden="1" x14ac:dyDescent="0.25">
      <c r="A2349" s="114" t="s">
        <v>6068</v>
      </c>
      <c r="B2349" s="115" t="s">
        <v>4836</v>
      </c>
      <c r="C2349" s="116" t="s">
        <v>20</v>
      </c>
      <c r="D2349" s="116">
        <v>0</v>
      </c>
      <c r="E2349" s="135" t="s">
        <v>558</v>
      </c>
      <c r="F2349" s="136" t="str">
        <f t="shared" ref="F2349:F2412" si="135">IF(ISNUMBER(E2349),D2349*E2349,"")</f>
        <v/>
      </c>
      <c r="G2349" s="137" t="e">
        <f>IF(A2349&lt;&gt;"",IF(AND(#REF!="Padrão",$H$4=#REF!),BDI!$B$17,IF(AND(#REF!="Padrão",$H$4=#REF!),BDI!#REF!,IF(AND(#REF!="Diferenciado",$H$4=#REF!),BDI!$E$17,IF(AND(#REF!="Diferenciado",$H$4=#REF!),BDI!#REF!,IF(#REF!="ZERO",0))))),"")</f>
        <v>#REF!</v>
      </c>
      <c r="H2349" s="138" t="str">
        <f t="shared" ref="H2349:H2412" si="136">IF(ISNUMBER(E2349),ROUND(E2349*(1+G2349),2),"")</f>
        <v/>
      </c>
      <c r="I2349" s="136" t="str">
        <f t="shared" ref="I2349:I2412" si="137">IF(ISNUMBER(E2349),ROUND(H2349*D2349,2),"")</f>
        <v/>
      </c>
    </row>
    <row r="2350" spans="1:9" hidden="1" x14ac:dyDescent="0.25">
      <c r="A2350" s="114" t="s">
        <v>6069</v>
      </c>
      <c r="B2350" s="115" t="s">
        <v>4837</v>
      </c>
      <c r="C2350" s="116" t="s">
        <v>20</v>
      </c>
      <c r="D2350" s="116">
        <v>0</v>
      </c>
      <c r="E2350" s="135" t="s">
        <v>558</v>
      </c>
      <c r="F2350" s="136" t="str">
        <f t="shared" si="135"/>
        <v/>
      </c>
      <c r="G2350" s="137" t="e">
        <f>IF(A2350&lt;&gt;"",IF(AND(#REF!="Padrão",$H$4=#REF!),BDI!$B$17,IF(AND(#REF!="Padrão",$H$4=#REF!),BDI!#REF!,IF(AND(#REF!="Diferenciado",$H$4=#REF!),BDI!$E$17,IF(AND(#REF!="Diferenciado",$H$4=#REF!),BDI!#REF!,IF(#REF!="ZERO",0))))),"")</f>
        <v>#REF!</v>
      </c>
      <c r="H2350" s="138" t="str">
        <f t="shared" si="136"/>
        <v/>
      </c>
      <c r="I2350" s="136" t="str">
        <f t="shared" si="137"/>
        <v/>
      </c>
    </row>
    <row r="2351" spans="1:9" hidden="1" x14ac:dyDescent="0.25">
      <c r="A2351" s="114" t="s">
        <v>6070</v>
      </c>
      <c r="B2351" s="115" t="s">
        <v>4838</v>
      </c>
      <c r="C2351" s="116" t="s">
        <v>20</v>
      </c>
      <c r="D2351" s="116">
        <v>0</v>
      </c>
      <c r="E2351" s="135" t="s">
        <v>558</v>
      </c>
      <c r="F2351" s="136" t="str">
        <f t="shared" si="135"/>
        <v/>
      </c>
      <c r="G2351" s="137" t="e">
        <f>IF(A2351&lt;&gt;"",IF(AND(#REF!="Padrão",$H$4=#REF!),BDI!$B$17,IF(AND(#REF!="Padrão",$H$4=#REF!),BDI!#REF!,IF(AND(#REF!="Diferenciado",$H$4=#REF!),BDI!$E$17,IF(AND(#REF!="Diferenciado",$H$4=#REF!),BDI!#REF!,IF(#REF!="ZERO",0))))),"")</f>
        <v>#REF!</v>
      </c>
      <c r="H2351" s="138" t="str">
        <f t="shared" si="136"/>
        <v/>
      </c>
      <c r="I2351" s="136" t="str">
        <f t="shared" si="137"/>
        <v/>
      </c>
    </row>
    <row r="2352" spans="1:9" hidden="1" x14ac:dyDescent="0.25">
      <c r="A2352" s="114" t="s">
        <v>6071</v>
      </c>
      <c r="B2352" s="115" t="s">
        <v>4839</v>
      </c>
      <c r="C2352" s="116" t="s">
        <v>20</v>
      </c>
      <c r="D2352" s="116">
        <v>0</v>
      </c>
      <c r="E2352" s="135" t="s">
        <v>558</v>
      </c>
      <c r="F2352" s="136" t="str">
        <f t="shared" si="135"/>
        <v/>
      </c>
      <c r="G2352" s="137" t="e">
        <f>IF(A2352&lt;&gt;"",IF(AND(#REF!="Padrão",$H$4=#REF!),BDI!$B$17,IF(AND(#REF!="Padrão",$H$4=#REF!),BDI!#REF!,IF(AND(#REF!="Diferenciado",$H$4=#REF!),BDI!$E$17,IF(AND(#REF!="Diferenciado",$H$4=#REF!),BDI!#REF!,IF(#REF!="ZERO",0))))),"")</f>
        <v>#REF!</v>
      </c>
      <c r="H2352" s="138" t="str">
        <f t="shared" si="136"/>
        <v/>
      </c>
      <c r="I2352" s="136" t="str">
        <f t="shared" si="137"/>
        <v/>
      </c>
    </row>
    <row r="2353" spans="1:9" hidden="1" x14ac:dyDescent="0.25">
      <c r="A2353" s="114" t="s">
        <v>6072</v>
      </c>
      <c r="B2353" s="115" t="s">
        <v>4840</v>
      </c>
      <c r="C2353" s="116" t="s">
        <v>20</v>
      </c>
      <c r="D2353" s="116">
        <v>0</v>
      </c>
      <c r="E2353" s="135" t="s">
        <v>558</v>
      </c>
      <c r="F2353" s="136" t="str">
        <f t="shared" si="135"/>
        <v/>
      </c>
      <c r="G2353" s="137" t="e">
        <f>IF(A2353&lt;&gt;"",IF(AND(#REF!="Padrão",$H$4=#REF!),BDI!$B$17,IF(AND(#REF!="Padrão",$H$4=#REF!),BDI!#REF!,IF(AND(#REF!="Diferenciado",$H$4=#REF!),BDI!$E$17,IF(AND(#REF!="Diferenciado",$H$4=#REF!),BDI!#REF!,IF(#REF!="ZERO",0))))),"")</f>
        <v>#REF!</v>
      </c>
      <c r="H2353" s="138" t="str">
        <f t="shared" si="136"/>
        <v/>
      </c>
      <c r="I2353" s="136" t="str">
        <f t="shared" si="137"/>
        <v/>
      </c>
    </row>
    <row r="2354" spans="1:9" hidden="1" x14ac:dyDescent="0.25">
      <c r="A2354" s="114" t="s">
        <v>6073</v>
      </c>
      <c r="B2354" s="115" t="s">
        <v>4841</v>
      </c>
      <c r="C2354" s="116" t="s">
        <v>20</v>
      </c>
      <c r="D2354" s="116">
        <v>0</v>
      </c>
      <c r="E2354" s="135" t="s">
        <v>558</v>
      </c>
      <c r="F2354" s="136" t="str">
        <f t="shared" si="135"/>
        <v/>
      </c>
      <c r="G2354" s="137" t="e">
        <f>IF(A2354&lt;&gt;"",IF(AND(#REF!="Padrão",$H$4=#REF!),BDI!$B$17,IF(AND(#REF!="Padrão",$H$4=#REF!),BDI!#REF!,IF(AND(#REF!="Diferenciado",$H$4=#REF!),BDI!$E$17,IF(AND(#REF!="Diferenciado",$H$4=#REF!),BDI!#REF!,IF(#REF!="ZERO",0))))),"")</f>
        <v>#REF!</v>
      </c>
      <c r="H2354" s="138" t="str">
        <f t="shared" si="136"/>
        <v/>
      </c>
      <c r="I2354" s="136" t="str">
        <f t="shared" si="137"/>
        <v/>
      </c>
    </row>
    <row r="2355" spans="1:9" hidden="1" x14ac:dyDescent="0.25">
      <c r="A2355" s="114" t="s">
        <v>6074</v>
      </c>
      <c r="B2355" s="115" t="s">
        <v>4842</v>
      </c>
      <c r="C2355" s="116" t="s">
        <v>20</v>
      </c>
      <c r="D2355" s="116">
        <v>0</v>
      </c>
      <c r="E2355" s="135" t="s">
        <v>558</v>
      </c>
      <c r="F2355" s="136" t="str">
        <f t="shared" si="135"/>
        <v/>
      </c>
      <c r="G2355" s="137" t="e">
        <f>IF(A2355&lt;&gt;"",IF(AND(#REF!="Padrão",$H$4=#REF!),BDI!$B$17,IF(AND(#REF!="Padrão",$H$4=#REF!),BDI!#REF!,IF(AND(#REF!="Diferenciado",$H$4=#REF!),BDI!$E$17,IF(AND(#REF!="Diferenciado",$H$4=#REF!),BDI!#REF!,IF(#REF!="ZERO",0))))),"")</f>
        <v>#REF!</v>
      </c>
      <c r="H2355" s="138" t="str">
        <f t="shared" si="136"/>
        <v/>
      </c>
      <c r="I2355" s="136" t="str">
        <f t="shared" si="137"/>
        <v/>
      </c>
    </row>
    <row r="2356" spans="1:9" hidden="1" x14ac:dyDescent="0.25">
      <c r="A2356" s="114" t="s">
        <v>6075</v>
      </c>
      <c r="B2356" s="115" t="s">
        <v>4843</v>
      </c>
      <c r="C2356" s="116" t="s">
        <v>20</v>
      </c>
      <c r="D2356" s="116">
        <v>0</v>
      </c>
      <c r="E2356" s="135" t="s">
        <v>558</v>
      </c>
      <c r="F2356" s="136" t="str">
        <f t="shared" si="135"/>
        <v/>
      </c>
      <c r="G2356" s="137" t="e">
        <f>IF(A2356&lt;&gt;"",IF(AND(#REF!="Padrão",$H$4=#REF!),BDI!$B$17,IF(AND(#REF!="Padrão",$H$4=#REF!),BDI!#REF!,IF(AND(#REF!="Diferenciado",$H$4=#REF!),BDI!$E$17,IF(AND(#REF!="Diferenciado",$H$4=#REF!),BDI!#REF!,IF(#REF!="ZERO",0))))),"")</f>
        <v>#REF!</v>
      </c>
      <c r="H2356" s="138" t="str">
        <f t="shared" si="136"/>
        <v/>
      </c>
      <c r="I2356" s="136" t="str">
        <f t="shared" si="137"/>
        <v/>
      </c>
    </row>
    <row r="2357" spans="1:9" hidden="1" x14ac:dyDescent="0.25">
      <c r="A2357" s="114" t="s">
        <v>6076</v>
      </c>
      <c r="B2357" s="115" t="s">
        <v>4844</v>
      </c>
      <c r="C2357" s="116" t="s">
        <v>20</v>
      </c>
      <c r="D2357" s="116">
        <v>0</v>
      </c>
      <c r="E2357" s="135" t="s">
        <v>558</v>
      </c>
      <c r="F2357" s="136" t="str">
        <f t="shared" si="135"/>
        <v/>
      </c>
      <c r="G2357" s="137" t="e">
        <f>IF(A2357&lt;&gt;"",IF(AND(#REF!="Padrão",$H$4=#REF!),BDI!$B$17,IF(AND(#REF!="Padrão",$H$4=#REF!),BDI!#REF!,IF(AND(#REF!="Diferenciado",$H$4=#REF!),BDI!$E$17,IF(AND(#REF!="Diferenciado",$H$4=#REF!),BDI!#REF!,IF(#REF!="ZERO",0))))),"")</f>
        <v>#REF!</v>
      </c>
      <c r="H2357" s="138" t="str">
        <f t="shared" si="136"/>
        <v/>
      </c>
      <c r="I2357" s="136" t="str">
        <f t="shared" si="137"/>
        <v/>
      </c>
    </row>
    <row r="2358" spans="1:9" hidden="1" x14ac:dyDescent="0.25">
      <c r="A2358" s="114" t="s">
        <v>6077</v>
      </c>
      <c r="B2358" s="115" t="s">
        <v>4845</v>
      </c>
      <c r="C2358" s="116" t="s">
        <v>20</v>
      </c>
      <c r="D2358" s="116">
        <v>0</v>
      </c>
      <c r="E2358" s="135" t="s">
        <v>558</v>
      </c>
      <c r="F2358" s="136" t="str">
        <f t="shared" si="135"/>
        <v/>
      </c>
      <c r="G2358" s="137" t="e">
        <f>IF(A2358&lt;&gt;"",IF(AND(#REF!="Padrão",$H$4=#REF!),BDI!$B$17,IF(AND(#REF!="Padrão",$H$4=#REF!),BDI!#REF!,IF(AND(#REF!="Diferenciado",$H$4=#REF!),BDI!$E$17,IF(AND(#REF!="Diferenciado",$H$4=#REF!),BDI!#REF!,IF(#REF!="ZERO",0))))),"")</f>
        <v>#REF!</v>
      </c>
      <c r="H2358" s="138" t="str">
        <f t="shared" si="136"/>
        <v/>
      </c>
      <c r="I2358" s="136" t="str">
        <f t="shared" si="137"/>
        <v/>
      </c>
    </row>
    <row r="2359" spans="1:9" hidden="1" x14ac:dyDescent="0.25">
      <c r="A2359" s="114" t="s">
        <v>6078</v>
      </c>
      <c r="B2359" s="115" t="s">
        <v>4846</v>
      </c>
      <c r="C2359" s="116" t="s">
        <v>20</v>
      </c>
      <c r="D2359" s="116">
        <v>0</v>
      </c>
      <c r="E2359" s="135" t="s">
        <v>558</v>
      </c>
      <c r="F2359" s="136" t="str">
        <f t="shared" si="135"/>
        <v/>
      </c>
      <c r="G2359" s="137" t="e">
        <f>IF(A2359&lt;&gt;"",IF(AND(#REF!="Padrão",$H$4=#REF!),BDI!$B$17,IF(AND(#REF!="Padrão",$H$4=#REF!),BDI!#REF!,IF(AND(#REF!="Diferenciado",$H$4=#REF!),BDI!$E$17,IF(AND(#REF!="Diferenciado",$H$4=#REF!),BDI!#REF!,IF(#REF!="ZERO",0))))),"")</f>
        <v>#REF!</v>
      </c>
      <c r="H2359" s="138" t="str">
        <f t="shared" si="136"/>
        <v/>
      </c>
      <c r="I2359" s="136" t="str">
        <f t="shared" si="137"/>
        <v/>
      </c>
    </row>
    <row r="2360" spans="1:9" hidden="1" x14ac:dyDescent="0.25">
      <c r="A2360" s="114" t="s">
        <v>6079</v>
      </c>
      <c r="B2360" s="115" t="s">
        <v>4847</v>
      </c>
      <c r="C2360" s="116" t="s">
        <v>20</v>
      </c>
      <c r="D2360" s="116">
        <v>0</v>
      </c>
      <c r="E2360" s="135" t="s">
        <v>558</v>
      </c>
      <c r="F2360" s="136" t="str">
        <f t="shared" si="135"/>
        <v/>
      </c>
      <c r="G2360" s="137" t="e">
        <f>IF(A2360&lt;&gt;"",IF(AND(#REF!="Padrão",$H$4=#REF!),BDI!$B$17,IF(AND(#REF!="Padrão",$H$4=#REF!),BDI!#REF!,IF(AND(#REF!="Diferenciado",$H$4=#REF!),BDI!$E$17,IF(AND(#REF!="Diferenciado",$H$4=#REF!),BDI!#REF!,IF(#REF!="ZERO",0))))),"")</f>
        <v>#REF!</v>
      </c>
      <c r="H2360" s="138" t="str">
        <f t="shared" si="136"/>
        <v/>
      </c>
      <c r="I2360" s="136" t="str">
        <f t="shared" si="137"/>
        <v/>
      </c>
    </row>
    <row r="2361" spans="1:9" hidden="1" x14ac:dyDescent="0.25">
      <c r="A2361" s="114" t="s">
        <v>6080</v>
      </c>
      <c r="B2361" s="115" t="s">
        <v>4848</v>
      </c>
      <c r="C2361" s="116" t="s">
        <v>20</v>
      </c>
      <c r="D2361" s="116">
        <v>0</v>
      </c>
      <c r="E2361" s="135" t="s">
        <v>558</v>
      </c>
      <c r="F2361" s="136" t="str">
        <f t="shared" si="135"/>
        <v/>
      </c>
      <c r="G2361" s="137" t="e">
        <f>IF(A2361&lt;&gt;"",IF(AND(#REF!="Padrão",$H$4=#REF!),BDI!$B$17,IF(AND(#REF!="Padrão",$H$4=#REF!),BDI!#REF!,IF(AND(#REF!="Diferenciado",$H$4=#REF!),BDI!$E$17,IF(AND(#REF!="Diferenciado",$H$4=#REF!),BDI!#REF!,IF(#REF!="ZERO",0))))),"")</f>
        <v>#REF!</v>
      </c>
      <c r="H2361" s="138" t="str">
        <f t="shared" si="136"/>
        <v/>
      </c>
      <c r="I2361" s="136" t="str">
        <f t="shared" si="137"/>
        <v/>
      </c>
    </row>
    <row r="2362" spans="1:9" hidden="1" x14ac:dyDescent="0.25">
      <c r="A2362" s="114" t="s">
        <v>6081</v>
      </c>
      <c r="B2362" s="115" t="s">
        <v>4849</v>
      </c>
      <c r="C2362" s="116" t="s">
        <v>20</v>
      </c>
      <c r="D2362" s="116">
        <v>0</v>
      </c>
      <c r="E2362" s="135" t="s">
        <v>558</v>
      </c>
      <c r="F2362" s="136" t="str">
        <f t="shared" si="135"/>
        <v/>
      </c>
      <c r="G2362" s="137" t="e">
        <f>IF(A2362&lt;&gt;"",IF(AND(#REF!="Padrão",$H$4=#REF!),BDI!$B$17,IF(AND(#REF!="Padrão",$H$4=#REF!),BDI!#REF!,IF(AND(#REF!="Diferenciado",$H$4=#REF!),BDI!$E$17,IF(AND(#REF!="Diferenciado",$H$4=#REF!),BDI!#REF!,IF(#REF!="ZERO",0))))),"")</f>
        <v>#REF!</v>
      </c>
      <c r="H2362" s="138" t="str">
        <f t="shared" si="136"/>
        <v/>
      </c>
      <c r="I2362" s="136" t="str">
        <f t="shared" si="137"/>
        <v/>
      </c>
    </row>
    <row r="2363" spans="1:9" hidden="1" x14ac:dyDescent="0.25">
      <c r="A2363" s="114" t="s">
        <v>6082</v>
      </c>
      <c r="B2363" s="115" t="s">
        <v>4850</v>
      </c>
      <c r="C2363" s="116" t="s">
        <v>20</v>
      </c>
      <c r="D2363" s="116">
        <v>0</v>
      </c>
      <c r="E2363" s="135" t="s">
        <v>558</v>
      </c>
      <c r="F2363" s="136" t="str">
        <f t="shared" si="135"/>
        <v/>
      </c>
      <c r="G2363" s="137" t="e">
        <f>IF(A2363&lt;&gt;"",IF(AND(#REF!="Padrão",$H$4=#REF!),BDI!$B$17,IF(AND(#REF!="Padrão",$H$4=#REF!),BDI!#REF!,IF(AND(#REF!="Diferenciado",$H$4=#REF!),BDI!$E$17,IF(AND(#REF!="Diferenciado",$H$4=#REF!),BDI!#REF!,IF(#REF!="ZERO",0))))),"")</f>
        <v>#REF!</v>
      </c>
      <c r="H2363" s="138" t="str">
        <f t="shared" si="136"/>
        <v/>
      </c>
      <c r="I2363" s="136" t="str">
        <f t="shared" si="137"/>
        <v/>
      </c>
    </row>
    <row r="2364" spans="1:9" hidden="1" x14ac:dyDescent="0.25">
      <c r="A2364" s="114" t="s">
        <v>6083</v>
      </c>
      <c r="B2364" s="115" t="s">
        <v>4851</v>
      </c>
      <c r="C2364" s="116" t="s">
        <v>20</v>
      </c>
      <c r="D2364" s="116">
        <v>0</v>
      </c>
      <c r="E2364" s="135" t="s">
        <v>558</v>
      </c>
      <c r="F2364" s="136" t="str">
        <f t="shared" si="135"/>
        <v/>
      </c>
      <c r="G2364" s="137" t="e">
        <f>IF(A2364&lt;&gt;"",IF(AND(#REF!="Padrão",$H$4=#REF!),BDI!$B$17,IF(AND(#REF!="Padrão",$H$4=#REF!),BDI!#REF!,IF(AND(#REF!="Diferenciado",$H$4=#REF!),BDI!$E$17,IF(AND(#REF!="Diferenciado",$H$4=#REF!),BDI!#REF!,IF(#REF!="ZERO",0))))),"")</f>
        <v>#REF!</v>
      </c>
      <c r="H2364" s="138" t="str">
        <f t="shared" si="136"/>
        <v/>
      </c>
      <c r="I2364" s="136" t="str">
        <f t="shared" si="137"/>
        <v/>
      </c>
    </row>
    <row r="2365" spans="1:9" hidden="1" x14ac:dyDescent="0.25">
      <c r="A2365" s="114" t="s">
        <v>6084</v>
      </c>
      <c r="B2365" s="115" t="s">
        <v>4852</v>
      </c>
      <c r="C2365" s="116" t="s">
        <v>20</v>
      </c>
      <c r="D2365" s="116">
        <v>0</v>
      </c>
      <c r="E2365" s="135" t="s">
        <v>558</v>
      </c>
      <c r="F2365" s="136" t="str">
        <f t="shared" si="135"/>
        <v/>
      </c>
      <c r="G2365" s="137" t="e">
        <f>IF(A2365&lt;&gt;"",IF(AND(#REF!="Padrão",$H$4=#REF!),BDI!$B$17,IF(AND(#REF!="Padrão",$H$4=#REF!),BDI!#REF!,IF(AND(#REF!="Diferenciado",$H$4=#REF!),BDI!$E$17,IF(AND(#REF!="Diferenciado",$H$4=#REF!),BDI!#REF!,IF(#REF!="ZERO",0))))),"")</f>
        <v>#REF!</v>
      </c>
      <c r="H2365" s="138" t="str">
        <f t="shared" si="136"/>
        <v/>
      </c>
      <c r="I2365" s="136" t="str">
        <f t="shared" si="137"/>
        <v/>
      </c>
    </row>
    <row r="2366" spans="1:9" hidden="1" x14ac:dyDescent="0.25">
      <c r="A2366" s="114" t="s">
        <v>6085</v>
      </c>
      <c r="B2366" s="115" t="s">
        <v>4853</v>
      </c>
      <c r="C2366" s="116" t="s">
        <v>20</v>
      </c>
      <c r="D2366" s="116">
        <v>0</v>
      </c>
      <c r="E2366" s="135" t="s">
        <v>558</v>
      </c>
      <c r="F2366" s="136" t="str">
        <f t="shared" si="135"/>
        <v/>
      </c>
      <c r="G2366" s="137" t="e">
        <f>IF(A2366&lt;&gt;"",IF(AND(#REF!="Padrão",$H$4=#REF!),BDI!$B$17,IF(AND(#REF!="Padrão",$H$4=#REF!),BDI!#REF!,IF(AND(#REF!="Diferenciado",$H$4=#REF!),BDI!$E$17,IF(AND(#REF!="Diferenciado",$H$4=#REF!),BDI!#REF!,IF(#REF!="ZERO",0))))),"")</f>
        <v>#REF!</v>
      </c>
      <c r="H2366" s="138" t="str">
        <f t="shared" si="136"/>
        <v/>
      </c>
      <c r="I2366" s="136" t="str">
        <f t="shared" si="137"/>
        <v/>
      </c>
    </row>
    <row r="2367" spans="1:9" hidden="1" x14ac:dyDescent="0.25">
      <c r="A2367" s="114" t="s">
        <v>6086</v>
      </c>
      <c r="B2367" s="115" t="s">
        <v>4854</v>
      </c>
      <c r="C2367" s="116" t="s">
        <v>20</v>
      </c>
      <c r="D2367" s="116">
        <v>0</v>
      </c>
      <c r="E2367" s="135" t="s">
        <v>558</v>
      </c>
      <c r="F2367" s="136" t="str">
        <f t="shared" si="135"/>
        <v/>
      </c>
      <c r="G2367" s="137" t="e">
        <f>IF(A2367&lt;&gt;"",IF(AND(#REF!="Padrão",$H$4=#REF!),BDI!$B$17,IF(AND(#REF!="Padrão",$H$4=#REF!),BDI!#REF!,IF(AND(#REF!="Diferenciado",$H$4=#REF!),BDI!$E$17,IF(AND(#REF!="Diferenciado",$H$4=#REF!),BDI!#REF!,IF(#REF!="ZERO",0))))),"")</f>
        <v>#REF!</v>
      </c>
      <c r="H2367" s="138" t="str">
        <f t="shared" si="136"/>
        <v/>
      </c>
      <c r="I2367" s="136" t="str">
        <f t="shared" si="137"/>
        <v/>
      </c>
    </row>
    <row r="2368" spans="1:9" hidden="1" x14ac:dyDescent="0.25">
      <c r="A2368" s="114" t="s">
        <v>6087</v>
      </c>
      <c r="B2368" s="115" t="s">
        <v>4855</v>
      </c>
      <c r="C2368" s="116" t="s">
        <v>95</v>
      </c>
      <c r="D2368" s="116">
        <v>0</v>
      </c>
      <c r="E2368" s="135" t="s">
        <v>558</v>
      </c>
      <c r="F2368" s="136" t="str">
        <f t="shared" si="135"/>
        <v/>
      </c>
      <c r="G2368" s="137" t="e">
        <f>IF(A2368&lt;&gt;"",IF(AND(#REF!="Padrão",$H$4=#REF!),BDI!$B$17,IF(AND(#REF!="Padrão",$H$4=#REF!),BDI!#REF!,IF(AND(#REF!="Diferenciado",$H$4=#REF!),BDI!$E$17,IF(AND(#REF!="Diferenciado",$H$4=#REF!),BDI!#REF!,IF(#REF!="ZERO",0))))),"")</f>
        <v>#REF!</v>
      </c>
      <c r="H2368" s="138" t="str">
        <f t="shared" si="136"/>
        <v/>
      </c>
      <c r="I2368" s="136" t="str">
        <f t="shared" si="137"/>
        <v/>
      </c>
    </row>
    <row r="2369" spans="1:9" hidden="1" x14ac:dyDescent="0.25">
      <c r="A2369" s="114" t="s">
        <v>6088</v>
      </c>
      <c r="B2369" s="115" t="s">
        <v>4856</v>
      </c>
      <c r="C2369" s="116" t="s">
        <v>20</v>
      </c>
      <c r="D2369" s="116">
        <v>0</v>
      </c>
      <c r="E2369" s="135" t="s">
        <v>558</v>
      </c>
      <c r="F2369" s="136" t="str">
        <f t="shared" si="135"/>
        <v/>
      </c>
      <c r="G2369" s="137" t="e">
        <f>IF(A2369&lt;&gt;"",IF(AND(#REF!="Padrão",$H$4=#REF!),BDI!$B$17,IF(AND(#REF!="Padrão",$H$4=#REF!),BDI!#REF!,IF(AND(#REF!="Diferenciado",$H$4=#REF!),BDI!$E$17,IF(AND(#REF!="Diferenciado",$H$4=#REF!),BDI!#REF!,IF(#REF!="ZERO",0))))),"")</f>
        <v>#REF!</v>
      </c>
      <c r="H2369" s="138" t="str">
        <f t="shared" si="136"/>
        <v/>
      </c>
      <c r="I2369" s="136" t="str">
        <f t="shared" si="137"/>
        <v/>
      </c>
    </row>
    <row r="2370" spans="1:9" hidden="1" x14ac:dyDescent="0.25">
      <c r="A2370" s="114" t="s">
        <v>6089</v>
      </c>
      <c r="B2370" s="115" t="s">
        <v>4857</v>
      </c>
      <c r="C2370" s="116" t="s">
        <v>20</v>
      </c>
      <c r="D2370" s="116">
        <v>0</v>
      </c>
      <c r="E2370" s="135" t="s">
        <v>558</v>
      </c>
      <c r="F2370" s="136" t="str">
        <f t="shared" si="135"/>
        <v/>
      </c>
      <c r="G2370" s="137" t="e">
        <f>IF(A2370&lt;&gt;"",IF(AND(#REF!="Padrão",$H$4=#REF!),BDI!$B$17,IF(AND(#REF!="Padrão",$H$4=#REF!),BDI!#REF!,IF(AND(#REF!="Diferenciado",$H$4=#REF!),BDI!$E$17,IF(AND(#REF!="Diferenciado",$H$4=#REF!),BDI!#REF!,IF(#REF!="ZERO",0))))),"")</f>
        <v>#REF!</v>
      </c>
      <c r="H2370" s="138" t="str">
        <f t="shared" si="136"/>
        <v/>
      </c>
      <c r="I2370" s="136" t="str">
        <f t="shared" si="137"/>
        <v/>
      </c>
    </row>
    <row r="2371" spans="1:9" hidden="1" x14ac:dyDescent="0.25">
      <c r="A2371" s="114" t="s">
        <v>6090</v>
      </c>
      <c r="B2371" s="115" t="s">
        <v>4858</v>
      </c>
      <c r="C2371" s="116" t="s">
        <v>20</v>
      </c>
      <c r="D2371" s="116">
        <v>0</v>
      </c>
      <c r="E2371" s="135" t="s">
        <v>558</v>
      </c>
      <c r="F2371" s="136" t="str">
        <f t="shared" si="135"/>
        <v/>
      </c>
      <c r="G2371" s="137" t="e">
        <f>IF(A2371&lt;&gt;"",IF(AND(#REF!="Padrão",$H$4=#REF!),BDI!$B$17,IF(AND(#REF!="Padrão",$H$4=#REF!),BDI!#REF!,IF(AND(#REF!="Diferenciado",$H$4=#REF!),BDI!$E$17,IF(AND(#REF!="Diferenciado",$H$4=#REF!),BDI!#REF!,IF(#REF!="ZERO",0))))),"")</f>
        <v>#REF!</v>
      </c>
      <c r="H2371" s="138" t="str">
        <f t="shared" si="136"/>
        <v/>
      </c>
      <c r="I2371" s="136" t="str">
        <f t="shared" si="137"/>
        <v/>
      </c>
    </row>
    <row r="2372" spans="1:9" hidden="1" x14ac:dyDescent="0.25">
      <c r="A2372" s="114" t="s">
        <v>6091</v>
      </c>
      <c r="B2372" s="115" t="s">
        <v>4859</v>
      </c>
      <c r="C2372" s="116" t="s">
        <v>20</v>
      </c>
      <c r="D2372" s="116">
        <v>0</v>
      </c>
      <c r="E2372" s="135" t="s">
        <v>558</v>
      </c>
      <c r="F2372" s="136" t="str">
        <f t="shared" si="135"/>
        <v/>
      </c>
      <c r="G2372" s="137" t="e">
        <f>IF(A2372&lt;&gt;"",IF(AND(#REF!="Padrão",$H$4=#REF!),BDI!$B$17,IF(AND(#REF!="Padrão",$H$4=#REF!),BDI!#REF!,IF(AND(#REF!="Diferenciado",$H$4=#REF!),BDI!$E$17,IF(AND(#REF!="Diferenciado",$H$4=#REF!),BDI!#REF!,IF(#REF!="ZERO",0))))),"")</f>
        <v>#REF!</v>
      </c>
      <c r="H2372" s="138" t="str">
        <f t="shared" si="136"/>
        <v/>
      </c>
      <c r="I2372" s="136" t="str">
        <f t="shared" si="137"/>
        <v/>
      </c>
    </row>
    <row r="2373" spans="1:9" hidden="1" x14ac:dyDescent="0.25">
      <c r="A2373" s="114" t="s">
        <v>6092</v>
      </c>
      <c r="B2373" s="115" t="s">
        <v>4860</v>
      </c>
      <c r="C2373" s="116" t="s">
        <v>20</v>
      </c>
      <c r="D2373" s="116">
        <v>0</v>
      </c>
      <c r="E2373" s="135" t="s">
        <v>558</v>
      </c>
      <c r="F2373" s="136" t="str">
        <f t="shared" si="135"/>
        <v/>
      </c>
      <c r="G2373" s="137" t="e">
        <f>IF(A2373&lt;&gt;"",IF(AND(#REF!="Padrão",$H$4=#REF!),BDI!$B$17,IF(AND(#REF!="Padrão",$H$4=#REF!),BDI!#REF!,IF(AND(#REF!="Diferenciado",$H$4=#REF!),BDI!$E$17,IF(AND(#REF!="Diferenciado",$H$4=#REF!),BDI!#REF!,IF(#REF!="ZERO",0))))),"")</f>
        <v>#REF!</v>
      </c>
      <c r="H2373" s="138" t="str">
        <f t="shared" si="136"/>
        <v/>
      </c>
      <c r="I2373" s="136" t="str">
        <f t="shared" si="137"/>
        <v/>
      </c>
    </row>
    <row r="2374" spans="1:9" hidden="1" x14ac:dyDescent="0.25">
      <c r="A2374" s="114" t="s">
        <v>6093</v>
      </c>
      <c r="B2374" s="115" t="s">
        <v>4861</v>
      </c>
      <c r="C2374" s="116" t="s">
        <v>20</v>
      </c>
      <c r="D2374" s="116">
        <v>0</v>
      </c>
      <c r="E2374" s="135" t="s">
        <v>558</v>
      </c>
      <c r="F2374" s="136" t="str">
        <f t="shared" si="135"/>
        <v/>
      </c>
      <c r="G2374" s="137" t="e">
        <f>IF(A2374&lt;&gt;"",IF(AND(#REF!="Padrão",$H$4=#REF!),BDI!$B$17,IF(AND(#REF!="Padrão",$H$4=#REF!),BDI!#REF!,IF(AND(#REF!="Diferenciado",$H$4=#REF!),BDI!$E$17,IF(AND(#REF!="Diferenciado",$H$4=#REF!),BDI!#REF!,IF(#REF!="ZERO",0))))),"")</f>
        <v>#REF!</v>
      </c>
      <c r="H2374" s="138" t="str">
        <f t="shared" si="136"/>
        <v/>
      </c>
      <c r="I2374" s="136" t="str">
        <f t="shared" si="137"/>
        <v/>
      </c>
    </row>
    <row r="2375" spans="1:9" hidden="1" x14ac:dyDescent="0.25">
      <c r="A2375" s="114" t="s">
        <v>6094</v>
      </c>
      <c r="B2375" s="115" t="s">
        <v>4862</v>
      </c>
      <c r="C2375" s="116" t="s">
        <v>20</v>
      </c>
      <c r="D2375" s="116">
        <v>0</v>
      </c>
      <c r="E2375" s="135" t="s">
        <v>558</v>
      </c>
      <c r="F2375" s="136" t="str">
        <f t="shared" si="135"/>
        <v/>
      </c>
      <c r="G2375" s="137" t="e">
        <f>IF(A2375&lt;&gt;"",IF(AND(#REF!="Padrão",$H$4=#REF!),BDI!$B$17,IF(AND(#REF!="Padrão",$H$4=#REF!),BDI!#REF!,IF(AND(#REF!="Diferenciado",$H$4=#REF!),BDI!$E$17,IF(AND(#REF!="Diferenciado",$H$4=#REF!),BDI!#REF!,IF(#REF!="ZERO",0))))),"")</f>
        <v>#REF!</v>
      </c>
      <c r="H2375" s="138" t="str">
        <f t="shared" si="136"/>
        <v/>
      </c>
      <c r="I2375" s="136" t="str">
        <f t="shared" si="137"/>
        <v/>
      </c>
    </row>
    <row r="2376" spans="1:9" hidden="1" x14ac:dyDescent="0.25">
      <c r="A2376" s="114" t="s">
        <v>6095</v>
      </c>
      <c r="B2376" s="115" t="s">
        <v>4863</v>
      </c>
      <c r="C2376" s="116" t="s">
        <v>20</v>
      </c>
      <c r="D2376" s="116">
        <v>0</v>
      </c>
      <c r="E2376" s="135" t="s">
        <v>558</v>
      </c>
      <c r="F2376" s="136" t="str">
        <f t="shared" si="135"/>
        <v/>
      </c>
      <c r="G2376" s="137" t="e">
        <f>IF(A2376&lt;&gt;"",IF(AND(#REF!="Padrão",$H$4=#REF!),BDI!$B$17,IF(AND(#REF!="Padrão",$H$4=#REF!),BDI!#REF!,IF(AND(#REF!="Diferenciado",$H$4=#REF!),BDI!$E$17,IF(AND(#REF!="Diferenciado",$H$4=#REF!),BDI!#REF!,IF(#REF!="ZERO",0))))),"")</f>
        <v>#REF!</v>
      </c>
      <c r="H2376" s="138" t="str">
        <f t="shared" si="136"/>
        <v/>
      </c>
      <c r="I2376" s="136" t="str">
        <f t="shared" si="137"/>
        <v/>
      </c>
    </row>
    <row r="2377" spans="1:9" hidden="1" x14ac:dyDescent="0.25">
      <c r="A2377" s="114" t="s">
        <v>6096</v>
      </c>
      <c r="B2377" s="115" t="s">
        <v>4864</v>
      </c>
      <c r="C2377" s="116" t="s">
        <v>42</v>
      </c>
      <c r="D2377" s="116">
        <v>0</v>
      </c>
      <c r="E2377" s="135" t="s">
        <v>558</v>
      </c>
      <c r="F2377" s="136" t="str">
        <f t="shared" si="135"/>
        <v/>
      </c>
      <c r="G2377" s="137" t="e">
        <f>IF(A2377&lt;&gt;"",IF(AND(#REF!="Padrão",$H$4=#REF!),BDI!$B$17,IF(AND(#REF!="Padrão",$H$4=#REF!),BDI!#REF!,IF(AND(#REF!="Diferenciado",$H$4=#REF!),BDI!$E$17,IF(AND(#REF!="Diferenciado",$H$4=#REF!),BDI!#REF!,IF(#REF!="ZERO",0))))),"")</f>
        <v>#REF!</v>
      </c>
      <c r="H2377" s="138" t="str">
        <f t="shared" si="136"/>
        <v/>
      </c>
      <c r="I2377" s="136" t="str">
        <f t="shared" si="137"/>
        <v/>
      </c>
    </row>
    <row r="2378" spans="1:9" hidden="1" x14ac:dyDescent="0.25">
      <c r="A2378" s="114" t="s">
        <v>6097</v>
      </c>
      <c r="B2378" s="115" t="s">
        <v>4865</v>
      </c>
      <c r="C2378" s="116" t="s">
        <v>2740</v>
      </c>
      <c r="D2378" s="116">
        <v>0</v>
      </c>
      <c r="E2378" s="135" t="s">
        <v>558</v>
      </c>
      <c r="F2378" s="136" t="str">
        <f t="shared" si="135"/>
        <v/>
      </c>
      <c r="G2378" s="137" t="e">
        <f>IF(A2378&lt;&gt;"",IF(AND(#REF!="Padrão",$H$4=#REF!),BDI!$B$17,IF(AND(#REF!="Padrão",$H$4=#REF!),BDI!#REF!,IF(AND(#REF!="Diferenciado",$H$4=#REF!),BDI!$E$17,IF(AND(#REF!="Diferenciado",$H$4=#REF!),BDI!#REF!,IF(#REF!="ZERO",0))))),"")</f>
        <v>#REF!</v>
      </c>
      <c r="H2378" s="138" t="str">
        <f t="shared" si="136"/>
        <v/>
      </c>
      <c r="I2378" s="136" t="str">
        <f t="shared" si="137"/>
        <v/>
      </c>
    </row>
    <row r="2379" spans="1:9" hidden="1" x14ac:dyDescent="0.25">
      <c r="A2379" s="114" t="s">
        <v>6098</v>
      </c>
      <c r="B2379" s="115" t="s">
        <v>4866</v>
      </c>
      <c r="C2379" s="116" t="s">
        <v>2740</v>
      </c>
      <c r="D2379" s="116">
        <v>0</v>
      </c>
      <c r="E2379" s="135" t="s">
        <v>558</v>
      </c>
      <c r="F2379" s="136" t="str">
        <f t="shared" si="135"/>
        <v/>
      </c>
      <c r="G2379" s="137" t="e">
        <f>IF(A2379&lt;&gt;"",IF(AND(#REF!="Padrão",$H$4=#REF!),BDI!$B$17,IF(AND(#REF!="Padrão",$H$4=#REF!),BDI!#REF!,IF(AND(#REF!="Diferenciado",$H$4=#REF!),BDI!$E$17,IF(AND(#REF!="Diferenciado",$H$4=#REF!),BDI!#REF!,IF(#REF!="ZERO",0))))),"")</f>
        <v>#REF!</v>
      </c>
      <c r="H2379" s="138" t="str">
        <f t="shared" si="136"/>
        <v/>
      </c>
      <c r="I2379" s="136" t="str">
        <f t="shared" si="137"/>
        <v/>
      </c>
    </row>
    <row r="2380" spans="1:9" hidden="1" x14ac:dyDescent="0.25">
      <c r="A2380" s="114" t="s">
        <v>6099</v>
      </c>
      <c r="B2380" s="115" t="s">
        <v>4867</v>
      </c>
      <c r="C2380" s="116" t="s">
        <v>2740</v>
      </c>
      <c r="D2380" s="116">
        <v>0</v>
      </c>
      <c r="E2380" s="135" t="s">
        <v>558</v>
      </c>
      <c r="F2380" s="136" t="str">
        <f t="shared" si="135"/>
        <v/>
      </c>
      <c r="G2380" s="137" t="e">
        <f>IF(A2380&lt;&gt;"",IF(AND(#REF!="Padrão",$H$4=#REF!),BDI!$B$17,IF(AND(#REF!="Padrão",$H$4=#REF!),BDI!#REF!,IF(AND(#REF!="Diferenciado",$H$4=#REF!),BDI!$E$17,IF(AND(#REF!="Diferenciado",$H$4=#REF!),BDI!#REF!,IF(#REF!="ZERO",0))))),"")</f>
        <v>#REF!</v>
      </c>
      <c r="H2380" s="138" t="str">
        <f t="shared" si="136"/>
        <v/>
      </c>
      <c r="I2380" s="136" t="str">
        <f t="shared" si="137"/>
        <v/>
      </c>
    </row>
    <row r="2381" spans="1:9" hidden="1" x14ac:dyDescent="0.25">
      <c r="A2381" s="114" t="s">
        <v>6100</v>
      </c>
      <c r="B2381" s="115" t="s">
        <v>4868</v>
      </c>
      <c r="C2381" s="116" t="s">
        <v>2740</v>
      </c>
      <c r="D2381" s="116">
        <v>0</v>
      </c>
      <c r="E2381" s="135" t="s">
        <v>558</v>
      </c>
      <c r="F2381" s="136" t="str">
        <f t="shared" si="135"/>
        <v/>
      </c>
      <c r="G2381" s="137" t="e">
        <f>IF(A2381&lt;&gt;"",IF(AND(#REF!="Padrão",$H$4=#REF!),BDI!$B$17,IF(AND(#REF!="Padrão",$H$4=#REF!),BDI!#REF!,IF(AND(#REF!="Diferenciado",$H$4=#REF!),BDI!$E$17,IF(AND(#REF!="Diferenciado",$H$4=#REF!),BDI!#REF!,IF(#REF!="ZERO",0))))),"")</f>
        <v>#REF!</v>
      </c>
      <c r="H2381" s="138" t="str">
        <f t="shared" si="136"/>
        <v/>
      </c>
      <c r="I2381" s="136" t="str">
        <f t="shared" si="137"/>
        <v/>
      </c>
    </row>
    <row r="2382" spans="1:9" hidden="1" x14ac:dyDescent="0.25">
      <c r="A2382" s="114" t="s">
        <v>6101</v>
      </c>
      <c r="B2382" s="115" t="s">
        <v>4869</v>
      </c>
      <c r="C2382" s="116" t="s">
        <v>2740</v>
      </c>
      <c r="D2382" s="116">
        <v>0</v>
      </c>
      <c r="E2382" s="135" t="s">
        <v>558</v>
      </c>
      <c r="F2382" s="136" t="str">
        <f t="shared" si="135"/>
        <v/>
      </c>
      <c r="G2382" s="137" t="e">
        <f>IF(A2382&lt;&gt;"",IF(AND(#REF!="Padrão",$H$4=#REF!),BDI!$B$17,IF(AND(#REF!="Padrão",$H$4=#REF!),BDI!#REF!,IF(AND(#REF!="Diferenciado",$H$4=#REF!),BDI!$E$17,IF(AND(#REF!="Diferenciado",$H$4=#REF!),BDI!#REF!,IF(#REF!="ZERO",0))))),"")</f>
        <v>#REF!</v>
      </c>
      <c r="H2382" s="138" t="str">
        <f t="shared" si="136"/>
        <v/>
      </c>
      <c r="I2382" s="136" t="str">
        <f t="shared" si="137"/>
        <v/>
      </c>
    </row>
    <row r="2383" spans="1:9" hidden="1" x14ac:dyDescent="0.25">
      <c r="A2383" s="114" t="s">
        <v>6102</v>
      </c>
      <c r="B2383" s="115" t="s">
        <v>4870</v>
      </c>
      <c r="C2383" s="116" t="s">
        <v>12</v>
      </c>
      <c r="D2383" s="116">
        <v>0</v>
      </c>
      <c r="E2383" s="135" t="s">
        <v>558</v>
      </c>
      <c r="F2383" s="136" t="str">
        <f t="shared" si="135"/>
        <v/>
      </c>
      <c r="G2383" s="137" t="e">
        <f>IF(A2383&lt;&gt;"",IF(AND(#REF!="Padrão",$H$4=#REF!),BDI!$B$17,IF(AND(#REF!="Padrão",$H$4=#REF!),BDI!#REF!,IF(AND(#REF!="Diferenciado",$H$4=#REF!),BDI!$E$17,IF(AND(#REF!="Diferenciado",$H$4=#REF!),BDI!#REF!,IF(#REF!="ZERO",0))))),"")</f>
        <v>#REF!</v>
      </c>
      <c r="H2383" s="138" t="str">
        <f t="shared" si="136"/>
        <v/>
      </c>
      <c r="I2383" s="136" t="str">
        <f t="shared" si="137"/>
        <v/>
      </c>
    </row>
    <row r="2384" spans="1:9" hidden="1" x14ac:dyDescent="0.25">
      <c r="A2384" s="114" t="s">
        <v>6103</v>
      </c>
      <c r="B2384" s="115" t="s">
        <v>4871</v>
      </c>
      <c r="C2384" s="116" t="s">
        <v>20</v>
      </c>
      <c r="D2384" s="116">
        <v>0</v>
      </c>
      <c r="E2384" s="135">
        <f ca="1">OFFSET(INDEX(Composições!A:J,MATCH(Orçamentária!A2384,Composições!A:A,0),8),2,0)</f>
        <v>3.1699599999999997</v>
      </c>
      <c r="F2384" s="136">
        <f t="shared" ca="1" si="135"/>
        <v>0</v>
      </c>
      <c r="G2384" s="137" t="e">
        <f>IF(A2384&lt;&gt;"",IF(AND(#REF!="Padrão",$H$4=#REF!),BDI!$B$17,IF(AND(#REF!="Padrão",$H$4=#REF!),BDI!#REF!,IF(AND(#REF!="Diferenciado",$H$4=#REF!),BDI!$E$17,IF(AND(#REF!="Diferenciado",$H$4=#REF!),BDI!#REF!,IF(#REF!="ZERO",0))))),"")</f>
        <v>#REF!</v>
      </c>
      <c r="H2384" s="138" t="e">
        <f t="shared" ca="1" si="136"/>
        <v>#REF!</v>
      </c>
      <c r="I2384" s="136" t="e">
        <f t="shared" ca="1" si="137"/>
        <v>#REF!</v>
      </c>
    </row>
    <row r="2385" spans="1:9" hidden="1" x14ac:dyDescent="0.25">
      <c r="A2385" s="114" t="s">
        <v>6104</v>
      </c>
      <c r="B2385" s="115" t="s">
        <v>4872</v>
      </c>
      <c r="C2385" s="116" t="s">
        <v>20</v>
      </c>
      <c r="D2385" s="116">
        <v>0</v>
      </c>
      <c r="E2385" s="135" t="s">
        <v>558</v>
      </c>
      <c r="F2385" s="136" t="str">
        <f t="shared" si="135"/>
        <v/>
      </c>
      <c r="G2385" s="137" t="e">
        <f>IF(A2385&lt;&gt;"",IF(AND(#REF!="Padrão",$H$4=#REF!),BDI!$B$17,IF(AND(#REF!="Padrão",$H$4=#REF!),BDI!#REF!,IF(AND(#REF!="Diferenciado",$H$4=#REF!),BDI!$E$17,IF(AND(#REF!="Diferenciado",$H$4=#REF!),BDI!#REF!,IF(#REF!="ZERO",0))))),"")</f>
        <v>#REF!</v>
      </c>
      <c r="H2385" s="138" t="str">
        <f t="shared" si="136"/>
        <v/>
      </c>
      <c r="I2385" s="136" t="str">
        <f t="shared" si="137"/>
        <v/>
      </c>
    </row>
    <row r="2386" spans="1:9" hidden="1" x14ac:dyDescent="0.25">
      <c r="A2386" s="114" t="s">
        <v>6105</v>
      </c>
      <c r="B2386" s="115" t="s">
        <v>4873</v>
      </c>
      <c r="C2386" s="116" t="s">
        <v>20</v>
      </c>
      <c r="D2386" s="116">
        <v>0</v>
      </c>
      <c r="E2386" s="135" t="s">
        <v>558</v>
      </c>
      <c r="F2386" s="136" t="str">
        <f t="shared" si="135"/>
        <v/>
      </c>
      <c r="G2386" s="137" t="e">
        <f>IF(A2386&lt;&gt;"",IF(AND(#REF!="Padrão",$H$4=#REF!),BDI!$B$17,IF(AND(#REF!="Padrão",$H$4=#REF!),BDI!#REF!,IF(AND(#REF!="Diferenciado",$H$4=#REF!),BDI!$E$17,IF(AND(#REF!="Diferenciado",$H$4=#REF!),BDI!#REF!,IF(#REF!="ZERO",0))))),"")</f>
        <v>#REF!</v>
      </c>
      <c r="H2386" s="138" t="str">
        <f t="shared" si="136"/>
        <v/>
      </c>
      <c r="I2386" s="136" t="str">
        <f t="shared" si="137"/>
        <v/>
      </c>
    </row>
    <row r="2387" spans="1:9" hidden="1" x14ac:dyDescent="0.25">
      <c r="A2387" s="114" t="s">
        <v>6106</v>
      </c>
      <c r="B2387" s="115" t="s">
        <v>4874</v>
      </c>
      <c r="C2387" s="116" t="s">
        <v>20</v>
      </c>
      <c r="D2387" s="116">
        <v>0</v>
      </c>
      <c r="E2387" s="135" t="s">
        <v>558</v>
      </c>
      <c r="F2387" s="136" t="str">
        <f t="shared" si="135"/>
        <v/>
      </c>
      <c r="G2387" s="137" t="e">
        <f>IF(A2387&lt;&gt;"",IF(AND(#REF!="Padrão",$H$4=#REF!),BDI!$B$17,IF(AND(#REF!="Padrão",$H$4=#REF!),BDI!#REF!,IF(AND(#REF!="Diferenciado",$H$4=#REF!),BDI!$E$17,IF(AND(#REF!="Diferenciado",$H$4=#REF!),BDI!#REF!,IF(#REF!="ZERO",0))))),"")</f>
        <v>#REF!</v>
      </c>
      <c r="H2387" s="138" t="str">
        <f t="shared" si="136"/>
        <v/>
      </c>
      <c r="I2387" s="136" t="str">
        <f t="shared" si="137"/>
        <v/>
      </c>
    </row>
    <row r="2388" spans="1:9" hidden="1" x14ac:dyDescent="0.25">
      <c r="A2388" s="114" t="s">
        <v>6107</v>
      </c>
      <c r="B2388" s="115" t="s">
        <v>4875</v>
      </c>
      <c r="C2388" s="116" t="s">
        <v>20</v>
      </c>
      <c r="D2388" s="116">
        <v>0</v>
      </c>
      <c r="E2388" s="135" t="s">
        <v>558</v>
      </c>
      <c r="F2388" s="136" t="str">
        <f t="shared" si="135"/>
        <v/>
      </c>
      <c r="G2388" s="137" t="e">
        <f>IF(A2388&lt;&gt;"",IF(AND(#REF!="Padrão",$H$4=#REF!),BDI!$B$17,IF(AND(#REF!="Padrão",$H$4=#REF!),BDI!#REF!,IF(AND(#REF!="Diferenciado",$H$4=#REF!),BDI!$E$17,IF(AND(#REF!="Diferenciado",$H$4=#REF!),BDI!#REF!,IF(#REF!="ZERO",0))))),"")</f>
        <v>#REF!</v>
      </c>
      <c r="H2388" s="138" t="str">
        <f t="shared" si="136"/>
        <v/>
      </c>
      <c r="I2388" s="136" t="str">
        <f t="shared" si="137"/>
        <v/>
      </c>
    </row>
    <row r="2389" spans="1:9" hidden="1" x14ac:dyDescent="0.25">
      <c r="A2389" s="114" t="s">
        <v>6108</v>
      </c>
      <c r="B2389" s="115" t="s">
        <v>4876</v>
      </c>
      <c r="C2389" s="116" t="s">
        <v>20</v>
      </c>
      <c r="D2389" s="116">
        <v>0</v>
      </c>
      <c r="E2389" s="135" t="s">
        <v>558</v>
      </c>
      <c r="F2389" s="136" t="str">
        <f t="shared" si="135"/>
        <v/>
      </c>
      <c r="G2389" s="137" t="e">
        <f>IF(A2389&lt;&gt;"",IF(AND(#REF!="Padrão",$H$4=#REF!),BDI!$B$17,IF(AND(#REF!="Padrão",$H$4=#REF!),BDI!#REF!,IF(AND(#REF!="Diferenciado",$H$4=#REF!),BDI!$E$17,IF(AND(#REF!="Diferenciado",$H$4=#REF!),BDI!#REF!,IF(#REF!="ZERO",0))))),"")</f>
        <v>#REF!</v>
      </c>
      <c r="H2389" s="138" t="str">
        <f t="shared" si="136"/>
        <v/>
      </c>
      <c r="I2389" s="136" t="str">
        <f t="shared" si="137"/>
        <v/>
      </c>
    </row>
    <row r="2390" spans="1:9" hidden="1" x14ac:dyDescent="0.25">
      <c r="A2390" s="114" t="s">
        <v>6109</v>
      </c>
      <c r="B2390" s="115" t="s">
        <v>4877</v>
      </c>
      <c r="C2390" s="116" t="s">
        <v>20</v>
      </c>
      <c r="D2390" s="116">
        <v>0</v>
      </c>
      <c r="E2390" s="135" t="s">
        <v>558</v>
      </c>
      <c r="F2390" s="136" t="str">
        <f t="shared" si="135"/>
        <v/>
      </c>
      <c r="G2390" s="137" t="e">
        <f>IF(A2390&lt;&gt;"",IF(AND(#REF!="Padrão",$H$4=#REF!),BDI!$B$17,IF(AND(#REF!="Padrão",$H$4=#REF!),BDI!#REF!,IF(AND(#REF!="Diferenciado",$H$4=#REF!),BDI!$E$17,IF(AND(#REF!="Diferenciado",$H$4=#REF!),BDI!#REF!,IF(#REF!="ZERO",0))))),"")</f>
        <v>#REF!</v>
      </c>
      <c r="H2390" s="138" t="str">
        <f t="shared" si="136"/>
        <v/>
      </c>
      <c r="I2390" s="136" t="str">
        <f t="shared" si="137"/>
        <v/>
      </c>
    </row>
    <row r="2391" spans="1:9" hidden="1" x14ac:dyDescent="0.25">
      <c r="A2391" s="114" t="s">
        <v>6110</v>
      </c>
      <c r="B2391" s="115" t="s">
        <v>4878</v>
      </c>
      <c r="C2391" s="116" t="s">
        <v>20</v>
      </c>
      <c r="D2391" s="116">
        <v>0</v>
      </c>
      <c r="E2391" s="135" t="s">
        <v>558</v>
      </c>
      <c r="F2391" s="136" t="str">
        <f t="shared" si="135"/>
        <v/>
      </c>
      <c r="G2391" s="137" t="e">
        <f>IF(A2391&lt;&gt;"",IF(AND(#REF!="Padrão",$H$4=#REF!),BDI!$B$17,IF(AND(#REF!="Padrão",$H$4=#REF!),BDI!#REF!,IF(AND(#REF!="Diferenciado",$H$4=#REF!),BDI!$E$17,IF(AND(#REF!="Diferenciado",$H$4=#REF!),BDI!#REF!,IF(#REF!="ZERO",0))))),"")</f>
        <v>#REF!</v>
      </c>
      <c r="H2391" s="138" t="str">
        <f t="shared" si="136"/>
        <v/>
      </c>
      <c r="I2391" s="136" t="str">
        <f t="shared" si="137"/>
        <v/>
      </c>
    </row>
    <row r="2392" spans="1:9" hidden="1" x14ac:dyDescent="0.25">
      <c r="A2392" s="114" t="s">
        <v>6111</v>
      </c>
      <c r="B2392" s="115" t="s">
        <v>4879</v>
      </c>
      <c r="C2392" s="116" t="s">
        <v>20</v>
      </c>
      <c r="D2392" s="116">
        <v>0</v>
      </c>
      <c r="E2392" s="135" t="s">
        <v>558</v>
      </c>
      <c r="F2392" s="136" t="str">
        <f t="shared" si="135"/>
        <v/>
      </c>
      <c r="G2392" s="137" t="e">
        <f>IF(A2392&lt;&gt;"",IF(AND(#REF!="Padrão",$H$4=#REF!),BDI!$B$17,IF(AND(#REF!="Padrão",$H$4=#REF!),BDI!#REF!,IF(AND(#REF!="Diferenciado",$H$4=#REF!),BDI!$E$17,IF(AND(#REF!="Diferenciado",$H$4=#REF!),BDI!#REF!,IF(#REF!="ZERO",0))))),"")</f>
        <v>#REF!</v>
      </c>
      <c r="H2392" s="138" t="str">
        <f t="shared" si="136"/>
        <v/>
      </c>
      <c r="I2392" s="136" t="str">
        <f t="shared" si="137"/>
        <v/>
      </c>
    </row>
    <row r="2393" spans="1:9" hidden="1" x14ac:dyDescent="0.25">
      <c r="A2393" s="114" t="s">
        <v>6112</v>
      </c>
      <c r="B2393" s="115" t="s">
        <v>4880</v>
      </c>
      <c r="C2393" s="116" t="s">
        <v>20</v>
      </c>
      <c r="D2393" s="116">
        <v>0</v>
      </c>
      <c r="E2393" s="135" t="s">
        <v>558</v>
      </c>
      <c r="F2393" s="136" t="str">
        <f t="shared" si="135"/>
        <v/>
      </c>
      <c r="G2393" s="137" t="e">
        <f>IF(A2393&lt;&gt;"",IF(AND(#REF!="Padrão",$H$4=#REF!),BDI!$B$17,IF(AND(#REF!="Padrão",$H$4=#REF!),BDI!#REF!,IF(AND(#REF!="Diferenciado",$H$4=#REF!),BDI!$E$17,IF(AND(#REF!="Diferenciado",$H$4=#REF!),BDI!#REF!,IF(#REF!="ZERO",0))))),"")</f>
        <v>#REF!</v>
      </c>
      <c r="H2393" s="138" t="str">
        <f t="shared" si="136"/>
        <v/>
      </c>
      <c r="I2393" s="136" t="str">
        <f t="shared" si="137"/>
        <v/>
      </c>
    </row>
    <row r="2394" spans="1:9" hidden="1" x14ac:dyDescent="0.25">
      <c r="A2394" s="114" t="s">
        <v>6113</v>
      </c>
      <c r="B2394" s="115" t="s">
        <v>4881</v>
      </c>
      <c r="C2394" s="116" t="s">
        <v>20</v>
      </c>
      <c r="D2394" s="116">
        <v>0</v>
      </c>
      <c r="E2394" s="135">
        <f ca="1">OFFSET(INDEX(Composições!A:J,MATCH(Orçamentária!A2394,Composições!A:A,0),8),2,0)</f>
        <v>54.91</v>
      </c>
      <c r="F2394" s="136">
        <f t="shared" ca="1" si="135"/>
        <v>0</v>
      </c>
      <c r="G2394" s="137" t="e">
        <f>IF(A2394&lt;&gt;"",IF(AND(#REF!="Padrão",$H$4=#REF!),BDI!$B$17,IF(AND(#REF!="Padrão",$H$4=#REF!),BDI!#REF!,IF(AND(#REF!="Diferenciado",$H$4=#REF!),BDI!$E$17,IF(AND(#REF!="Diferenciado",$H$4=#REF!),BDI!#REF!,IF(#REF!="ZERO",0))))),"")</f>
        <v>#REF!</v>
      </c>
      <c r="H2394" s="138" t="e">
        <f t="shared" ca="1" si="136"/>
        <v>#REF!</v>
      </c>
      <c r="I2394" s="136" t="e">
        <f t="shared" ca="1" si="137"/>
        <v>#REF!</v>
      </c>
    </row>
    <row r="2395" spans="1:9" hidden="1" x14ac:dyDescent="0.25">
      <c r="A2395" s="114" t="s">
        <v>6114</v>
      </c>
      <c r="B2395" s="115" t="s">
        <v>4882</v>
      </c>
      <c r="C2395" s="116" t="s">
        <v>20</v>
      </c>
      <c r="D2395" s="116">
        <v>0</v>
      </c>
      <c r="E2395" s="135" t="s">
        <v>558</v>
      </c>
      <c r="F2395" s="136" t="str">
        <f t="shared" si="135"/>
        <v/>
      </c>
      <c r="G2395" s="137" t="e">
        <f>IF(A2395&lt;&gt;"",IF(AND(#REF!="Padrão",$H$4=#REF!),BDI!$B$17,IF(AND(#REF!="Padrão",$H$4=#REF!),BDI!#REF!,IF(AND(#REF!="Diferenciado",$H$4=#REF!),BDI!$E$17,IF(AND(#REF!="Diferenciado",$H$4=#REF!),BDI!#REF!,IF(#REF!="ZERO",0))))),"")</f>
        <v>#REF!</v>
      </c>
      <c r="H2395" s="138" t="str">
        <f t="shared" si="136"/>
        <v/>
      </c>
      <c r="I2395" s="136" t="str">
        <f t="shared" si="137"/>
        <v/>
      </c>
    </row>
    <row r="2396" spans="1:9" hidden="1" x14ac:dyDescent="0.25">
      <c r="A2396" s="114" t="s">
        <v>6115</v>
      </c>
      <c r="B2396" s="115" t="s">
        <v>4883</v>
      </c>
      <c r="C2396" s="116" t="s">
        <v>20</v>
      </c>
      <c r="D2396" s="116">
        <v>0</v>
      </c>
      <c r="E2396" s="135" t="s">
        <v>558</v>
      </c>
      <c r="F2396" s="136" t="str">
        <f t="shared" si="135"/>
        <v/>
      </c>
      <c r="G2396" s="137" t="e">
        <f>IF(A2396&lt;&gt;"",IF(AND(#REF!="Padrão",$H$4=#REF!),BDI!$B$17,IF(AND(#REF!="Padrão",$H$4=#REF!),BDI!#REF!,IF(AND(#REF!="Diferenciado",$H$4=#REF!),BDI!$E$17,IF(AND(#REF!="Diferenciado",$H$4=#REF!),BDI!#REF!,IF(#REF!="ZERO",0))))),"")</f>
        <v>#REF!</v>
      </c>
      <c r="H2396" s="138" t="str">
        <f t="shared" si="136"/>
        <v/>
      </c>
      <c r="I2396" s="136" t="str">
        <f t="shared" si="137"/>
        <v/>
      </c>
    </row>
    <row r="2397" spans="1:9" hidden="1" x14ac:dyDescent="0.25">
      <c r="A2397" s="114" t="s">
        <v>6116</v>
      </c>
      <c r="B2397" s="115" t="s">
        <v>4884</v>
      </c>
      <c r="C2397" s="116" t="s">
        <v>20</v>
      </c>
      <c r="D2397" s="116">
        <v>0</v>
      </c>
      <c r="E2397" s="135" t="s">
        <v>558</v>
      </c>
      <c r="F2397" s="136" t="str">
        <f t="shared" si="135"/>
        <v/>
      </c>
      <c r="G2397" s="137" t="e">
        <f>IF(A2397&lt;&gt;"",IF(AND(#REF!="Padrão",$H$4=#REF!),BDI!$B$17,IF(AND(#REF!="Padrão",$H$4=#REF!),BDI!#REF!,IF(AND(#REF!="Diferenciado",$H$4=#REF!),BDI!$E$17,IF(AND(#REF!="Diferenciado",$H$4=#REF!),BDI!#REF!,IF(#REF!="ZERO",0))))),"")</f>
        <v>#REF!</v>
      </c>
      <c r="H2397" s="138" t="str">
        <f t="shared" si="136"/>
        <v/>
      </c>
      <c r="I2397" s="136" t="str">
        <f t="shared" si="137"/>
        <v/>
      </c>
    </row>
    <row r="2398" spans="1:9" hidden="1" x14ac:dyDescent="0.25">
      <c r="A2398" s="114" t="s">
        <v>6117</v>
      </c>
      <c r="B2398" s="115" t="s">
        <v>4885</v>
      </c>
      <c r="C2398" s="116" t="s">
        <v>20</v>
      </c>
      <c r="D2398" s="116">
        <v>0</v>
      </c>
      <c r="E2398" s="135" t="s">
        <v>558</v>
      </c>
      <c r="F2398" s="136" t="str">
        <f t="shared" si="135"/>
        <v/>
      </c>
      <c r="G2398" s="137" t="e">
        <f>IF(A2398&lt;&gt;"",IF(AND(#REF!="Padrão",$H$4=#REF!),BDI!$B$17,IF(AND(#REF!="Padrão",$H$4=#REF!),BDI!#REF!,IF(AND(#REF!="Diferenciado",$H$4=#REF!),BDI!$E$17,IF(AND(#REF!="Diferenciado",$H$4=#REF!),BDI!#REF!,IF(#REF!="ZERO",0))))),"")</f>
        <v>#REF!</v>
      </c>
      <c r="H2398" s="138" t="str">
        <f t="shared" si="136"/>
        <v/>
      </c>
      <c r="I2398" s="136" t="str">
        <f t="shared" si="137"/>
        <v/>
      </c>
    </row>
    <row r="2399" spans="1:9" hidden="1" x14ac:dyDescent="0.25">
      <c r="A2399" s="114" t="s">
        <v>6118</v>
      </c>
      <c r="B2399" s="115" t="s">
        <v>4886</v>
      </c>
      <c r="C2399" s="116" t="s">
        <v>20</v>
      </c>
      <c r="D2399" s="116">
        <v>0</v>
      </c>
      <c r="E2399" s="135" t="s">
        <v>558</v>
      </c>
      <c r="F2399" s="136" t="str">
        <f t="shared" si="135"/>
        <v/>
      </c>
      <c r="G2399" s="137" t="e">
        <f>IF(A2399&lt;&gt;"",IF(AND(#REF!="Padrão",$H$4=#REF!),BDI!$B$17,IF(AND(#REF!="Padrão",$H$4=#REF!),BDI!#REF!,IF(AND(#REF!="Diferenciado",$H$4=#REF!),BDI!$E$17,IF(AND(#REF!="Diferenciado",$H$4=#REF!),BDI!#REF!,IF(#REF!="ZERO",0))))),"")</f>
        <v>#REF!</v>
      </c>
      <c r="H2399" s="138" t="str">
        <f t="shared" si="136"/>
        <v/>
      </c>
      <c r="I2399" s="136" t="str">
        <f t="shared" si="137"/>
        <v/>
      </c>
    </row>
    <row r="2400" spans="1:9" hidden="1" x14ac:dyDescent="0.25">
      <c r="A2400" s="114" t="s">
        <v>6119</v>
      </c>
      <c r="B2400" s="115" t="s">
        <v>4887</v>
      </c>
      <c r="C2400" s="116" t="s">
        <v>20</v>
      </c>
      <c r="D2400" s="116">
        <v>0</v>
      </c>
      <c r="E2400" s="135" t="s">
        <v>558</v>
      </c>
      <c r="F2400" s="136" t="str">
        <f t="shared" si="135"/>
        <v/>
      </c>
      <c r="G2400" s="137" t="e">
        <f>IF(A2400&lt;&gt;"",IF(AND(#REF!="Padrão",$H$4=#REF!),BDI!$B$17,IF(AND(#REF!="Padrão",$H$4=#REF!),BDI!#REF!,IF(AND(#REF!="Diferenciado",$H$4=#REF!),BDI!$E$17,IF(AND(#REF!="Diferenciado",$H$4=#REF!),BDI!#REF!,IF(#REF!="ZERO",0))))),"")</f>
        <v>#REF!</v>
      </c>
      <c r="H2400" s="138" t="str">
        <f t="shared" si="136"/>
        <v/>
      </c>
      <c r="I2400" s="136" t="str">
        <f t="shared" si="137"/>
        <v/>
      </c>
    </row>
    <row r="2401" spans="1:9" hidden="1" x14ac:dyDescent="0.25">
      <c r="A2401" s="114" t="s">
        <v>6120</v>
      </c>
      <c r="B2401" s="115" t="s">
        <v>6344</v>
      </c>
      <c r="C2401" s="116" t="s">
        <v>20</v>
      </c>
      <c r="D2401" s="116">
        <v>0</v>
      </c>
      <c r="E2401" s="135" t="s">
        <v>558</v>
      </c>
      <c r="F2401" s="136" t="str">
        <f t="shared" si="135"/>
        <v/>
      </c>
      <c r="G2401" s="137" t="e">
        <f>IF(A2401&lt;&gt;"",IF(AND(#REF!="Padrão",$H$4=#REF!),BDI!$B$17,IF(AND(#REF!="Padrão",$H$4=#REF!),BDI!#REF!,IF(AND(#REF!="Diferenciado",$H$4=#REF!),BDI!$E$17,IF(AND(#REF!="Diferenciado",$H$4=#REF!),BDI!#REF!,IF(#REF!="ZERO",0))))),"")</f>
        <v>#REF!</v>
      </c>
      <c r="H2401" s="138" t="str">
        <f t="shared" si="136"/>
        <v/>
      </c>
      <c r="I2401" s="136" t="str">
        <f t="shared" si="137"/>
        <v/>
      </c>
    </row>
    <row r="2402" spans="1:9" hidden="1" x14ac:dyDescent="0.25">
      <c r="A2402" s="114" t="s">
        <v>6121</v>
      </c>
      <c r="B2402" s="115" t="s">
        <v>4888</v>
      </c>
      <c r="C2402" s="116" t="s">
        <v>20</v>
      </c>
      <c r="D2402" s="116">
        <v>0</v>
      </c>
      <c r="E2402" s="135" t="s">
        <v>558</v>
      </c>
      <c r="F2402" s="136" t="str">
        <f t="shared" si="135"/>
        <v/>
      </c>
      <c r="G2402" s="137" t="e">
        <f>IF(A2402&lt;&gt;"",IF(AND(#REF!="Padrão",$H$4=#REF!),BDI!$B$17,IF(AND(#REF!="Padrão",$H$4=#REF!),BDI!#REF!,IF(AND(#REF!="Diferenciado",$H$4=#REF!),BDI!$E$17,IF(AND(#REF!="Diferenciado",$H$4=#REF!),BDI!#REF!,IF(#REF!="ZERO",0))))),"")</f>
        <v>#REF!</v>
      </c>
      <c r="H2402" s="138" t="str">
        <f t="shared" si="136"/>
        <v/>
      </c>
      <c r="I2402" s="136" t="str">
        <f t="shared" si="137"/>
        <v/>
      </c>
    </row>
    <row r="2403" spans="1:9" hidden="1" x14ac:dyDescent="0.25">
      <c r="A2403" s="114" t="s">
        <v>6122</v>
      </c>
      <c r="B2403" s="115" t="s">
        <v>6345</v>
      </c>
      <c r="C2403" s="116" t="s">
        <v>20</v>
      </c>
      <c r="D2403" s="116">
        <v>0</v>
      </c>
      <c r="E2403" s="135" t="s">
        <v>558</v>
      </c>
      <c r="F2403" s="136" t="str">
        <f t="shared" si="135"/>
        <v/>
      </c>
      <c r="G2403" s="137" t="e">
        <f>IF(A2403&lt;&gt;"",IF(AND(#REF!="Padrão",$H$4=#REF!),BDI!$B$17,IF(AND(#REF!="Padrão",$H$4=#REF!),BDI!#REF!,IF(AND(#REF!="Diferenciado",$H$4=#REF!),BDI!$E$17,IF(AND(#REF!="Diferenciado",$H$4=#REF!),BDI!#REF!,IF(#REF!="ZERO",0))))),"")</f>
        <v>#REF!</v>
      </c>
      <c r="H2403" s="138" t="str">
        <f t="shared" si="136"/>
        <v/>
      </c>
      <c r="I2403" s="136" t="str">
        <f t="shared" si="137"/>
        <v/>
      </c>
    </row>
    <row r="2404" spans="1:9" hidden="1" x14ac:dyDescent="0.25">
      <c r="A2404" s="114" t="s">
        <v>6123</v>
      </c>
      <c r="B2404" s="115" t="s">
        <v>6346</v>
      </c>
      <c r="C2404" s="116" t="s">
        <v>20</v>
      </c>
      <c r="D2404" s="116">
        <v>0</v>
      </c>
      <c r="E2404" s="135" t="s">
        <v>558</v>
      </c>
      <c r="F2404" s="136" t="str">
        <f t="shared" si="135"/>
        <v/>
      </c>
      <c r="G2404" s="137" t="e">
        <f>IF(A2404&lt;&gt;"",IF(AND(#REF!="Padrão",$H$4=#REF!),BDI!$B$17,IF(AND(#REF!="Padrão",$H$4=#REF!),BDI!#REF!,IF(AND(#REF!="Diferenciado",$H$4=#REF!),BDI!$E$17,IF(AND(#REF!="Diferenciado",$H$4=#REF!),BDI!#REF!,IF(#REF!="ZERO",0))))),"")</f>
        <v>#REF!</v>
      </c>
      <c r="H2404" s="138" t="str">
        <f t="shared" si="136"/>
        <v/>
      </c>
      <c r="I2404" s="136" t="str">
        <f t="shared" si="137"/>
        <v/>
      </c>
    </row>
    <row r="2405" spans="1:9" hidden="1" x14ac:dyDescent="0.25">
      <c r="A2405" s="114" t="s">
        <v>6124</v>
      </c>
      <c r="B2405" s="115" t="s">
        <v>4889</v>
      </c>
      <c r="C2405" s="116" t="s">
        <v>20</v>
      </c>
      <c r="D2405" s="116">
        <v>0</v>
      </c>
      <c r="E2405" s="135" t="s">
        <v>558</v>
      </c>
      <c r="F2405" s="136" t="str">
        <f t="shared" si="135"/>
        <v/>
      </c>
      <c r="G2405" s="137" t="e">
        <f>IF(A2405&lt;&gt;"",IF(AND(#REF!="Padrão",$H$4=#REF!),BDI!$B$17,IF(AND(#REF!="Padrão",$H$4=#REF!),BDI!#REF!,IF(AND(#REF!="Diferenciado",$H$4=#REF!),BDI!$E$17,IF(AND(#REF!="Diferenciado",$H$4=#REF!),BDI!#REF!,IF(#REF!="ZERO",0))))),"")</f>
        <v>#REF!</v>
      </c>
      <c r="H2405" s="138" t="str">
        <f t="shared" si="136"/>
        <v/>
      </c>
      <c r="I2405" s="136" t="str">
        <f t="shared" si="137"/>
        <v/>
      </c>
    </row>
    <row r="2406" spans="1:9" hidden="1" x14ac:dyDescent="0.25">
      <c r="A2406" s="114" t="s">
        <v>6125</v>
      </c>
      <c r="B2406" s="115" t="s">
        <v>4890</v>
      </c>
      <c r="C2406" s="116" t="s">
        <v>20</v>
      </c>
      <c r="D2406" s="116">
        <v>0</v>
      </c>
      <c r="E2406" s="135" t="s">
        <v>558</v>
      </c>
      <c r="F2406" s="136" t="str">
        <f t="shared" si="135"/>
        <v/>
      </c>
      <c r="G2406" s="137" t="e">
        <f>IF(A2406&lt;&gt;"",IF(AND(#REF!="Padrão",$H$4=#REF!),BDI!$B$17,IF(AND(#REF!="Padrão",$H$4=#REF!),BDI!#REF!,IF(AND(#REF!="Diferenciado",$H$4=#REF!),BDI!$E$17,IF(AND(#REF!="Diferenciado",$H$4=#REF!),BDI!#REF!,IF(#REF!="ZERO",0))))),"")</f>
        <v>#REF!</v>
      </c>
      <c r="H2406" s="138" t="str">
        <f t="shared" si="136"/>
        <v/>
      </c>
      <c r="I2406" s="136" t="str">
        <f t="shared" si="137"/>
        <v/>
      </c>
    </row>
    <row r="2407" spans="1:9" hidden="1" x14ac:dyDescent="0.25">
      <c r="A2407" s="114" t="s">
        <v>6126</v>
      </c>
      <c r="B2407" s="115" t="s">
        <v>4891</v>
      </c>
      <c r="C2407" s="116" t="s">
        <v>20</v>
      </c>
      <c r="D2407" s="116">
        <v>0</v>
      </c>
      <c r="E2407" s="135" t="s">
        <v>558</v>
      </c>
      <c r="F2407" s="136" t="str">
        <f t="shared" si="135"/>
        <v/>
      </c>
      <c r="G2407" s="137" t="e">
        <f>IF(A2407&lt;&gt;"",IF(AND(#REF!="Padrão",$H$4=#REF!),BDI!$B$17,IF(AND(#REF!="Padrão",$H$4=#REF!),BDI!#REF!,IF(AND(#REF!="Diferenciado",$H$4=#REF!),BDI!$E$17,IF(AND(#REF!="Diferenciado",$H$4=#REF!),BDI!#REF!,IF(#REF!="ZERO",0))))),"")</f>
        <v>#REF!</v>
      </c>
      <c r="H2407" s="138" t="str">
        <f t="shared" si="136"/>
        <v/>
      </c>
      <c r="I2407" s="136" t="str">
        <f t="shared" si="137"/>
        <v/>
      </c>
    </row>
    <row r="2408" spans="1:9" hidden="1" x14ac:dyDescent="0.25">
      <c r="A2408" s="114" t="s">
        <v>6127</v>
      </c>
      <c r="B2408" s="115" t="s">
        <v>4892</v>
      </c>
      <c r="C2408" s="116" t="s">
        <v>20</v>
      </c>
      <c r="D2408" s="116">
        <v>0</v>
      </c>
      <c r="E2408" s="135" t="s">
        <v>558</v>
      </c>
      <c r="F2408" s="136" t="str">
        <f t="shared" si="135"/>
        <v/>
      </c>
      <c r="G2408" s="137" t="e">
        <f>IF(A2408&lt;&gt;"",IF(AND(#REF!="Padrão",$H$4=#REF!),BDI!$B$17,IF(AND(#REF!="Padrão",$H$4=#REF!),BDI!#REF!,IF(AND(#REF!="Diferenciado",$H$4=#REF!),BDI!$E$17,IF(AND(#REF!="Diferenciado",$H$4=#REF!),BDI!#REF!,IF(#REF!="ZERO",0))))),"")</f>
        <v>#REF!</v>
      </c>
      <c r="H2408" s="138" t="str">
        <f t="shared" si="136"/>
        <v/>
      </c>
      <c r="I2408" s="136" t="str">
        <f t="shared" si="137"/>
        <v/>
      </c>
    </row>
    <row r="2409" spans="1:9" hidden="1" x14ac:dyDescent="0.25">
      <c r="A2409" s="114" t="s">
        <v>6128</v>
      </c>
      <c r="B2409" s="115" t="s">
        <v>4893</v>
      </c>
      <c r="C2409" s="116" t="s">
        <v>20</v>
      </c>
      <c r="D2409" s="116">
        <v>0</v>
      </c>
      <c r="E2409" s="135" t="s">
        <v>558</v>
      </c>
      <c r="F2409" s="136" t="str">
        <f t="shared" si="135"/>
        <v/>
      </c>
      <c r="G2409" s="137" t="e">
        <f>IF(A2409&lt;&gt;"",IF(AND(#REF!="Padrão",$H$4=#REF!),BDI!$B$17,IF(AND(#REF!="Padrão",$H$4=#REF!),BDI!#REF!,IF(AND(#REF!="Diferenciado",$H$4=#REF!),BDI!$E$17,IF(AND(#REF!="Diferenciado",$H$4=#REF!),BDI!#REF!,IF(#REF!="ZERO",0))))),"")</f>
        <v>#REF!</v>
      </c>
      <c r="H2409" s="138" t="str">
        <f t="shared" si="136"/>
        <v/>
      </c>
      <c r="I2409" s="136" t="str">
        <f t="shared" si="137"/>
        <v/>
      </c>
    </row>
    <row r="2410" spans="1:9" hidden="1" x14ac:dyDescent="0.25">
      <c r="A2410" s="114" t="s">
        <v>6129</v>
      </c>
      <c r="B2410" s="115" t="s">
        <v>4894</v>
      </c>
      <c r="C2410" s="116" t="s">
        <v>20</v>
      </c>
      <c r="D2410" s="116">
        <v>0</v>
      </c>
      <c r="E2410" s="135" t="s">
        <v>558</v>
      </c>
      <c r="F2410" s="136" t="str">
        <f t="shared" si="135"/>
        <v/>
      </c>
      <c r="G2410" s="137" t="e">
        <f>IF(A2410&lt;&gt;"",IF(AND(#REF!="Padrão",$H$4=#REF!),BDI!$B$17,IF(AND(#REF!="Padrão",$H$4=#REF!),BDI!#REF!,IF(AND(#REF!="Diferenciado",$H$4=#REF!),BDI!$E$17,IF(AND(#REF!="Diferenciado",$H$4=#REF!),BDI!#REF!,IF(#REF!="ZERO",0))))),"")</f>
        <v>#REF!</v>
      </c>
      <c r="H2410" s="138" t="str">
        <f t="shared" si="136"/>
        <v/>
      </c>
      <c r="I2410" s="136" t="str">
        <f t="shared" si="137"/>
        <v/>
      </c>
    </row>
    <row r="2411" spans="1:9" hidden="1" x14ac:dyDescent="0.25">
      <c r="A2411" s="114" t="s">
        <v>6130</v>
      </c>
      <c r="B2411" s="115" t="s">
        <v>4895</v>
      </c>
      <c r="C2411" s="116" t="s">
        <v>20</v>
      </c>
      <c r="D2411" s="116">
        <v>0</v>
      </c>
      <c r="E2411" s="135" t="s">
        <v>558</v>
      </c>
      <c r="F2411" s="136" t="str">
        <f t="shared" si="135"/>
        <v/>
      </c>
      <c r="G2411" s="137" t="e">
        <f>IF(A2411&lt;&gt;"",IF(AND(#REF!="Padrão",$H$4=#REF!),BDI!$B$17,IF(AND(#REF!="Padrão",$H$4=#REF!),BDI!#REF!,IF(AND(#REF!="Diferenciado",$H$4=#REF!),BDI!$E$17,IF(AND(#REF!="Diferenciado",$H$4=#REF!),BDI!#REF!,IF(#REF!="ZERO",0))))),"")</f>
        <v>#REF!</v>
      </c>
      <c r="H2411" s="138" t="str">
        <f t="shared" si="136"/>
        <v/>
      </c>
      <c r="I2411" s="136" t="str">
        <f t="shared" si="137"/>
        <v/>
      </c>
    </row>
    <row r="2412" spans="1:9" hidden="1" x14ac:dyDescent="0.25">
      <c r="A2412" s="114" t="s">
        <v>6131</v>
      </c>
      <c r="B2412" s="115" t="s">
        <v>4896</v>
      </c>
      <c r="C2412" s="116" t="s">
        <v>20</v>
      </c>
      <c r="D2412" s="116">
        <v>0</v>
      </c>
      <c r="E2412" s="135" t="s">
        <v>558</v>
      </c>
      <c r="F2412" s="136" t="str">
        <f t="shared" si="135"/>
        <v/>
      </c>
      <c r="G2412" s="137" t="e">
        <f>IF(A2412&lt;&gt;"",IF(AND(#REF!="Padrão",$H$4=#REF!),BDI!$B$17,IF(AND(#REF!="Padrão",$H$4=#REF!),BDI!#REF!,IF(AND(#REF!="Diferenciado",$H$4=#REF!),BDI!$E$17,IF(AND(#REF!="Diferenciado",$H$4=#REF!),BDI!#REF!,IF(#REF!="ZERO",0))))),"")</f>
        <v>#REF!</v>
      </c>
      <c r="H2412" s="138" t="str">
        <f t="shared" si="136"/>
        <v/>
      </c>
      <c r="I2412" s="136" t="str">
        <f t="shared" si="137"/>
        <v/>
      </c>
    </row>
    <row r="2413" spans="1:9" hidden="1" x14ac:dyDescent="0.25">
      <c r="A2413" s="114" t="s">
        <v>6132</v>
      </c>
      <c r="B2413" s="115" t="s">
        <v>4897</v>
      </c>
      <c r="C2413" s="116" t="s">
        <v>20</v>
      </c>
      <c r="D2413" s="116">
        <v>0</v>
      </c>
      <c r="E2413" s="135" t="s">
        <v>558</v>
      </c>
      <c r="F2413" s="136" t="str">
        <f t="shared" ref="F2413:F2476" si="138">IF(ISNUMBER(E2413),D2413*E2413,"")</f>
        <v/>
      </c>
      <c r="G2413" s="137" t="e">
        <f>IF(A2413&lt;&gt;"",IF(AND(#REF!="Padrão",$H$4=#REF!),BDI!$B$17,IF(AND(#REF!="Padrão",$H$4=#REF!),BDI!#REF!,IF(AND(#REF!="Diferenciado",$H$4=#REF!),BDI!$E$17,IF(AND(#REF!="Diferenciado",$H$4=#REF!),BDI!#REF!,IF(#REF!="ZERO",0))))),"")</f>
        <v>#REF!</v>
      </c>
      <c r="H2413" s="138" t="str">
        <f t="shared" ref="H2413:H2476" si="139">IF(ISNUMBER(E2413),ROUND(E2413*(1+G2413),2),"")</f>
        <v/>
      </c>
      <c r="I2413" s="136" t="str">
        <f t="shared" ref="I2413:I2476" si="140">IF(ISNUMBER(E2413),ROUND(H2413*D2413,2),"")</f>
        <v/>
      </c>
    </row>
    <row r="2414" spans="1:9" hidden="1" x14ac:dyDescent="0.25">
      <c r="A2414" s="114" t="s">
        <v>6133</v>
      </c>
      <c r="B2414" s="115" t="s">
        <v>4898</v>
      </c>
      <c r="C2414" s="116" t="s">
        <v>20</v>
      </c>
      <c r="D2414" s="116">
        <v>0</v>
      </c>
      <c r="E2414" s="135" t="s">
        <v>558</v>
      </c>
      <c r="F2414" s="136" t="str">
        <f t="shared" si="138"/>
        <v/>
      </c>
      <c r="G2414" s="137" t="e">
        <f>IF(A2414&lt;&gt;"",IF(AND(#REF!="Padrão",$H$4=#REF!),BDI!$B$17,IF(AND(#REF!="Padrão",$H$4=#REF!),BDI!#REF!,IF(AND(#REF!="Diferenciado",$H$4=#REF!),BDI!$E$17,IF(AND(#REF!="Diferenciado",$H$4=#REF!),BDI!#REF!,IF(#REF!="ZERO",0))))),"")</f>
        <v>#REF!</v>
      </c>
      <c r="H2414" s="138" t="str">
        <f t="shared" si="139"/>
        <v/>
      </c>
      <c r="I2414" s="136" t="str">
        <f t="shared" si="140"/>
        <v/>
      </c>
    </row>
    <row r="2415" spans="1:9" hidden="1" x14ac:dyDescent="0.25">
      <c r="A2415" s="114" t="s">
        <v>6134</v>
      </c>
      <c r="B2415" s="115" t="s">
        <v>4899</v>
      </c>
      <c r="C2415" s="116" t="s">
        <v>20</v>
      </c>
      <c r="D2415" s="116">
        <v>0</v>
      </c>
      <c r="E2415" s="135" t="s">
        <v>558</v>
      </c>
      <c r="F2415" s="136" t="str">
        <f t="shared" si="138"/>
        <v/>
      </c>
      <c r="G2415" s="137" t="e">
        <f>IF(A2415&lt;&gt;"",IF(AND(#REF!="Padrão",$H$4=#REF!),BDI!$B$17,IF(AND(#REF!="Padrão",$H$4=#REF!),BDI!#REF!,IF(AND(#REF!="Diferenciado",$H$4=#REF!),BDI!$E$17,IF(AND(#REF!="Diferenciado",$H$4=#REF!),BDI!#REF!,IF(#REF!="ZERO",0))))),"")</f>
        <v>#REF!</v>
      </c>
      <c r="H2415" s="138" t="str">
        <f t="shared" si="139"/>
        <v/>
      </c>
      <c r="I2415" s="136" t="str">
        <f t="shared" si="140"/>
        <v/>
      </c>
    </row>
    <row r="2416" spans="1:9" hidden="1" x14ac:dyDescent="0.25">
      <c r="A2416" s="114" t="s">
        <v>6135</v>
      </c>
      <c r="B2416" s="115" t="s">
        <v>4900</v>
      </c>
      <c r="C2416" s="116" t="s">
        <v>93</v>
      </c>
      <c r="D2416" s="116">
        <v>0</v>
      </c>
      <c r="E2416" s="135" t="s">
        <v>558</v>
      </c>
      <c r="F2416" s="136" t="str">
        <f t="shared" si="138"/>
        <v/>
      </c>
      <c r="G2416" s="137" t="e">
        <f>IF(A2416&lt;&gt;"",IF(AND(#REF!="Padrão",$H$4=#REF!),BDI!$B$17,IF(AND(#REF!="Padrão",$H$4=#REF!),BDI!#REF!,IF(AND(#REF!="Diferenciado",$H$4=#REF!),BDI!$E$17,IF(AND(#REF!="Diferenciado",$H$4=#REF!),BDI!#REF!,IF(#REF!="ZERO",0))))),"")</f>
        <v>#REF!</v>
      </c>
      <c r="H2416" s="138" t="str">
        <f t="shared" si="139"/>
        <v/>
      </c>
      <c r="I2416" s="136" t="str">
        <f t="shared" si="140"/>
        <v/>
      </c>
    </row>
    <row r="2417" spans="1:9" hidden="1" x14ac:dyDescent="0.25">
      <c r="A2417" s="114" t="s">
        <v>6136</v>
      </c>
      <c r="B2417" s="115" t="s">
        <v>4901</v>
      </c>
      <c r="C2417" s="116" t="s">
        <v>20</v>
      </c>
      <c r="D2417" s="116">
        <v>0</v>
      </c>
      <c r="E2417" s="135" t="s">
        <v>558</v>
      </c>
      <c r="F2417" s="136" t="str">
        <f t="shared" si="138"/>
        <v/>
      </c>
      <c r="G2417" s="137" t="e">
        <f>IF(A2417&lt;&gt;"",IF(AND(#REF!="Padrão",$H$4=#REF!),BDI!$B$17,IF(AND(#REF!="Padrão",$H$4=#REF!),BDI!#REF!,IF(AND(#REF!="Diferenciado",$H$4=#REF!),BDI!$E$17,IF(AND(#REF!="Diferenciado",$H$4=#REF!),BDI!#REF!,IF(#REF!="ZERO",0))))),"")</f>
        <v>#REF!</v>
      </c>
      <c r="H2417" s="138" t="str">
        <f t="shared" si="139"/>
        <v/>
      </c>
      <c r="I2417" s="136" t="str">
        <f t="shared" si="140"/>
        <v/>
      </c>
    </row>
    <row r="2418" spans="1:9" hidden="1" x14ac:dyDescent="0.25">
      <c r="A2418" s="114" t="s">
        <v>6137</v>
      </c>
      <c r="B2418" s="115" t="s">
        <v>4902</v>
      </c>
      <c r="C2418" s="116" t="s">
        <v>20</v>
      </c>
      <c r="D2418" s="116">
        <v>0</v>
      </c>
      <c r="E2418" s="135" t="s">
        <v>558</v>
      </c>
      <c r="F2418" s="136" t="str">
        <f t="shared" si="138"/>
        <v/>
      </c>
      <c r="G2418" s="137" t="e">
        <f>IF(A2418&lt;&gt;"",IF(AND(#REF!="Padrão",$H$4=#REF!),BDI!$B$17,IF(AND(#REF!="Padrão",$H$4=#REF!),BDI!#REF!,IF(AND(#REF!="Diferenciado",$H$4=#REF!),BDI!$E$17,IF(AND(#REF!="Diferenciado",$H$4=#REF!),BDI!#REF!,IF(#REF!="ZERO",0))))),"")</f>
        <v>#REF!</v>
      </c>
      <c r="H2418" s="138" t="str">
        <f t="shared" si="139"/>
        <v/>
      </c>
      <c r="I2418" s="136" t="str">
        <f t="shared" si="140"/>
        <v/>
      </c>
    </row>
    <row r="2419" spans="1:9" hidden="1" x14ac:dyDescent="0.25">
      <c r="A2419" s="114" t="s">
        <v>6138</v>
      </c>
      <c r="B2419" s="115" t="s">
        <v>4903</v>
      </c>
      <c r="C2419" s="116" t="s">
        <v>20</v>
      </c>
      <c r="D2419" s="116">
        <v>0</v>
      </c>
      <c r="E2419" s="135" t="s">
        <v>558</v>
      </c>
      <c r="F2419" s="136" t="str">
        <f t="shared" si="138"/>
        <v/>
      </c>
      <c r="G2419" s="137" t="e">
        <f>IF(A2419&lt;&gt;"",IF(AND(#REF!="Padrão",$H$4=#REF!),BDI!$B$17,IF(AND(#REF!="Padrão",$H$4=#REF!),BDI!#REF!,IF(AND(#REF!="Diferenciado",$H$4=#REF!),BDI!$E$17,IF(AND(#REF!="Diferenciado",$H$4=#REF!),BDI!#REF!,IF(#REF!="ZERO",0))))),"")</f>
        <v>#REF!</v>
      </c>
      <c r="H2419" s="138" t="str">
        <f t="shared" si="139"/>
        <v/>
      </c>
      <c r="I2419" s="136" t="str">
        <f t="shared" si="140"/>
        <v/>
      </c>
    </row>
    <row r="2420" spans="1:9" hidden="1" x14ac:dyDescent="0.25">
      <c r="A2420" s="114" t="s">
        <v>6139</v>
      </c>
      <c r="B2420" s="115" t="s">
        <v>4904</v>
      </c>
      <c r="C2420" s="116" t="s">
        <v>20</v>
      </c>
      <c r="D2420" s="116">
        <v>0</v>
      </c>
      <c r="E2420" s="135" t="s">
        <v>558</v>
      </c>
      <c r="F2420" s="136" t="str">
        <f t="shared" si="138"/>
        <v/>
      </c>
      <c r="G2420" s="137" t="e">
        <f>IF(A2420&lt;&gt;"",IF(AND(#REF!="Padrão",$H$4=#REF!),BDI!$B$17,IF(AND(#REF!="Padrão",$H$4=#REF!),BDI!#REF!,IF(AND(#REF!="Diferenciado",$H$4=#REF!),BDI!$E$17,IF(AND(#REF!="Diferenciado",$H$4=#REF!),BDI!#REF!,IF(#REF!="ZERO",0))))),"")</f>
        <v>#REF!</v>
      </c>
      <c r="H2420" s="138" t="str">
        <f t="shared" si="139"/>
        <v/>
      </c>
      <c r="I2420" s="136" t="str">
        <f t="shared" si="140"/>
        <v/>
      </c>
    </row>
    <row r="2421" spans="1:9" hidden="1" x14ac:dyDescent="0.25">
      <c r="A2421" s="114" t="s">
        <v>6140</v>
      </c>
      <c r="B2421" s="115" t="s">
        <v>4905</v>
      </c>
      <c r="C2421" s="116" t="s">
        <v>20</v>
      </c>
      <c r="D2421" s="116">
        <v>0</v>
      </c>
      <c r="E2421" s="135" t="s">
        <v>558</v>
      </c>
      <c r="F2421" s="136" t="str">
        <f t="shared" si="138"/>
        <v/>
      </c>
      <c r="G2421" s="137" t="e">
        <f>IF(A2421&lt;&gt;"",IF(AND(#REF!="Padrão",$H$4=#REF!),BDI!$B$17,IF(AND(#REF!="Padrão",$H$4=#REF!),BDI!#REF!,IF(AND(#REF!="Diferenciado",$H$4=#REF!),BDI!$E$17,IF(AND(#REF!="Diferenciado",$H$4=#REF!),BDI!#REF!,IF(#REF!="ZERO",0))))),"")</f>
        <v>#REF!</v>
      </c>
      <c r="H2421" s="138" t="str">
        <f t="shared" si="139"/>
        <v/>
      </c>
      <c r="I2421" s="136" t="str">
        <f t="shared" si="140"/>
        <v/>
      </c>
    </row>
    <row r="2422" spans="1:9" hidden="1" x14ac:dyDescent="0.25">
      <c r="A2422" s="114" t="s">
        <v>6141</v>
      </c>
      <c r="B2422" s="115" t="s">
        <v>4906</v>
      </c>
      <c r="C2422" s="116" t="s">
        <v>20</v>
      </c>
      <c r="D2422" s="116">
        <v>0</v>
      </c>
      <c r="E2422" s="135" t="s">
        <v>558</v>
      </c>
      <c r="F2422" s="136" t="str">
        <f t="shared" si="138"/>
        <v/>
      </c>
      <c r="G2422" s="137" t="e">
        <f>IF(A2422&lt;&gt;"",IF(AND(#REF!="Padrão",$H$4=#REF!),BDI!$B$17,IF(AND(#REF!="Padrão",$H$4=#REF!),BDI!#REF!,IF(AND(#REF!="Diferenciado",$H$4=#REF!),BDI!$E$17,IF(AND(#REF!="Diferenciado",$H$4=#REF!),BDI!#REF!,IF(#REF!="ZERO",0))))),"")</f>
        <v>#REF!</v>
      </c>
      <c r="H2422" s="138" t="str">
        <f t="shared" si="139"/>
        <v/>
      </c>
      <c r="I2422" s="136" t="str">
        <f t="shared" si="140"/>
        <v/>
      </c>
    </row>
    <row r="2423" spans="1:9" hidden="1" x14ac:dyDescent="0.25">
      <c r="A2423" s="114" t="s">
        <v>6142</v>
      </c>
      <c r="B2423" s="115" t="s">
        <v>4907</v>
      </c>
      <c r="C2423" s="116" t="s">
        <v>20</v>
      </c>
      <c r="D2423" s="116">
        <v>0</v>
      </c>
      <c r="E2423" s="135" t="s">
        <v>558</v>
      </c>
      <c r="F2423" s="136" t="str">
        <f t="shared" si="138"/>
        <v/>
      </c>
      <c r="G2423" s="137" t="e">
        <f>IF(A2423&lt;&gt;"",IF(AND(#REF!="Padrão",$H$4=#REF!),BDI!$B$17,IF(AND(#REF!="Padrão",$H$4=#REF!),BDI!#REF!,IF(AND(#REF!="Diferenciado",$H$4=#REF!),BDI!$E$17,IF(AND(#REF!="Diferenciado",$H$4=#REF!),BDI!#REF!,IF(#REF!="ZERO",0))))),"")</f>
        <v>#REF!</v>
      </c>
      <c r="H2423" s="138" t="str">
        <f t="shared" si="139"/>
        <v/>
      </c>
      <c r="I2423" s="136" t="str">
        <f t="shared" si="140"/>
        <v/>
      </c>
    </row>
    <row r="2424" spans="1:9" hidden="1" x14ac:dyDescent="0.25">
      <c r="A2424" s="114" t="s">
        <v>6143</v>
      </c>
      <c r="B2424" s="115" t="s">
        <v>4908</v>
      </c>
      <c r="C2424" s="116" t="s">
        <v>20</v>
      </c>
      <c r="D2424" s="116">
        <v>0</v>
      </c>
      <c r="E2424" s="135" t="s">
        <v>558</v>
      </c>
      <c r="F2424" s="136" t="str">
        <f t="shared" si="138"/>
        <v/>
      </c>
      <c r="G2424" s="137" t="e">
        <f>IF(A2424&lt;&gt;"",IF(AND(#REF!="Padrão",$H$4=#REF!),BDI!$B$17,IF(AND(#REF!="Padrão",$H$4=#REF!),BDI!#REF!,IF(AND(#REF!="Diferenciado",$H$4=#REF!),BDI!$E$17,IF(AND(#REF!="Diferenciado",$H$4=#REF!),BDI!#REF!,IF(#REF!="ZERO",0))))),"")</f>
        <v>#REF!</v>
      </c>
      <c r="H2424" s="138" t="str">
        <f t="shared" si="139"/>
        <v/>
      </c>
      <c r="I2424" s="136" t="str">
        <f t="shared" si="140"/>
        <v/>
      </c>
    </row>
    <row r="2425" spans="1:9" hidden="1" x14ac:dyDescent="0.25">
      <c r="A2425" s="114" t="s">
        <v>6144</v>
      </c>
      <c r="B2425" s="115" t="s">
        <v>4909</v>
      </c>
      <c r="C2425" s="116" t="s">
        <v>20</v>
      </c>
      <c r="D2425" s="116">
        <v>0</v>
      </c>
      <c r="E2425" s="135" t="s">
        <v>558</v>
      </c>
      <c r="F2425" s="136" t="str">
        <f t="shared" si="138"/>
        <v/>
      </c>
      <c r="G2425" s="137" t="e">
        <f>IF(A2425&lt;&gt;"",IF(AND(#REF!="Padrão",$H$4=#REF!),BDI!$B$17,IF(AND(#REF!="Padrão",$H$4=#REF!),BDI!#REF!,IF(AND(#REF!="Diferenciado",$H$4=#REF!),BDI!$E$17,IF(AND(#REF!="Diferenciado",$H$4=#REF!),BDI!#REF!,IF(#REF!="ZERO",0))))),"")</f>
        <v>#REF!</v>
      </c>
      <c r="H2425" s="138" t="str">
        <f t="shared" si="139"/>
        <v/>
      </c>
      <c r="I2425" s="136" t="str">
        <f t="shared" si="140"/>
        <v/>
      </c>
    </row>
    <row r="2426" spans="1:9" hidden="1" x14ac:dyDescent="0.25">
      <c r="A2426" s="114" t="s">
        <v>6145</v>
      </c>
      <c r="B2426" s="115" t="s">
        <v>4910</v>
      </c>
      <c r="C2426" s="116" t="s">
        <v>20</v>
      </c>
      <c r="D2426" s="116">
        <v>0</v>
      </c>
      <c r="E2426" s="135" t="s">
        <v>558</v>
      </c>
      <c r="F2426" s="136" t="str">
        <f t="shared" si="138"/>
        <v/>
      </c>
      <c r="G2426" s="137" t="e">
        <f>IF(A2426&lt;&gt;"",IF(AND(#REF!="Padrão",$H$4=#REF!),BDI!$B$17,IF(AND(#REF!="Padrão",$H$4=#REF!),BDI!#REF!,IF(AND(#REF!="Diferenciado",$H$4=#REF!),BDI!$E$17,IF(AND(#REF!="Diferenciado",$H$4=#REF!),BDI!#REF!,IF(#REF!="ZERO",0))))),"")</f>
        <v>#REF!</v>
      </c>
      <c r="H2426" s="138" t="str">
        <f t="shared" si="139"/>
        <v/>
      </c>
      <c r="I2426" s="136" t="str">
        <f t="shared" si="140"/>
        <v/>
      </c>
    </row>
    <row r="2427" spans="1:9" hidden="1" x14ac:dyDescent="0.25">
      <c r="A2427" s="114" t="s">
        <v>6146</v>
      </c>
      <c r="B2427" s="115" t="s">
        <v>4911</v>
      </c>
      <c r="C2427" s="116" t="s">
        <v>20</v>
      </c>
      <c r="D2427" s="116">
        <v>0</v>
      </c>
      <c r="E2427" s="135" t="s">
        <v>558</v>
      </c>
      <c r="F2427" s="136" t="str">
        <f t="shared" si="138"/>
        <v/>
      </c>
      <c r="G2427" s="137" t="e">
        <f>IF(A2427&lt;&gt;"",IF(AND(#REF!="Padrão",$H$4=#REF!),BDI!$B$17,IF(AND(#REF!="Padrão",$H$4=#REF!),BDI!#REF!,IF(AND(#REF!="Diferenciado",$H$4=#REF!),BDI!$E$17,IF(AND(#REF!="Diferenciado",$H$4=#REF!),BDI!#REF!,IF(#REF!="ZERO",0))))),"")</f>
        <v>#REF!</v>
      </c>
      <c r="H2427" s="138" t="str">
        <f t="shared" si="139"/>
        <v/>
      </c>
      <c r="I2427" s="136" t="str">
        <f t="shared" si="140"/>
        <v/>
      </c>
    </row>
    <row r="2428" spans="1:9" hidden="1" x14ac:dyDescent="0.25">
      <c r="A2428" s="114" t="s">
        <v>6147</v>
      </c>
      <c r="B2428" s="115" t="s">
        <v>4912</v>
      </c>
      <c r="C2428" s="116" t="s">
        <v>20</v>
      </c>
      <c r="D2428" s="116">
        <v>0</v>
      </c>
      <c r="E2428" s="135" t="s">
        <v>558</v>
      </c>
      <c r="F2428" s="136" t="str">
        <f t="shared" si="138"/>
        <v/>
      </c>
      <c r="G2428" s="137" t="e">
        <f>IF(A2428&lt;&gt;"",IF(AND(#REF!="Padrão",$H$4=#REF!),BDI!$B$17,IF(AND(#REF!="Padrão",$H$4=#REF!),BDI!#REF!,IF(AND(#REF!="Diferenciado",$H$4=#REF!),BDI!$E$17,IF(AND(#REF!="Diferenciado",$H$4=#REF!),BDI!#REF!,IF(#REF!="ZERO",0))))),"")</f>
        <v>#REF!</v>
      </c>
      <c r="H2428" s="138" t="str">
        <f t="shared" si="139"/>
        <v/>
      </c>
      <c r="I2428" s="136" t="str">
        <f t="shared" si="140"/>
        <v/>
      </c>
    </row>
    <row r="2429" spans="1:9" hidden="1" x14ac:dyDescent="0.25">
      <c r="A2429" s="114" t="s">
        <v>6148</v>
      </c>
      <c r="B2429" s="115" t="s">
        <v>4913</v>
      </c>
      <c r="C2429" s="116" t="s">
        <v>20</v>
      </c>
      <c r="D2429" s="116">
        <v>0</v>
      </c>
      <c r="E2429" s="135" t="s">
        <v>558</v>
      </c>
      <c r="F2429" s="136" t="str">
        <f t="shared" si="138"/>
        <v/>
      </c>
      <c r="G2429" s="137" t="e">
        <f>IF(A2429&lt;&gt;"",IF(AND(#REF!="Padrão",$H$4=#REF!),BDI!$B$17,IF(AND(#REF!="Padrão",$H$4=#REF!),BDI!#REF!,IF(AND(#REF!="Diferenciado",$H$4=#REF!),BDI!$E$17,IF(AND(#REF!="Diferenciado",$H$4=#REF!),BDI!#REF!,IF(#REF!="ZERO",0))))),"")</f>
        <v>#REF!</v>
      </c>
      <c r="H2429" s="138" t="str">
        <f t="shared" si="139"/>
        <v/>
      </c>
      <c r="I2429" s="136" t="str">
        <f t="shared" si="140"/>
        <v/>
      </c>
    </row>
    <row r="2430" spans="1:9" hidden="1" x14ac:dyDescent="0.25">
      <c r="A2430" s="114" t="s">
        <v>6149</v>
      </c>
      <c r="B2430" s="115" t="s">
        <v>4914</v>
      </c>
      <c r="C2430" s="116" t="s">
        <v>20</v>
      </c>
      <c r="D2430" s="116">
        <v>0</v>
      </c>
      <c r="E2430" s="135" t="s">
        <v>558</v>
      </c>
      <c r="F2430" s="136" t="str">
        <f t="shared" si="138"/>
        <v/>
      </c>
      <c r="G2430" s="137" t="e">
        <f>IF(A2430&lt;&gt;"",IF(AND(#REF!="Padrão",$H$4=#REF!),BDI!$B$17,IF(AND(#REF!="Padrão",$H$4=#REF!),BDI!#REF!,IF(AND(#REF!="Diferenciado",$H$4=#REF!),BDI!$E$17,IF(AND(#REF!="Diferenciado",$H$4=#REF!),BDI!#REF!,IF(#REF!="ZERO",0))))),"")</f>
        <v>#REF!</v>
      </c>
      <c r="H2430" s="138" t="str">
        <f t="shared" si="139"/>
        <v/>
      </c>
      <c r="I2430" s="136" t="str">
        <f t="shared" si="140"/>
        <v/>
      </c>
    </row>
    <row r="2431" spans="1:9" hidden="1" x14ac:dyDescent="0.25">
      <c r="A2431" s="114" t="s">
        <v>6150</v>
      </c>
      <c r="B2431" s="115" t="s">
        <v>4915</v>
      </c>
      <c r="C2431" s="116" t="s">
        <v>20</v>
      </c>
      <c r="D2431" s="116">
        <v>0</v>
      </c>
      <c r="E2431" s="135" t="s">
        <v>558</v>
      </c>
      <c r="F2431" s="136" t="str">
        <f t="shared" si="138"/>
        <v/>
      </c>
      <c r="G2431" s="137" t="e">
        <f>IF(A2431&lt;&gt;"",IF(AND(#REF!="Padrão",$H$4=#REF!),BDI!$B$17,IF(AND(#REF!="Padrão",$H$4=#REF!),BDI!#REF!,IF(AND(#REF!="Diferenciado",$H$4=#REF!),BDI!$E$17,IF(AND(#REF!="Diferenciado",$H$4=#REF!),BDI!#REF!,IF(#REF!="ZERO",0))))),"")</f>
        <v>#REF!</v>
      </c>
      <c r="H2431" s="138" t="str">
        <f t="shared" si="139"/>
        <v/>
      </c>
      <c r="I2431" s="136" t="str">
        <f t="shared" si="140"/>
        <v/>
      </c>
    </row>
    <row r="2432" spans="1:9" hidden="1" x14ac:dyDescent="0.25">
      <c r="A2432" s="114" t="s">
        <v>6151</v>
      </c>
      <c r="B2432" s="115" t="s">
        <v>4916</v>
      </c>
      <c r="C2432" s="116" t="s">
        <v>20</v>
      </c>
      <c r="D2432" s="116">
        <v>0</v>
      </c>
      <c r="E2432" s="135" t="s">
        <v>558</v>
      </c>
      <c r="F2432" s="136" t="str">
        <f t="shared" si="138"/>
        <v/>
      </c>
      <c r="G2432" s="137" t="e">
        <f>IF(A2432&lt;&gt;"",IF(AND(#REF!="Padrão",$H$4=#REF!),BDI!$B$17,IF(AND(#REF!="Padrão",$H$4=#REF!),BDI!#REF!,IF(AND(#REF!="Diferenciado",$H$4=#REF!),BDI!$E$17,IF(AND(#REF!="Diferenciado",$H$4=#REF!),BDI!#REF!,IF(#REF!="ZERO",0))))),"")</f>
        <v>#REF!</v>
      </c>
      <c r="H2432" s="138" t="str">
        <f t="shared" si="139"/>
        <v/>
      </c>
      <c r="I2432" s="136" t="str">
        <f t="shared" si="140"/>
        <v/>
      </c>
    </row>
    <row r="2433" spans="1:9" hidden="1" x14ac:dyDescent="0.25">
      <c r="A2433" s="114" t="s">
        <v>6152</v>
      </c>
      <c r="B2433" s="115" t="s">
        <v>4917</v>
      </c>
      <c r="C2433" s="116" t="s">
        <v>20</v>
      </c>
      <c r="D2433" s="116">
        <v>0</v>
      </c>
      <c r="E2433" s="135" t="s">
        <v>558</v>
      </c>
      <c r="F2433" s="136" t="str">
        <f t="shared" si="138"/>
        <v/>
      </c>
      <c r="G2433" s="137" t="e">
        <f>IF(A2433&lt;&gt;"",IF(AND(#REF!="Padrão",$H$4=#REF!),BDI!$B$17,IF(AND(#REF!="Padrão",$H$4=#REF!),BDI!#REF!,IF(AND(#REF!="Diferenciado",$H$4=#REF!),BDI!$E$17,IF(AND(#REF!="Diferenciado",$H$4=#REF!),BDI!#REF!,IF(#REF!="ZERO",0))))),"")</f>
        <v>#REF!</v>
      </c>
      <c r="H2433" s="138" t="str">
        <f t="shared" si="139"/>
        <v/>
      </c>
      <c r="I2433" s="136" t="str">
        <f t="shared" si="140"/>
        <v/>
      </c>
    </row>
    <row r="2434" spans="1:9" hidden="1" x14ac:dyDescent="0.25">
      <c r="A2434" s="114" t="s">
        <v>6153</v>
      </c>
      <c r="B2434" s="115" t="s">
        <v>6583</v>
      </c>
      <c r="C2434" s="116" t="s">
        <v>20</v>
      </c>
      <c r="D2434" s="116">
        <v>0</v>
      </c>
      <c r="E2434" s="135" t="s">
        <v>558</v>
      </c>
      <c r="F2434" s="136" t="str">
        <f t="shared" si="138"/>
        <v/>
      </c>
      <c r="G2434" s="137" t="e">
        <f>IF(A2434&lt;&gt;"",IF(AND(#REF!="Padrão",$H$4=#REF!),BDI!$B$17,IF(AND(#REF!="Padrão",$H$4=#REF!),BDI!#REF!,IF(AND(#REF!="Diferenciado",$H$4=#REF!),BDI!$E$17,IF(AND(#REF!="Diferenciado",$H$4=#REF!),BDI!#REF!,IF(#REF!="ZERO",0))))),"")</f>
        <v>#REF!</v>
      </c>
      <c r="H2434" s="138" t="str">
        <f t="shared" si="139"/>
        <v/>
      </c>
      <c r="I2434" s="136" t="str">
        <f t="shared" si="140"/>
        <v/>
      </c>
    </row>
    <row r="2435" spans="1:9" hidden="1" x14ac:dyDescent="0.25">
      <c r="A2435" s="114" t="s">
        <v>6154</v>
      </c>
      <c r="B2435" s="115" t="s">
        <v>6584</v>
      </c>
      <c r="C2435" s="116" t="s">
        <v>20</v>
      </c>
      <c r="D2435" s="116">
        <v>0</v>
      </c>
      <c r="E2435" s="135" t="s">
        <v>558</v>
      </c>
      <c r="F2435" s="136" t="str">
        <f t="shared" si="138"/>
        <v/>
      </c>
      <c r="G2435" s="137" t="e">
        <f>IF(A2435&lt;&gt;"",IF(AND(#REF!="Padrão",$H$4=#REF!),BDI!$B$17,IF(AND(#REF!="Padrão",$H$4=#REF!),BDI!#REF!,IF(AND(#REF!="Diferenciado",$H$4=#REF!),BDI!$E$17,IF(AND(#REF!="Diferenciado",$H$4=#REF!),BDI!#REF!,IF(#REF!="ZERO",0))))),"")</f>
        <v>#REF!</v>
      </c>
      <c r="H2435" s="138" t="str">
        <f t="shared" si="139"/>
        <v/>
      </c>
      <c r="I2435" s="136" t="str">
        <f t="shared" si="140"/>
        <v/>
      </c>
    </row>
    <row r="2436" spans="1:9" hidden="1" x14ac:dyDescent="0.25">
      <c r="A2436" s="114" t="s">
        <v>6155</v>
      </c>
      <c r="B2436" s="115" t="s">
        <v>4918</v>
      </c>
      <c r="C2436" s="116" t="s">
        <v>20</v>
      </c>
      <c r="D2436" s="116">
        <v>0</v>
      </c>
      <c r="E2436" s="135" t="s">
        <v>558</v>
      </c>
      <c r="F2436" s="136" t="str">
        <f t="shared" si="138"/>
        <v/>
      </c>
      <c r="G2436" s="137" t="e">
        <f>IF(A2436&lt;&gt;"",IF(AND(#REF!="Padrão",$H$4=#REF!),BDI!$B$17,IF(AND(#REF!="Padrão",$H$4=#REF!),BDI!#REF!,IF(AND(#REF!="Diferenciado",$H$4=#REF!),BDI!$E$17,IF(AND(#REF!="Diferenciado",$H$4=#REF!),BDI!#REF!,IF(#REF!="ZERO",0))))),"")</f>
        <v>#REF!</v>
      </c>
      <c r="H2436" s="138" t="str">
        <f t="shared" si="139"/>
        <v/>
      </c>
      <c r="I2436" s="136" t="str">
        <f t="shared" si="140"/>
        <v/>
      </c>
    </row>
    <row r="2437" spans="1:9" hidden="1" x14ac:dyDescent="0.25">
      <c r="A2437" s="114" t="s">
        <v>6156</v>
      </c>
      <c r="B2437" s="115" t="s">
        <v>4919</v>
      </c>
      <c r="C2437" s="116" t="s">
        <v>20</v>
      </c>
      <c r="D2437" s="116">
        <v>0</v>
      </c>
      <c r="E2437" s="135" t="s">
        <v>558</v>
      </c>
      <c r="F2437" s="136" t="str">
        <f t="shared" si="138"/>
        <v/>
      </c>
      <c r="G2437" s="137" t="e">
        <f>IF(A2437&lt;&gt;"",IF(AND(#REF!="Padrão",$H$4=#REF!),BDI!$B$17,IF(AND(#REF!="Padrão",$H$4=#REF!),BDI!#REF!,IF(AND(#REF!="Diferenciado",$H$4=#REF!),BDI!$E$17,IF(AND(#REF!="Diferenciado",$H$4=#REF!),BDI!#REF!,IF(#REF!="ZERO",0))))),"")</f>
        <v>#REF!</v>
      </c>
      <c r="H2437" s="138" t="str">
        <f t="shared" si="139"/>
        <v/>
      </c>
      <c r="I2437" s="136" t="str">
        <f t="shared" si="140"/>
        <v/>
      </c>
    </row>
    <row r="2438" spans="1:9" hidden="1" x14ac:dyDescent="0.25">
      <c r="A2438" s="114" t="s">
        <v>6157</v>
      </c>
      <c r="B2438" s="115" t="s">
        <v>4920</v>
      </c>
      <c r="C2438" s="116" t="s">
        <v>20</v>
      </c>
      <c r="D2438" s="116">
        <v>0</v>
      </c>
      <c r="E2438" s="135" t="s">
        <v>558</v>
      </c>
      <c r="F2438" s="136" t="str">
        <f t="shared" si="138"/>
        <v/>
      </c>
      <c r="G2438" s="137" t="e">
        <f>IF(A2438&lt;&gt;"",IF(AND(#REF!="Padrão",$H$4=#REF!),BDI!$B$17,IF(AND(#REF!="Padrão",$H$4=#REF!),BDI!#REF!,IF(AND(#REF!="Diferenciado",$H$4=#REF!),BDI!$E$17,IF(AND(#REF!="Diferenciado",$H$4=#REF!),BDI!#REF!,IF(#REF!="ZERO",0))))),"")</f>
        <v>#REF!</v>
      </c>
      <c r="H2438" s="138" t="str">
        <f t="shared" si="139"/>
        <v/>
      </c>
      <c r="I2438" s="136" t="str">
        <f t="shared" si="140"/>
        <v/>
      </c>
    </row>
    <row r="2439" spans="1:9" hidden="1" x14ac:dyDescent="0.25">
      <c r="A2439" s="114" t="s">
        <v>6158</v>
      </c>
      <c r="B2439" s="115" t="s">
        <v>4921</v>
      </c>
      <c r="C2439" s="116" t="s">
        <v>20</v>
      </c>
      <c r="D2439" s="116">
        <v>0</v>
      </c>
      <c r="E2439" s="135" t="s">
        <v>558</v>
      </c>
      <c r="F2439" s="136" t="str">
        <f t="shared" si="138"/>
        <v/>
      </c>
      <c r="G2439" s="137" t="e">
        <f>IF(A2439&lt;&gt;"",IF(AND(#REF!="Padrão",$H$4=#REF!),BDI!$B$17,IF(AND(#REF!="Padrão",$H$4=#REF!),BDI!#REF!,IF(AND(#REF!="Diferenciado",$H$4=#REF!),BDI!$E$17,IF(AND(#REF!="Diferenciado",$H$4=#REF!),BDI!#REF!,IF(#REF!="ZERO",0))))),"")</f>
        <v>#REF!</v>
      </c>
      <c r="H2439" s="138" t="str">
        <f t="shared" si="139"/>
        <v/>
      </c>
      <c r="I2439" s="136" t="str">
        <f t="shared" si="140"/>
        <v/>
      </c>
    </row>
    <row r="2440" spans="1:9" hidden="1" x14ac:dyDescent="0.25">
      <c r="A2440" s="114" t="s">
        <v>6159</v>
      </c>
      <c r="B2440" s="115" t="s">
        <v>4922</v>
      </c>
      <c r="C2440" s="116" t="s">
        <v>20</v>
      </c>
      <c r="D2440" s="116">
        <v>0</v>
      </c>
      <c r="E2440" s="135" t="s">
        <v>558</v>
      </c>
      <c r="F2440" s="136" t="str">
        <f t="shared" si="138"/>
        <v/>
      </c>
      <c r="G2440" s="137" t="e">
        <f>IF(A2440&lt;&gt;"",IF(AND(#REF!="Padrão",$H$4=#REF!),BDI!$B$17,IF(AND(#REF!="Padrão",$H$4=#REF!),BDI!#REF!,IF(AND(#REF!="Diferenciado",$H$4=#REF!),BDI!$E$17,IF(AND(#REF!="Diferenciado",$H$4=#REF!),BDI!#REF!,IF(#REF!="ZERO",0))))),"")</f>
        <v>#REF!</v>
      </c>
      <c r="H2440" s="138" t="str">
        <f t="shared" si="139"/>
        <v/>
      </c>
      <c r="I2440" s="136" t="str">
        <f t="shared" si="140"/>
        <v/>
      </c>
    </row>
    <row r="2441" spans="1:9" hidden="1" x14ac:dyDescent="0.25">
      <c r="A2441" s="114" t="s">
        <v>6160</v>
      </c>
      <c r="B2441" s="115" t="s">
        <v>4923</v>
      </c>
      <c r="C2441" s="116" t="s">
        <v>20</v>
      </c>
      <c r="D2441" s="116">
        <v>0</v>
      </c>
      <c r="E2441" s="135" t="s">
        <v>558</v>
      </c>
      <c r="F2441" s="136" t="str">
        <f t="shared" si="138"/>
        <v/>
      </c>
      <c r="G2441" s="137" t="e">
        <f>IF(A2441&lt;&gt;"",IF(AND(#REF!="Padrão",$H$4=#REF!),BDI!$B$17,IF(AND(#REF!="Padrão",$H$4=#REF!),BDI!#REF!,IF(AND(#REF!="Diferenciado",$H$4=#REF!),BDI!$E$17,IF(AND(#REF!="Diferenciado",$H$4=#REF!),BDI!#REF!,IF(#REF!="ZERO",0))))),"")</f>
        <v>#REF!</v>
      </c>
      <c r="H2441" s="138" t="str">
        <f t="shared" si="139"/>
        <v/>
      </c>
      <c r="I2441" s="136" t="str">
        <f t="shared" si="140"/>
        <v/>
      </c>
    </row>
    <row r="2442" spans="1:9" hidden="1" x14ac:dyDescent="0.25">
      <c r="A2442" s="114" t="s">
        <v>6161</v>
      </c>
      <c r="B2442" s="115" t="s">
        <v>4924</v>
      </c>
      <c r="C2442" s="116" t="s">
        <v>20</v>
      </c>
      <c r="D2442" s="116">
        <v>0</v>
      </c>
      <c r="E2442" s="135" t="s">
        <v>558</v>
      </c>
      <c r="F2442" s="136" t="str">
        <f t="shared" si="138"/>
        <v/>
      </c>
      <c r="G2442" s="137" t="e">
        <f>IF(A2442&lt;&gt;"",IF(AND(#REF!="Padrão",$H$4=#REF!),BDI!$B$17,IF(AND(#REF!="Padrão",$H$4=#REF!),BDI!#REF!,IF(AND(#REF!="Diferenciado",$H$4=#REF!),BDI!$E$17,IF(AND(#REF!="Diferenciado",$H$4=#REF!),BDI!#REF!,IF(#REF!="ZERO",0))))),"")</f>
        <v>#REF!</v>
      </c>
      <c r="H2442" s="138" t="str">
        <f t="shared" si="139"/>
        <v/>
      </c>
      <c r="I2442" s="136" t="str">
        <f t="shared" si="140"/>
        <v/>
      </c>
    </row>
    <row r="2443" spans="1:9" hidden="1" x14ac:dyDescent="0.25">
      <c r="A2443" s="114" t="s">
        <v>6162</v>
      </c>
      <c r="B2443" s="115" t="s">
        <v>4925</v>
      </c>
      <c r="C2443" s="116" t="s">
        <v>20</v>
      </c>
      <c r="D2443" s="116">
        <v>0</v>
      </c>
      <c r="E2443" s="135" t="s">
        <v>558</v>
      </c>
      <c r="F2443" s="136" t="str">
        <f t="shared" si="138"/>
        <v/>
      </c>
      <c r="G2443" s="137" t="e">
        <f>IF(A2443&lt;&gt;"",IF(AND(#REF!="Padrão",$H$4=#REF!),BDI!$B$17,IF(AND(#REF!="Padrão",$H$4=#REF!),BDI!#REF!,IF(AND(#REF!="Diferenciado",$H$4=#REF!),BDI!$E$17,IF(AND(#REF!="Diferenciado",$H$4=#REF!),BDI!#REF!,IF(#REF!="ZERO",0))))),"")</f>
        <v>#REF!</v>
      </c>
      <c r="H2443" s="138" t="str">
        <f t="shared" si="139"/>
        <v/>
      </c>
      <c r="I2443" s="136" t="str">
        <f t="shared" si="140"/>
        <v/>
      </c>
    </row>
    <row r="2444" spans="1:9" hidden="1" x14ac:dyDescent="0.25">
      <c r="A2444" s="114" t="s">
        <v>6163</v>
      </c>
      <c r="B2444" s="115" t="s">
        <v>4926</v>
      </c>
      <c r="C2444" s="116" t="s">
        <v>20</v>
      </c>
      <c r="D2444" s="116">
        <v>0</v>
      </c>
      <c r="E2444" s="135" t="s">
        <v>558</v>
      </c>
      <c r="F2444" s="136" t="str">
        <f t="shared" si="138"/>
        <v/>
      </c>
      <c r="G2444" s="137" t="e">
        <f>IF(A2444&lt;&gt;"",IF(AND(#REF!="Padrão",$H$4=#REF!),BDI!$B$17,IF(AND(#REF!="Padrão",$H$4=#REF!),BDI!#REF!,IF(AND(#REF!="Diferenciado",$H$4=#REF!),BDI!$E$17,IF(AND(#REF!="Diferenciado",$H$4=#REF!),BDI!#REF!,IF(#REF!="ZERO",0))))),"")</f>
        <v>#REF!</v>
      </c>
      <c r="H2444" s="138" t="str">
        <f t="shared" si="139"/>
        <v/>
      </c>
      <c r="I2444" s="136" t="str">
        <f t="shared" si="140"/>
        <v/>
      </c>
    </row>
    <row r="2445" spans="1:9" hidden="1" x14ac:dyDescent="0.25">
      <c r="A2445" s="114" t="s">
        <v>6164</v>
      </c>
      <c r="B2445" s="115" t="s">
        <v>4927</v>
      </c>
      <c r="C2445" s="116" t="s">
        <v>20</v>
      </c>
      <c r="D2445" s="116">
        <v>0</v>
      </c>
      <c r="E2445" s="135" t="s">
        <v>558</v>
      </c>
      <c r="F2445" s="136" t="str">
        <f t="shared" si="138"/>
        <v/>
      </c>
      <c r="G2445" s="137" t="e">
        <f>IF(A2445&lt;&gt;"",IF(AND(#REF!="Padrão",$H$4=#REF!),BDI!$B$17,IF(AND(#REF!="Padrão",$H$4=#REF!),BDI!#REF!,IF(AND(#REF!="Diferenciado",$H$4=#REF!),BDI!$E$17,IF(AND(#REF!="Diferenciado",$H$4=#REF!),BDI!#REF!,IF(#REF!="ZERO",0))))),"")</f>
        <v>#REF!</v>
      </c>
      <c r="H2445" s="138" t="str">
        <f t="shared" si="139"/>
        <v/>
      </c>
      <c r="I2445" s="136" t="str">
        <f t="shared" si="140"/>
        <v/>
      </c>
    </row>
    <row r="2446" spans="1:9" hidden="1" x14ac:dyDescent="0.25">
      <c r="A2446" s="114" t="s">
        <v>6165</v>
      </c>
      <c r="B2446" s="115" t="s">
        <v>4928</v>
      </c>
      <c r="C2446" s="116" t="s">
        <v>20</v>
      </c>
      <c r="D2446" s="116">
        <v>0</v>
      </c>
      <c r="E2446" s="135" t="s">
        <v>558</v>
      </c>
      <c r="F2446" s="136" t="str">
        <f t="shared" si="138"/>
        <v/>
      </c>
      <c r="G2446" s="137" t="e">
        <f>IF(A2446&lt;&gt;"",IF(AND(#REF!="Padrão",$H$4=#REF!),BDI!$B$17,IF(AND(#REF!="Padrão",$H$4=#REF!),BDI!#REF!,IF(AND(#REF!="Diferenciado",$H$4=#REF!),BDI!$E$17,IF(AND(#REF!="Diferenciado",$H$4=#REF!),BDI!#REF!,IF(#REF!="ZERO",0))))),"")</f>
        <v>#REF!</v>
      </c>
      <c r="H2446" s="138" t="str">
        <f t="shared" si="139"/>
        <v/>
      </c>
      <c r="I2446" s="136" t="str">
        <f t="shared" si="140"/>
        <v/>
      </c>
    </row>
    <row r="2447" spans="1:9" hidden="1" x14ac:dyDescent="0.25">
      <c r="A2447" s="114" t="s">
        <v>6166</v>
      </c>
      <c r="B2447" s="115" t="s">
        <v>4929</v>
      </c>
      <c r="C2447" s="116" t="s">
        <v>20</v>
      </c>
      <c r="D2447" s="116">
        <v>0</v>
      </c>
      <c r="E2447" s="135" t="s">
        <v>558</v>
      </c>
      <c r="F2447" s="136" t="str">
        <f t="shared" si="138"/>
        <v/>
      </c>
      <c r="G2447" s="137" t="e">
        <f>IF(A2447&lt;&gt;"",IF(AND(#REF!="Padrão",$H$4=#REF!),BDI!$B$17,IF(AND(#REF!="Padrão",$H$4=#REF!),BDI!#REF!,IF(AND(#REF!="Diferenciado",$H$4=#REF!),BDI!$E$17,IF(AND(#REF!="Diferenciado",$H$4=#REF!),BDI!#REF!,IF(#REF!="ZERO",0))))),"")</f>
        <v>#REF!</v>
      </c>
      <c r="H2447" s="138" t="str">
        <f t="shared" si="139"/>
        <v/>
      </c>
      <c r="I2447" s="136" t="str">
        <f t="shared" si="140"/>
        <v/>
      </c>
    </row>
    <row r="2448" spans="1:9" hidden="1" x14ac:dyDescent="0.25">
      <c r="A2448" s="114" t="s">
        <v>6167</v>
      </c>
      <c r="B2448" s="115" t="s">
        <v>4930</v>
      </c>
      <c r="C2448" s="116" t="s">
        <v>20</v>
      </c>
      <c r="D2448" s="116">
        <v>0</v>
      </c>
      <c r="E2448" s="135" t="s">
        <v>558</v>
      </c>
      <c r="F2448" s="136" t="str">
        <f t="shared" si="138"/>
        <v/>
      </c>
      <c r="G2448" s="137" t="e">
        <f>IF(A2448&lt;&gt;"",IF(AND(#REF!="Padrão",$H$4=#REF!),BDI!$B$17,IF(AND(#REF!="Padrão",$H$4=#REF!),BDI!#REF!,IF(AND(#REF!="Diferenciado",$H$4=#REF!),BDI!$E$17,IF(AND(#REF!="Diferenciado",$H$4=#REF!),BDI!#REF!,IF(#REF!="ZERO",0))))),"")</f>
        <v>#REF!</v>
      </c>
      <c r="H2448" s="138" t="str">
        <f t="shared" si="139"/>
        <v/>
      </c>
      <c r="I2448" s="136" t="str">
        <f t="shared" si="140"/>
        <v/>
      </c>
    </row>
    <row r="2449" spans="1:9" hidden="1" x14ac:dyDescent="0.25">
      <c r="A2449" s="114" t="s">
        <v>6168</v>
      </c>
      <c r="B2449" s="115" t="s">
        <v>4931</v>
      </c>
      <c r="C2449" s="116" t="s">
        <v>20</v>
      </c>
      <c r="D2449" s="116">
        <v>0</v>
      </c>
      <c r="E2449" s="135" t="s">
        <v>558</v>
      </c>
      <c r="F2449" s="136" t="str">
        <f t="shared" si="138"/>
        <v/>
      </c>
      <c r="G2449" s="137" t="e">
        <f>IF(A2449&lt;&gt;"",IF(AND(#REF!="Padrão",$H$4=#REF!),BDI!$B$17,IF(AND(#REF!="Padrão",$H$4=#REF!),BDI!#REF!,IF(AND(#REF!="Diferenciado",$H$4=#REF!),BDI!$E$17,IF(AND(#REF!="Diferenciado",$H$4=#REF!),BDI!#REF!,IF(#REF!="ZERO",0))))),"")</f>
        <v>#REF!</v>
      </c>
      <c r="H2449" s="138" t="str">
        <f t="shared" si="139"/>
        <v/>
      </c>
      <c r="I2449" s="136" t="str">
        <f t="shared" si="140"/>
        <v/>
      </c>
    </row>
    <row r="2450" spans="1:9" hidden="1" x14ac:dyDescent="0.25">
      <c r="A2450" s="114" t="s">
        <v>6169</v>
      </c>
      <c r="B2450" s="115" t="s">
        <v>4932</v>
      </c>
      <c r="C2450" s="116" t="s">
        <v>20</v>
      </c>
      <c r="D2450" s="116">
        <v>0</v>
      </c>
      <c r="E2450" s="135" t="s">
        <v>558</v>
      </c>
      <c r="F2450" s="136" t="str">
        <f t="shared" si="138"/>
        <v/>
      </c>
      <c r="G2450" s="137" t="e">
        <f>IF(A2450&lt;&gt;"",IF(AND(#REF!="Padrão",$H$4=#REF!),BDI!$B$17,IF(AND(#REF!="Padrão",$H$4=#REF!),BDI!#REF!,IF(AND(#REF!="Diferenciado",$H$4=#REF!),BDI!$E$17,IF(AND(#REF!="Diferenciado",$H$4=#REF!),BDI!#REF!,IF(#REF!="ZERO",0))))),"")</f>
        <v>#REF!</v>
      </c>
      <c r="H2450" s="138" t="str">
        <f t="shared" si="139"/>
        <v/>
      </c>
      <c r="I2450" s="136" t="str">
        <f t="shared" si="140"/>
        <v/>
      </c>
    </row>
    <row r="2451" spans="1:9" hidden="1" x14ac:dyDescent="0.25">
      <c r="A2451" s="114" t="s">
        <v>6170</v>
      </c>
      <c r="B2451" s="115" t="s">
        <v>4933</v>
      </c>
      <c r="C2451" s="116" t="s">
        <v>20</v>
      </c>
      <c r="D2451" s="116">
        <v>0</v>
      </c>
      <c r="E2451" s="135" t="s">
        <v>558</v>
      </c>
      <c r="F2451" s="136" t="str">
        <f t="shared" si="138"/>
        <v/>
      </c>
      <c r="G2451" s="137" t="e">
        <f>IF(A2451&lt;&gt;"",IF(AND(#REF!="Padrão",$H$4=#REF!),BDI!$B$17,IF(AND(#REF!="Padrão",$H$4=#REF!),BDI!#REF!,IF(AND(#REF!="Diferenciado",$H$4=#REF!),BDI!$E$17,IF(AND(#REF!="Diferenciado",$H$4=#REF!),BDI!#REF!,IF(#REF!="ZERO",0))))),"")</f>
        <v>#REF!</v>
      </c>
      <c r="H2451" s="138" t="str">
        <f t="shared" si="139"/>
        <v/>
      </c>
      <c r="I2451" s="136" t="str">
        <f t="shared" si="140"/>
        <v/>
      </c>
    </row>
    <row r="2452" spans="1:9" hidden="1" x14ac:dyDescent="0.25">
      <c r="A2452" s="114" t="s">
        <v>6171</v>
      </c>
      <c r="B2452" s="115" t="s">
        <v>4934</v>
      </c>
      <c r="C2452" s="116" t="s">
        <v>20</v>
      </c>
      <c r="D2452" s="116">
        <v>0</v>
      </c>
      <c r="E2452" s="135" t="s">
        <v>558</v>
      </c>
      <c r="F2452" s="136" t="str">
        <f t="shared" si="138"/>
        <v/>
      </c>
      <c r="G2452" s="137" t="e">
        <f>IF(A2452&lt;&gt;"",IF(AND(#REF!="Padrão",$H$4=#REF!),BDI!$B$17,IF(AND(#REF!="Padrão",$H$4=#REF!),BDI!#REF!,IF(AND(#REF!="Diferenciado",$H$4=#REF!),BDI!$E$17,IF(AND(#REF!="Diferenciado",$H$4=#REF!),BDI!#REF!,IF(#REF!="ZERO",0))))),"")</f>
        <v>#REF!</v>
      </c>
      <c r="H2452" s="138" t="str">
        <f t="shared" si="139"/>
        <v/>
      </c>
      <c r="I2452" s="136" t="str">
        <f t="shared" si="140"/>
        <v/>
      </c>
    </row>
    <row r="2453" spans="1:9" hidden="1" x14ac:dyDescent="0.25">
      <c r="A2453" s="114" t="s">
        <v>6172</v>
      </c>
      <c r="B2453" s="115" t="s">
        <v>4935</v>
      </c>
      <c r="C2453" s="116" t="s">
        <v>20</v>
      </c>
      <c r="D2453" s="116">
        <v>0</v>
      </c>
      <c r="E2453" s="135" t="s">
        <v>558</v>
      </c>
      <c r="F2453" s="136" t="str">
        <f t="shared" si="138"/>
        <v/>
      </c>
      <c r="G2453" s="137" t="e">
        <f>IF(A2453&lt;&gt;"",IF(AND(#REF!="Padrão",$H$4=#REF!),BDI!$B$17,IF(AND(#REF!="Padrão",$H$4=#REF!),BDI!#REF!,IF(AND(#REF!="Diferenciado",$H$4=#REF!),BDI!$E$17,IF(AND(#REF!="Diferenciado",$H$4=#REF!),BDI!#REF!,IF(#REF!="ZERO",0))))),"")</f>
        <v>#REF!</v>
      </c>
      <c r="H2453" s="138" t="str">
        <f t="shared" si="139"/>
        <v/>
      </c>
      <c r="I2453" s="136" t="str">
        <f t="shared" si="140"/>
        <v/>
      </c>
    </row>
    <row r="2454" spans="1:9" hidden="1" x14ac:dyDescent="0.25">
      <c r="A2454" s="114" t="s">
        <v>6173</v>
      </c>
      <c r="B2454" s="115" t="s">
        <v>4936</v>
      </c>
      <c r="C2454" s="116" t="s">
        <v>20</v>
      </c>
      <c r="D2454" s="116">
        <v>0</v>
      </c>
      <c r="E2454" s="135" t="s">
        <v>558</v>
      </c>
      <c r="F2454" s="136" t="str">
        <f t="shared" si="138"/>
        <v/>
      </c>
      <c r="G2454" s="137" t="e">
        <f>IF(A2454&lt;&gt;"",IF(AND(#REF!="Padrão",$H$4=#REF!),BDI!$B$17,IF(AND(#REF!="Padrão",$H$4=#REF!),BDI!#REF!,IF(AND(#REF!="Diferenciado",$H$4=#REF!),BDI!$E$17,IF(AND(#REF!="Diferenciado",$H$4=#REF!),BDI!#REF!,IF(#REF!="ZERO",0))))),"")</f>
        <v>#REF!</v>
      </c>
      <c r="H2454" s="138" t="str">
        <f t="shared" si="139"/>
        <v/>
      </c>
      <c r="I2454" s="136" t="str">
        <f t="shared" si="140"/>
        <v/>
      </c>
    </row>
    <row r="2455" spans="1:9" hidden="1" x14ac:dyDescent="0.25">
      <c r="A2455" s="114" t="s">
        <v>6174</v>
      </c>
      <c r="B2455" s="115" t="s">
        <v>4937</v>
      </c>
      <c r="C2455" s="116" t="s">
        <v>20</v>
      </c>
      <c r="D2455" s="116">
        <v>0</v>
      </c>
      <c r="E2455" s="135" t="s">
        <v>558</v>
      </c>
      <c r="F2455" s="136" t="str">
        <f t="shared" si="138"/>
        <v/>
      </c>
      <c r="G2455" s="137" t="e">
        <f>IF(A2455&lt;&gt;"",IF(AND(#REF!="Padrão",$H$4=#REF!),BDI!$B$17,IF(AND(#REF!="Padrão",$H$4=#REF!),BDI!#REF!,IF(AND(#REF!="Diferenciado",$H$4=#REF!),BDI!$E$17,IF(AND(#REF!="Diferenciado",$H$4=#REF!),BDI!#REF!,IF(#REF!="ZERO",0))))),"")</f>
        <v>#REF!</v>
      </c>
      <c r="H2455" s="138" t="str">
        <f t="shared" si="139"/>
        <v/>
      </c>
      <c r="I2455" s="136" t="str">
        <f t="shared" si="140"/>
        <v/>
      </c>
    </row>
    <row r="2456" spans="1:9" hidden="1" x14ac:dyDescent="0.25">
      <c r="A2456" s="114" t="s">
        <v>6175</v>
      </c>
      <c r="B2456" s="115" t="s">
        <v>4938</v>
      </c>
      <c r="C2456" s="116" t="s">
        <v>20</v>
      </c>
      <c r="D2456" s="116">
        <v>0</v>
      </c>
      <c r="E2456" s="135" t="s">
        <v>558</v>
      </c>
      <c r="F2456" s="136" t="str">
        <f t="shared" si="138"/>
        <v/>
      </c>
      <c r="G2456" s="137" t="e">
        <f>IF(A2456&lt;&gt;"",IF(AND(#REF!="Padrão",$H$4=#REF!),BDI!$B$17,IF(AND(#REF!="Padrão",$H$4=#REF!),BDI!#REF!,IF(AND(#REF!="Diferenciado",$H$4=#REF!),BDI!$E$17,IF(AND(#REF!="Diferenciado",$H$4=#REF!),BDI!#REF!,IF(#REF!="ZERO",0))))),"")</f>
        <v>#REF!</v>
      </c>
      <c r="H2456" s="138" t="str">
        <f t="shared" si="139"/>
        <v/>
      </c>
      <c r="I2456" s="136" t="str">
        <f t="shared" si="140"/>
        <v/>
      </c>
    </row>
    <row r="2457" spans="1:9" hidden="1" x14ac:dyDescent="0.25">
      <c r="A2457" s="114" t="s">
        <v>6176</v>
      </c>
      <c r="B2457" s="115" t="s">
        <v>4939</v>
      </c>
      <c r="C2457" s="116" t="s">
        <v>20</v>
      </c>
      <c r="D2457" s="116">
        <v>0</v>
      </c>
      <c r="E2457" s="135" t="s">
        <v>558</v>
      </c>
      <c r="F2457" s="136" t="str">
        <f t="shared" si="138"/>
        <v/>
      </c>
      <c r="G2457" s="137" t="e">
        <f>IF(A2457&lt;&gt;"",IF(AND(#REF!="Padrão",$H$4=#REF!),BDI!$B$17,IF(AND(#REF!="Padrão",$H$4=#REF!),BDI!#REF!,IF(AND(#REF!="Diferenciado",$H$4=#REF!),BDI!$E$17,IF(AND(#REF!="Diferenciado",$H$4=#REF!),BDI!#REF!,IF(#REF!="ZERO",0))))),"")</f>
        <v>#REF!</v>
      </c>
      <c r="H2457" s="138" t="str">
        <f t="shared" si="139"/>
        <v/>
      </c>
      <c r="I2457" s="136" t="str">
        <f t="shared" si="140"/>
        <v/>
      </c>
    </row>
    <row r="2458" spans="1:9" hidden="1" x14ac:dyDescent="0.25">
      <c r="A2458" s="114" t="s">
        <v>6177</v>
      </c>
      <c r="B2458" s="115" t="s">
        <v>4940</v>
      </c>
      <c r="C2458" s="116" t="s">
        <v>20</v>
      </c>
      <c r="D2458" s="116">
        <v>0</v>
      </c>
      <c r="E2458" s="135" t="s">
        <v>558</v>
      </c>
      <c r="F2458" s="136" t="str">
        <f t="shared" si="138"/>
        <v/>
      </c>
      <c r="G2458" s="137" t="e">
        <f>IF(A2458&lt;&gt;"",IF(AND(#REF!="Padrão",$H$4=#REF!),BDI!$B$17,IF(AND(#REF!="Padrão",$H$4=#REF!),BDI!#REF!,IF(AND(#REF!="Diferenciado",$H$4=#REF!),BDI!$E$17,IF(AND(#REF!="Diferenciado",$H$4=#REF!),BDI!#REF!,IF(#REF!="ZERO",0))))),"")</f>
        <v>#REF!</v>
      </c>
      <c r="H2458" s="138" t="str">
        <f t="shared" si="139"/>
        <v/>
      </c>
      <c r="I2458" s="136" t="str">
        <f t="shared" si="140"/>
        <v/>
      </c>
    </row>
    <row r="2459" spans="1:9" hidden="1" x14ac:dyDescent="0.25">
      <c r="A2459" s="114" t="s">
        <v>6178</v>
      </c>
      <c r="B2459" s="115" t="s">
        <v>4941</v>
      </c>
      <c r="C2459" s="116" t="s">
        <v>20</v>
      </c>
      <c r="D2459" s="116">
        <v>0</v>
      </c>
      <c r="E2459" s="135" t="s">
        <v>558</v>
      </c>
      <c r="F2459" s="136" t="str">
        <f t="shared" si="138"/>
        <v/>
      </c>
      <c r="G2459" s="137" t="e">
        <f>IF(A2459&lt;&gt;"",IF(AND(#REF!="Padrão",$H$4=#REF!),BDI!$B$17,IF(AND(#REF!="Padrão",$H$4=#REF!),BDI!#REF!,IF(AND(#REF!="Diferenciado",$H$4=#REF!),BDI!$E$17,IF(AND(#REF!="Diferenciado",$H$4=#REF!),BDI!#REF!,IF(#REF!="ZERO",0))))),"")</f>
        <v>#REF!</v>
      </c>
      <c r="H2459" s="138" t="str">
        <f t="shared" si="139"/>
        <v/>
      </c>
      <c r="I2459" s="136" t="str">
        <f t="shared" si="140"/>
        <v/>
      </c>
    </row>
    <row r="2460" spans="1:9" hidden="1" x14ac:dyDescent="0.25">
      <c r="A2460" s="114" t="s">
        <v>6179</v>
      </c>
      <c r="B2460" s="115" t="s">
        <v>4942</v>
      </c>
      <c r="C2460" s="116" t="s">
        <v>20</v>
      </c>
      <c r="D2460" s="116">
        <v>0</v>
      </c>
      <c r="E2460" s="135" t="s">
        <v>558</v>
      </c>
      <c r="F2460" s="136" t="str">
        <f t="shared" si="138"/>
        <v/>
      </c>
      <c r="G2460" s="137" t="e">
        <f>IF(A2460&lt;&gt;"",IF(AND(#REF!="Padrão",$H$4=#REF!),BDI!$B$17,IF(AND(#REF!="Padrão",$H$4=#REF!),BDI!#REF!,IF(AND(#REF!="Diferenciado",$H$4=#REF!),BDI!$E$17,IF(AND(#REF!="Diferenciado",$H$4=#REF!),BDI!#REF!,IF(#REF!="ZERO",0))))),"")</f>
        <v>#REF!</v>
      </c>
      <c r="H2460" s="138" t="str">
        <f t="shared" si="139"/>
        <v/>
      </c>
      <c r="I2460" s="136" t="str">
        <f t="shared" si="140"/>
        <v/>
      </c>
    </row>
    <row r="2461" spans="1:9" hidden="1" x14ac:dyDescent="0.25">
      <c r="A2461" s="114" t="s">
        <v>6180</v>
      </c>
      <c r="B2461" s="115" t="s">
        <v>4943</v>
      </c>
      <c r="C2461" s="116" t="s">
        <v>20</v>
      </c>
      <c r="D2461" s="116">
        <v>0</v>
      </c>
      <c r="E2461" s="135" t="s">
        <v>558</v>
      </c>
      <c r="F2461" s="136" t="str">
        <f t="shared" si="138"/>
        <v/>
      </c>
      <c r="G2461" s="137" t="e">
        <f>IF(A2461&lt;&gt;"",IF(AND(#REF!="Padrão",$H$4=#REF!),BDI!$B$17,IF(AND(#REF!="Padrão",$H$4=#REF!),BDI!#REF!,IF(AND(#REF!="Diferenciado",$H$4=#REF!),BDI!$E$17,IF(AND(#REF!="Diferenciado",$H$4=#REF!),BDI!#REF!,IF(#REF!="ZERO",0))))),"")</f>
        <v>#REF!</v>
      </c>
      <c r="H2461" s="138" t="str">
        <f t="shared" si="139"/>
        <v/>
      </c>
      <c r="I2461" s="136" t="str">
        <f t="shared" si="140"/>
        <v/>
      </c>
    </row>
    <row r="2462" spans="1:9" hidden="1" x14ac:dyDescent="0.25">
      <c r="A2462" s="114" t="s">
        <v>6181</v>
      </c>
      <c r="B2462" s="115" t="s">
        <v>4944</v>
      </c>
      <c r="C2462" s="116" t="s">
        <v>20</v>
      </c>
      <c r="D2462" s="116">
        <v>0</v>
      </c>
      <c r="E2462" s="135" t="s">
        <v>558</v>
      </c>
      <c r="F2462" s="136" t="str">
        <f t="shared" si="138"/>
        <v/>
      </c>
      <c r="G2462" s="137" t="e">
        <f>IF(A2462&lt;&gt;"",IF(AND(#REF!="Padrão",$H$4=#REF!),BDI!$B$17,IF(AND(#REF!="Padrão",$H$4=#REF!),BDI!#REF!,IF(AND(#REF!="Diferenciado",$H$4=#REF!),BDI!$E$17,IF(AND(#REF!="Diferenciado",$H$4=#REF!),BDI!#REF!,IF(#REF!="ZERO",0))))),"")</f>
        <v>#REF!</v>
      </c>
      <c r="H2462" s="138" t="str">
        <f t="shared" si="139"/>
        <v/>
      </c>
      <c r="I2462" s="136" t="str">
        <f t="shared" si="140"/>
        <v/>
      </c>
    </row>
    <row r="2463" spans="1:9" hidden="1" x14ac:dyDescent="0.25">
      <c r="A2463" s="114" t="s">
        <v>6182</v>
      </c>
      <c r="B2463" s="115" t="s">
        <v>4945</v>
      </c>
      <c r="C2463" s="116" t="s">
        <v>20</v>
      </c>
      <c r="D2463" s="116">
        <v>0</v>
      </c>
      <c r="E2463" s="135" t="s">
        <v>558</v>
      </c>
      <c r="F2463" s="136" t="str">
        <f t="shared" si="138"/>
        <v/>
      </c>
      <c r="G2463" s="137" t="e">
        <f>IF(A2463&lt;&gt;"",IF(AND(#REF!="Padrão",$H$4=#REF!),BDI!$B$17,IF(AND(#REF!="Padrão",$H$4=#REF!),BDI!#REF!,IF(AND(#REF!="Diferenciado",$H$4=#REF!),BDI!$E$17,IF(AND(#REF!="Diferenciado",$H$4=#REF!),BDI!#REF!,IF(#REF!="ZERO",0))))),"")</f>
        <v>#REF!</v>
      </c>
      <c r="H2463" s="138" t="str">
        <f t="shared" si="139"/>
        <v/>
      </c>
      <c r="I2463" s="136" t="str">
        <f t="shared" si="140"/>
        <v/>
      </c>
    </row>
    <row r="2464" spans="1:9" hidden="1" x14ac:dyDescent="0.25">
      <c r="A2464" s="114" t="s">
        <v>6183</v>
      </c>
      <c r="B2464" s="115" t="s">
        <v>4946</v>
      </c>
      <c r="C2464" s="116" t="s">
        <v>20</v>
      </c>
      <c r="D2464" s="116">
        <v>0</v>
      </c>
      <c r="E2464" s="135" t="s">
        <v>558</v>
      </c>
      <c r="F2464" s="136" t="str">
        <f t="shared" si="138"/>
        <v/>
      </c>
      <c r="G2464" s="137" t="e">
        <f>IF(A2464&lt;&gt;"",IF(AND(#REF!="Padrão",$H$4=#REF!),BDI!$B$17,IF(AND(#REF!="Padrão",$H$4=#REF!),BDI!#REF!,IF(AND(#REF!="Diferenciado",$H$4=#REF!),BDI!$E$17,IF(AND(#REF!="Diferenciado",$H$4=#REF!),BDI!#REF!,IF(#REF!="ZERO",0))))),"")</f>
        <v>#REF!</v>
      </c>
      <c r="H2464" s="138" t="str">
        <f t="shared" si="139"/>
        <v/>
      </c>
      <c r="I2464" s="136" t="str">
        <f t="shared" si="140"/>
        <v/>
      </c>
    </row>
    <row r="2465" spans="1:9" hidden="1" x14ac:dyDescent="0.25">
      <c r="A2465" s="114" t="s">
        <v>6184</v>
      </c>
      <c r="B2465" s="115" t="s">
        <v>4947</v>
      </c>
      <c r="C2465" s="116" t="s">
        <v>20</v>
      </c>
      <c r="D2465" s="116">
        <v>0</v>
      </c>
      <c r="E2465" s="135" t="s">
        <v>558</v>
      </c>
      <c r="F2465" s="136" t="str">
        <f t="shared" si="138"/>
        <v/>
      </c>
      <c r="G2465" s="137" t="e">
        <f>IF(A2465&lt;&gt;"",IF(AND(#REF!="Padrão",$H$4=#REF!),BDI!$B$17,IF(AND(#REF!="Padrão",$H$4=#REF!),BDI!#REF!,IF(AND(#REF!="Diferenciado",$H$4=#REF!),BDI!$E$17,IF(AND(#REF!="Diferenciado",$H$4=#REF!),BDI!#REF!,IF(#REF!="ZERO",0))))),"")</f>
        <v>#REF!</v>
      </c>
      <c r="H2465" s="138" t="str">
        <f t="shared" si="139"/>
        <v/>
      </c>
      <c r="I2465" s="136" t="str">
        <f t="shared" si="140"/>
        <v/>
      </c>
    </row>
    <row r="2466" spans="1:9" hidden="1" x14ac:dyDescent="0.25">
      <c r="A2466" s="114" t="s">
        <v>6185</v>
      </c>
      <c r="B2466" s="115" t="s">
        <v>4948</v>
      </c>
      <c r="C2466" s="116" t="s">
        <v>20</v>
      </c>
      <c r="D2466" s="116">
        <v>0</v>
      </c>
      <c r="E2466" s="135" t="s">
        <v>558</v>
      </c>
      <c r="F2466" s="136" t="str">
        <f t="shared" si="138"/>
        <v/>
      </c>
      <c r="G2466" s="137" t="e">
        <f>IF(A2466&lt;&gt;"",IF(AND(#REF!="Padrão",$H$4=#REF!),BDI!$B$17,IF(AND(#REF!="Padrão",$H$4=#REF!),BDI!#REF!,IF(AND(#REF!="Diferenciado",$H$4=#REF!),BDI!$E$17,IF(AND(#REF!="Diferenciado",$H$4=#REF!),BDI!#REF!,IF(#REF!="ZERO",0))))),"")</f>
        <v>#REF!</v>
      </c>
      <c r="H2466" s="138" t="str">
        <f t="shared" si="139"/>
        <v/>
      </c>
      <c r="I2466" s="136" t="str">
        <f t="shared" si="140"/>
        <v/>
      </c>
    </row>
    <row r="2467" spans="1:9" hidden="1" x14ac:dyDescent="0.25">
      <c r="A2467" s="114" t="s">
        <v>6186</v>
      </c>
      <c r="B2467" s="115" t="s">
        <v>4949</v>
      </c>
      <c r="C2467" s="116" t="s">
        <v>20</v>
      </c>
      <c r="D2467" s="116">
        <v>0</v>
      </c>
      <c r="E2467" s="135" t="s">
        <v>558</v>
      </c>
      <c r="F2467" s="136" t="str">
        <f t="shared" si="138"/>
        <v/>
      </c>
      <c r="G2467" s="137" t="e">
        <f>IF(A2467&lt;&gt;"",IF(AND(#REF!="Padrão",$H$4=#REF!),BDI!$B$17,IF(AND(#REF!="Padrão",$H$4=#REF!),BDI!#REF!,IF(AND(#REF!="Diferenciado",$H$4=#REF!),BDI!$E$17,IF(AND(#REF!="Diferenciado",$H$4=#REF!),BDI!#REF!,IF(#REF!="ZERO",0))))),"")</f>
        <v>#REF!</v>
      </c>
      <c r="H2467" s="138" t="str">
        <f t="shared" si="139"/>
        <v/>
      </c>
      <c r="I2467" s="136" t="str">
        <f t="shared" si="140"/>
        <v/>
      </c>
    </row>
    <row r="2468" spans="1:9" hidden="1" x14ac:dyDescent="0.25">
      <c r="A2468" s="114" t="s">
        <v>6187</v>
      </c>
      <c r="B2468" s="115" t="s">
        <v>4950</v>
      </c>
      <c r="C2468" s="116" t="s">
        <v>20</v>
      </c>
      <c r="D2468" s="116">
        <v>0</v>
      </c>
      <c r="E2468" s="135" t="s">
        <v>558</v>
      </c>
      <c r="F2468" s="136" t="str">
        <f t="shared" si="138"/>
        <v/>
      </c>
      <c r="G2468" s="137" t="e">
        <f>IF(A2468&lt;&gt;"",IF(AND(#REF!="Padrão",$H$4=#REF!),BDI!$B$17,IF(AND(#REF!="Padrão",$H$4=#REF!),BDI!#REF!,IF(AND(#REF!="Diferenciado",$H$4=#REF!),BDI!$E$17,IF(AND(#REF!="Diferenciado",$H$4=#REF!),BDI!#REF!,IF(#REF!="ZERO",0))))),"")</f>
        <v>#REF!</v>
      </c>
      <c r="H2468" s="138" t="str">
        <f t="shared" si="139"/>
        <v/>
      </c>
      <c r="I2468" s="136" t="str">
        <f t="shared" si="140"/>
        <v/>
      </c>
    </row>
    <row r="2469" spans="1:9" hidden="1" x14ac:dyDescent="0.25">
      <c r="A2469" s="114" t="s">
        <v>6188</v>
      </c>
      <c r="B2469" s="115" t="s">
        <v>4951</v>
      </c>
      <c r="C2469" s="116" t="s">
        <v>20</v>
      </c>
      <c r="D2469" s="116">
        <v>0</v>
      </c>
      <c r="E2469" s="135" t="s">
        <v>558</v>
      </c>
      <c r="F2469" s="136" t="str">
        <f t="shared" si="138"/>
        <v/>
      </c>
      <c r="G2469" s="137" t="e">
        <f>IF(A2469&lt;&gt;"",IF(AND(#REF!="Padrão",$H$4=#REF!),BDI!$B$17,IF(AND(#REF!="Padrão",$H$4=#REF!),BDI!#REF!,IF(AND(#REF!="Diferenciado",$H$4=#REF!),BDI!$E$17,IF(AND(#REF!="Diferenciado",$H$4=#REF!),BDI!#REF!,IF(#REF!="ZERO",0))))),"")</f>
        <v>#REF!</v>
      </c>
      <c r="H2469" s="138" t="str">
        <f t="shared" si="139"/>
        <v/>
      </c>
      <c r="I2469" s="136" t="str">
        <f t="shared" si="140"/>
        <v/>
      </c>
    </row>
    <row r="2470" spans="1:9" hidden="1" x14ac:dyDescent="0.25">
      <c r="A2470" s="114" t="s">
        <v>6189</v>
      </c>
      <c r="B2470" s="115" t="s">
        <v>4952</v>
      </c>
      <c r="C2470" s="116" t="s">
        <v>20</v>
      </c>
      <c r="D2470" s="116">
        <v>0</v>
      </c>
      <c r="E2470" s="135" t="s">
        <v>558</v>
      </c>
      <c r="F2470" s="136" t="str">
        <f t="shared" si="138"/>
        <v/>
      </c>
      <c r="G2470" s="137" t="e">
        <f>IF(A2470&lt;&gt;"",IF(AND(#REF!="Padrão",$H$4=#REF!),BDI!$B$17,IF(AND(#REF!="Padrão",$H$4=#REF!),BDI!#REF!,IF(AND(#REF!="Diferenciado",$H$4=#REF!),BDI!$E$17,IF(AND(#REF!="Diferenciado",$H$4=#REF!),BDI!#REF!,IF(#REF!="ZERO",0))))),"")</f>
        <v>#REF!</v>
      </c>
      <c r="H2470" s="138" t="str">
        <f t="shared" si="139"/>
        <v/>
      </c>
      <c r="I2470" s="136" t="str">
        <f t="shared" si="140"/>
        <v/>
      </c>
    </row>
    <row r="2471" spans="1:9" hidden="1" x14ac:dyDescent="0.25">
      <c r="A2471" s="114" t="s">
        <v>6190</v>
      </c>
      <c r="B2471" s="115" t="s">
        <v>4953</v>
      </c>
      <c r="C2471" s="116" t="s">
        <v>20</v>
      </c>
      <c r="D2471" s="116">
        <v>0</v>
      </c>
      <c r="E2471" s="135" t="s">
        <v>558</v>
      </c>
      <c r="F2471" s="136" t="str">
        <f t="shared" si="138"/>
        <v/>
      </c>
      <c r="G2471" s="137" t="e">
        <f>IF(A2471&lt;&gt;"",IF(AND(#REF!="Padrão",$H$4=#REF!),BDI!$B$17,IF(AND(#REF!="Padrão",$H$4=#REF!),BDI!#REF!,IF(AND(#REF!="Diferenciado",$H$4=#REF!),BDI!$E$17,IF(AND(#REF!="Diferenciado",$H$4=#REF!),BDI!#REF!,IF(#REF!="ZERO",0))))),"")</f>
        <v>#REF!</v>
      </c>
      <c r="H2471" s="138" t="str">
        <f t="shared" si="139"/>
        <v/>
      </c>
      <c r="I2471" s="136" t="str">
        <f t="shared" si="140"/>
        <v/>
      </c>
    </row>
    <row r="2472" spans="1:9" hidden="1" x14ac:dyDescent="0.25">
      <c r="A2472" s="114" t="s">
        <v>6191</v>
      </c>
      <c r="B2472" s="115" t="s">
        <v>4954</v>
      </c>
      <c r="C2472" s="116" t="s">
        <v>20</v>
      </c>
      <c r="D2472" s="116">
        <v>0</v>
      </c>
      <c r="E2472" s="135" t="s">
        <v>558</v>
      </c>
      <c r="F2472" s="136" t="str">
        <f t="shared" si="138"/>
        <v/>
      </c>
      <c r="G2472" s="137" t="e">
        <f>IF(A2472&lt;&gt;"",IF(AND(#REF!="Padrão",$H$4=#REF!),BDI!$B$17,IF(AND(#REF!="Padrão",$H$4=#REF!),BDI!#REF!,IF(AND(#REF!="Diferenciado",$H$4=#REF!),BDI!$E$17,IF(AND(#REF!="Diferenciado",$H$4=#REF!),BDI!#REF!,IF(#REF!="ZERO",0))))),"")</f>
        <v>#REF!</v>
      </c>
      <c r="H2472" s="138" t="str">
        <f t="shared" si="139"/>
        <v/>
      </c>
      <c r="I2472" s="136" t="str">
        <f t="shared" si="140"/>
        <v/>
      </c>
    </row>
    <row r="2473" spans="1:9" hidden="1" x14ac:dyDescent="0.25">
      <c r="A2473" s="114" t="s">
        <v>6192</v>
      </c>
      <c r="B2473" s="115" t="s">
        <v>4955</v>
      </c>
      <c r="C2473" s="116" t="s">
        <v>20</v>
      </c>
      <c r="D2473" s="116">
        <v>0</v>
      </c>
      <c r="E2473" s="135" t="s">
        <v>558</v>
      </c>
      <c r="F2473" s="136" t="str">
        <f t="shared" si="138"/>
        <v/>
      </c>
      <c r="G2473" s="137" t="e">
        <f>IF(A2473&lt;&gt;"",IF(AND(#REF!="Padrão",$H$4=#REF!),BDI!$B$17,IF(AND(#REF!="Padrão",$H$4=#REF!),BDI!#REF!,IF(AND(#REF!="Diferenciado",$H$4=#REF!),BDI!$E$17,IF(AND(#REF!="Diferenciado",$H$4=#REF!),BDI!#REF!,IF(#REF!="ZERO",0))))),"")</f>
        <v>#REF!</v>
      </c>
      <c r="H2473" s="138" t="str">
        <f t="shared" si="139"/>
        <v/>
      </c>
      <c r="I2473" s="136" t="str">
        <f t="shared" si="140"/>
        <v/>
      </c>
    </row>
    <row r="2474" spans="1:9" hidden="1" x14ac:dyDescent="0.25">
      <c r="A2474" s="114" t="s">
        <v>6193</v>
      </c>
      <c r="B2474" s="115" t="s">
        <v>4956</v>
      </c>
      <c r="C2474" s="116" t="s">
        <v>20</v>
      </c>
      <c r="D2474" s="116">
        <v>0</v>
      </c>
      <c r="E2474" s="135" t="s">
        <v>558</v>
      </c>
      <c r="F2474" s="136" t="str">
        <f t="shared" si="138"/>
        <v/>
      </c>
      <c r="G2474" s="137" t="e">
        <f>IF(A2474&lt;&gt;"",IF(AND(#REF!="Padrão",$H$4=#REF!),BDI!$B$17,IF(AND(#REF!="Padrão",$H$4=#REF!),BDI!#REF!,IF(AND(#REF!="Diferenciado",$H$4=#REF!),BDI!$E$17,IF(AND(#REF!="Diferenciado",$H$4=#REF!),BDI!#REF!,IF(#REF!="ZERO",0))))),"")</f>
        <v>#REF!</v>
      </c>
      <c r="H2474" s="138" t="str">
        <f t="shared" si="139"/>
        <v/>
      </c>
      <c r="I2474" s="136" t="str">
        <f t="shared" si="140"/>
        <v/>
      </c>
    </row>
    <row r="2475" spans="1:9" hidden="1" x14ac:dyDescent="0.25">
      <c r="A2475" s="114" t="s">
        <v>6194</v>
      </c>
      <c r="B2475" s="115" t="s">
        <v>4957</v>
      </c>
      <c r="C2475" s="116" t="s">
        <v>20</v>
      </c>
      <c r="D2475" s="116">
        <v>0</v>
      </c>
      <c r="E2475" s="135" t="s">
        <v>558</v>
      </c>
      <c r="F2475" s="136" t="str">
        <f t="shared" si="138"/>
        <v/>
      </c>
      <c r="G2475" s="137" t="e">
        <f>IF(A2475&lt;&gt;"",IF(AND(#REF!="Padrão",$H$4=#REF!),BDI!$B$17,IF(AND(#REF!="Padrão",$H$4=#REF!),BDI!#REF!,IF(AND(#REF!="Diferenciado",$H$4=#REF!),BDI!$E$17,IF(AND(#REF!="Diferenciado",$H$4=#REF!),BDI!#REF!,IF(#REF!="ZERO",0))))),"")</f>
        <v>#REF!</v>
      </c>
      <c r="H2475" s="138" t="str">
        <f t="shared" si="139"/>
        <v/>
      </c>
      <c r="I2475" s="136" t="str">
        <f t="shared" si="140"/>
        <v/>
      </c>
    </row>
    <row r="2476" spans="1:9" hidden="1" x14ac:dyDescent="0.25">
      <c r="A2476" s="114" t="s">
        <v>6195</v>
      </c>
      <c r="B2476" s="115" t="s">
        <v>4958</v>
      </c>
      <c r="C2476" s="116" t="s">
        <v>20</v>
      </c>
      <c r="D2476" s="116">
        <v>0</v>
      </c>
      <c r="E2476" s="135" t="s">
        <v>558</v>
      </c>
      <c r="F2476" s="136" t="str">
        <f t="shared" si="138"/>
        <v/>
      </c>
      <c r="G2476" s="137" t="e">
        <f>IF(A2476&lt;&gt;"",IF(AND(#REF!="Padrão",$H$4=#REF!),BDI!$B$17,IF(AND(#REF!="Padrão",$H$4=#REF!),BDI!#REF!,IF(AND(#REF!="Diferenciado",$H$4=#REF!),BDI!$E$17,IF(AND(#REF!="Diferenciado",$H$4=#REF!),BDI!#REF!,IF(#REF!="ZERO",0))))),"")</f>
        <v>#REF!</v>
      </c>
      <c r="H2476" s="138" t="str">
        <f t="shared" si="139"/>
        <v/>
      </c>
      <c r="I2476" s="136" t="str">
        <f t="shared" si="140"/>
        <v/>
      </c>
    </row>
    <row r="2477" spans="1:9" hidden="1" x14ac:dyDescent="0.25">
      <c r="A2477" s="114" t="s">
        <v>6196</v>
      </c>
      <c r="B2477" s="115" t="s">
        <v>4959</v>
      </c>
      <c r="C2477" s="116" t="s">
        <v>20</v>
      </c>
      <c r="D2477" s="116">
        <v>0</v>
      </c>
      <c r="E2477" s="135" t="s">
        <v>558</v>
      </c>
      <c r="F2477" s="136" t="str">
        <f t="shared" ref="F2477:F2540" si="141">IF(ISNUMBER(E2477),D2477*E2477,"")</f>
        <v/>
      </c>
      <c r="G2477" s="137" t="e">
        <f>IF(A2477&lt;&gt;"",IF(AND(#REF!="Padrão",$H$4=#REF!),BDI!$B$17,IF(AND(#REF!="Padrão",$H$4=#REF!),BDI!#REF!,IF(AND(#REF!="Diferenciado",$H$4=#REF!),BDI!$E$17,IF(AND(#REF!="Diferenciado",$H$4=#REF!),BDI!#REF!,IF(#REF!="ZERO",0))))),"")</f>
        <v>#REF!</v>
      </c>
      <c r="H2477" s="138" t="str">
        <f t="shared" ref="H2477:H2540" si="142">IF(ISNUMBER(E2477),ROUND(E2477*(1+G2477),2),"")</f>
        <v/>
      </c>
      <c r="I2477" s="136" t="str">
        <f t="shared" ref="I2477:I2540" si="143">IF(ISNUMBER(E2477),ROUND(H2477*D2477,2),"")</f>
        <v/>
      </c>
    </row>
    <row r="2478" spans="1:9" hidden="1" x14ac:dyDescent="0.25">
      <c r="A2478" s="114" t="s">
        <v>6197</v>
      </c>
      <c r="B2478" s="115" t="s">
        <v>4960</v>
      </c>
      <c r="C2478" s="116" t="s">
        <v>20</v>
      </c>
      <c r="D2478" s="116">
        <v>0</v>
      </c>
      <c r="E2478" s="135" t="s">
        <v>558</v>
      </c>
      <c r="F2478" s="136" t="str">
        <f t="shared" si="141"/>
        <v/>
      </c>
      <c r="G2478" s="137" t="e">
        <f>IF(A2478&lt;&gt;"",IF(AND(#REF!="Padrão",$H$4=#REF!),BDI!$B$17,IF(AND(#REF!="Padrão",$H$4=#REF!),BDI!#REF!,IF(AND(#REF!="Diferenciado",$H$4=#REF!),BDI!$E$17,IF(AND(#REF!="Diferenciado",$H$4=#REF!),BDI!#REF!,IF(#REF!="ZERO",0))))),"")</f>
        <v>#REF!</v>
      </c>
      <c r="H2478" s="138" t="str">
        <f t="shared" si="142"/>
        <v/>
      </c>
      <c r="I2478" s="136" t="str">
        <f t="shared" si="143"/>
        <v/>
      </c>
    </row>
    <row r="2479" spans="1:9" hidden="1" x14ac:dyDescent="0.25">
      <c r="A2479" s="114" t="s">
        <v>6198</v>
      </c>
      <c r="B2479" s="115" t="s">
        <v>4961</v>
      </c>
      <c r="C2479" s="116" t="s">
        <v>20</v>
      </c>
      <c r="D2479" s="116">
        <v>0</v>
      </c>
      <c r="E2479" s="135" t="s">
        <v>558</v>
      </c>
      <c r="F2479" s="136" t="str">
        <f t="shared" si="141"/>
        <v/>
      </c>
      <c r="G2479" s="137" t="e">
        <f>IF(A2479&lt;&gt;"",IF(AND(#REF!="Padrão",$H$4=#REF!),BDI!$B$17,IF(AND(#REF!="Padrão",$H$4=#REF!),BDI!#REF!,IF(AND(#REF!="Diferenciado",$H$4=#REF!),BDI!$E$17,IF(AND(#REF!="Diferenciado",$H$4=#REF!),BDI!#REF!,IF(#REF!="ZERO",0))))),"")</f>
        <v>#REF!</v>
      </c>
      <c r="H2479" s="138" t="str">
        <f t="shared" si="142"/>
        <v/>
      </c>
      <c r="I2479" s="136" t="str">
        <f t="shared" si="143"/>
        <v/>
      </c>
    </row>
    <row r="2480" spans="1:9" hidden="1" x14ac:dyDescent="0.25">
      <c r="A2480" s="114" t="s">
        <v>6199</v>
      </c>
      <c r="B2480" s="115" t="s">
        <v>4962</v>
      </c>
      <c r="C2480" s="116" t="s">
        <v>20</v>
      </c>
      <c r="D2480" s="116">
        <v>0</v>
      </c>
      <c r="E2480" s="135" t="s">
        <v>558</v>
      </c>
      <c r="F2480" s="136" t="str">
        <f t="shared" si="141"/>
        <v/>
      </c>
      <c r="G2480" s="137" t="e">
        <f>IF(A2480&lt;&gt;"",IF(AND(#REF!="Padrão",$H$4=#REF!),BDI!$B$17,IF(AND(#REF!="Padrão",$H$4=#REF!),BDI!#REF!,IF(AND(#REF!="Diferenciado",$H$4=#REF!),BDI!$E$17,IF(AND(#REF!="Diferenciado",$H$4=#REF!),BDI!#REF!,IF(#REF!="ZERO",0))))),"")</f>
        <v>#REF!</v>
      </c>
      <c r="H2480" s="138" t="str">
        <f t="shared" si="142"/>
        <v/>
      </c>
      <c r="I2480" s="136" t="str">
        <f t="shared" si="143"/>
        <v/>
      </c>
    </row>
    <row r="2481" spans="1:9" hidden="1" x14ac:dyDescent="0.25">
      <c r="A2481" s="114" t="s">
        <v>6200</v>
      </c>
      <c r="B2481" s="115" t="s">
        <v>4963</v>
      </c>
      <c r="C2481" s="116" t="s">
        <v>20</v>
      </c>
      <c r="D2481" s="116">
        <v>0</v>
      </c>
      <c r="E2481" s="135" t="s">
        <v>558</v>
      </c>
      <c r="F2481" s="136" t="str">
        <f t="shared" si="141"/>
        <v/>
      </c>
      <c r="G2481" s="137" t="e">
        <f>IF(A2481&lt;&gt;"",IF(AND(#REF!="Padrão",$H$4=#REF!),BDI!$B$17,IF(AND(#REF!="Padrão",$H$4=#REF!),BDI!#REF!,IF(AND(#REF!="Diferenciado",$H$4=#REF!),BDI!$E$17,IF(AND(#REF!="Diferenciado",$H$4=#REF!),BDI!#REF!,IF(#REF!="ZERO",0))))),"")</f>
        <v>#REF!</v>
      </c>
      <c r="H2481" s="138" t="str">
        <f t="shared" si="142"/>
        <v/>
      </c>
      <c r="I2481" s="136" t="str">
        <f t="shared" si="143"/>
        <v/>
      </c>
    </row>
    <row r="2482" spans="1:9" hidden="1" x14ac:dyDescent="0.25">
      <c r="A2482" s="114" t="s">
        <v>6201</v>
      </c>
      <c r="B2482" s="115" t="s">
        <v>4964</v>
      </c>
      <c r="C2482" s="116" t="s">
        <v>20</v>
      </c>
      <c r="D2482" s="116">
        <v>0</v>
      </c>
      <c r="E2482" s="135" t="s">
        <v>558</v>
      </c>
      <c r="F2482" s="136" t="str">
        <f t="shared" si="141"/>
        <v/>
      </c>
      <c r="G2482" s="137" t="e">
        <f>IF(A2482&lt;&gt;"",IF(AND(#REF!="Padrão",$H$4=#REF!),BDI!$B$17,IF(AND(#REF!="Padrão",$H$4=#REF!),BDI!#REF!,IF(AND(#REF!="Diferenciado",$H$4=#REF!),BDI!$E$17,IF(AND(#REF!="Diferenciado",$H$4=#REF!),BDI!#REF!,IF(#REF!="ZERO",0))))),"")</f>
        <v>#REF!</v>
      </c>
      <c r="H2482" s="138" t="str">
        <f t="shared" si="142"/>
        <v/>
      </c>
      <c r="I2482" s="136" t="str">
        <f t="shared" si="143"/>
        <v/>
      </c>
    </row>
    <row r="2483" spans="1:9" hidden="1" x14ac:dyDescent="0.25">
      <c r="A2483" s="114" t="s">
        <v>6202</v>
      </c>
      <c r="B2483" s="115" t="s">
        <v>4965</v>
      </c>
      <c r="C2483" s="116" t="s">
        <v>20</v>
      </c>
      <c r="D2483" s="116">
        <v>0</v>
      </c>
      <c r="E2483" s="135" t="s">
        <v>558</v>
      </c>
      <c r="F2483" s="136" t="str">
        <f t="shared" si="141"/>
        <v/>
      </c>
      <c r="G2483" s="137" t="e">
        <f>IF(A2483&lt;&gt;"",IF(AND(#REF!="Padrão",$H$4=#REF!),BDI!$B$17,IF(AND(#REF!="Padrão",$H$4=#REF!),BDI!#REF!,IF(AND(#REF!="Diferenciado",$H$4=#REF!),BDI!$E$17,IF(AND(#REF!="Diferenciado",$H$4=#REF!),BDI!#REF!,IF(#REF!="ZERO",0))))),"")</f>
        <v>#REF!</v>
      </c>
      <c r="H2483" s="138" t="str">
        <f t="shared" si="142"/>
        <v/>
      </c>
      <c r="I2483" s="136" t="str">
        <f t="shared" si="143"/>
        <v/>
      </c>
    </row>
    <row r="2484" spans="1:9" hidden="1" x14ac:dyDescent="0.25">
      <c r="A2484" s="114" t="s">
        <v>6203</v>
      </c>
      <c r="B2484" s="115" t="s">
        <v>4966</v>
      </c>
      <c r="C2484" s="116" t="s">
        <v>20</v>
      </c>
      <c r="D2484" s="116">
        <v>0</v>
      </c>
      <c r="E2484" s="135" t="s">
        <v>558</v>
      </c>
      <c r="F2484" s="136" t="str">
        <f t="shared" si="141"/>
        <v/>
      </c>
      <c r="G2484" s="137" t="e">
        <f>IF(A2484&lt;&gt;"",IF(AND(#REF!="Padrão",$H$4=#REF!),BDI!$B$17,IF(AND(#REF!="Padrão",$H$4=#REF!),BDI!#REF!,IF(AND(#REF!="Diferenciado",$H$4=#REF!),BDI!$E$17,IF(AND(#REF!="Diferenciado",$H$4=#REF!),BDI!#REF!,IF(#REF!="ZERO",0))))),"")</f>
        <v>#REF!</v>
      </c>
      <c r="H2484" s="138" t="str">
        <f t="shared" si="142"/>
        <v/>
      </c>
      <c r="I2484" s="136" t="str">
        <f t="shared" si="143"/>
        <v/>
      </c>
    </row>
    <row r="2485" spans="1:9" hidden="1" x14ac:dyDescent="0.25">
      <c r="A2485" s="114" t="s">
        <v>6204</v>
      </c>
      <c r="B2485" s="115" t="s">
        <v>4967</v>
      </c>
      <c r="C2485" s="116" t="s">
        <v>20</v>
      </c>
      <c r="D2485" s="116">
        <v>0</v>
      </c>
      <c r="E2485" s="135" t="s">
        <v>558</v>
      </c>
      <c r="F2485" s="136" t="str">
        <f t="shared" si="141"/>
        <v/>
      </c>
      <c r="G2485" s="137" t="e">
        <f>IF(A2485&lt;&gt;"",IF(AND(#REF!="Padrão",$H$4=#REF!),BDI!$B$17,IF(AND(#REF!="Padrão",$H$4=#REF!),BDI!#REF!,IF(AND(#REF!="Diferenciado",$H$4=#REF!),BDI!$E$17,IF(AND(#REF!="Diferenciado",$H$4=#REF!),BDI!#REF!,IF(#REF!="ZERO",0))))),"")</f>
        <v>#REF!</v>
      </c>
      <c r="H2485" s="138" t="str">
        <f t="shared" si="142"/>
        <v/>
      </c>
      <c r="I2485" s="136" t="str">
        <f t="shared" si="143"/>
        <v/>
      </c>
    </row>
    <row r="2486" spans="1:9" hidden="1" x14ac:dyDescent="0.25">
      <c r="A2486" s="114" t="s">
        <v>6205</v>
      </c>
      <c r="B2486" s="115" t="s">
        <v>4968</v>
      </c>
      <c r="C2486" s="116" t="s">
        <v>20</v>
      </c>
      <c r="D2486" s="116">
        <v>0</v>
      </c>
      <c r="E2486" s="135" t="s">
        <v>558</v>
      </c>
      <c r="F2486" s="136" t="str">
        <f t="shared" si="141"/>
        <v/>
      </c>
      <c r="G2486" s="137" t="e">
        <f>IF(A2486&lt;&gt;"",IF(AND(#REF!="Padrão",$H$4=#REF!),BDI!$B$17,IF(AND(#REF!="Padrão",$H$4=#REF!),BDI!#REF!,IF(AND(#REF!="Diferenciado",$H$4=#REF!),BDI!$E$17,IF(AND(#REF!="Diferenciado",$H$4=#REF!),BDI!#REF!,IF(#REF!="ZERO",0))))),"")</f>
        <v>#REF!</v>
      </c>
      <c r="H2486" s="138" t="str">
        <f t="shared" si="142"/>
        <v/>
      </c>
      <c r="I2486" s="136" t="str">
        <f t="shared" si="143"/>
        <v/>
      </c>
    </row>
    <row r="2487" spans="1:9" hidden="1" x14ac:dyDescent="0.25">
      <c r="A2487" s="114" t="s">
        <v>6206</v>
      </c>
      <c r="B2487" s="115" t="s">
        <v>4969</v>
      </c>
      <c r="C2487" s="116" t="s">
        <v>20</v>
      </c>
      <c r="D2487" s="116">
        <v>0</v>
      </c>
      <c r="E2487" s="135" t="s">
        <v>558</v>
      </c>
      <c r="F2487" s="136" t="str">
        <f t="shared" si="141"/>
        <v/>
      </c>
      <c r="G2487" s="137" t="e">
        <f>IF(A2487&lt;&gt;"",IF(AND(#REF!="Padrão",$H$4=#REF!),BDI!$B$17,IF(AND(#REF!="Padrão",$H$4=#REF!),BDI!#REF!,IF(AND(#REF!="Diferenciado",$H$4=#REF!),BDI!$E$17,IF(AND(#REF!="Diferenciado",$H$4=#REF!),BDI!#REF!,IF(#REF!="ZERO",0))))),"")</f>
        <v>#REF!</v>
      </c>
      <c r="H2487" s="138" t="str">
        <f t="shared" si="142"/>
        <v/>
      </c>
      <c r="I2487" s="136" t="str">
        <f t="shared" si="143"/>
        <v/>
      </c>
    </row>
    <row r="2488" spans="1:9" hidden="1" x14ac:dyDescent="0.25">
      <c r="A2488" s="114" t="s">
        <v>6207</v>
      </c>
      <c r="B2488" s="115" t="s">
        <v>4970</v>
      </c>
      <c r="C2488" s="116" t="s">
        <v>20</v>
      </c>
      <c r="D2488" s="116">
        <v>0</v>
      </c>
      <c r="E2488" s="135" t="s">
        <v>558</v>
      </c>
      <c r="F2488" s="136" t="str">
        <f t="shared" si="141"/>
        <v/>
      </c>
      <c r="G2488" s="137" t="e">
        <f>IF(A2488&lt;&gt;"",IF(AND(#REF!="Padrão",$H$4=#REF!),BDI!$B$17,IF(AND(#REF!="Padrão",$H$4=#REF!),BDI!#REF!,IF(AND(#REF!="Diferenciado",$H$4=#REF!),BDI!$E$17,IF(AND(#REF!="Diferenciado",$H$4=#REF!),BDI!#REF!,IF(#REF!="ZERO",0))))),"")</f>
        <v>#REF!</v>
      </c>
      <c r="H2488" s="138" t="str">
        <f t="shared" si="142"/>
        <v/>
      </c>
      <c r="I2488" s="136" t="str">
        <f t="shared" si="143"/>
        <v/>
      </c>
    </row>
    <row r="2489" spans="1:9" hidden="1" x14ac:dyDescent="0.25">
      <c r="A2489" s="114" t="s">
        <v>6208</v>
      </c>
      <c r="B2489" s="115" t="s">
        <v>4971</v>
      </c>
      <c r="C2489" s="116" t="s">
        <v>20</v>
      </c>
      <c r="D2489" s="116">
        <v>0</v>
      </c>
      <c r="E2489" s="135" t="s">
        <v>558</v>
      </c>
      <c r="F2489" s="136" t="str">
        <f t="shared" si="141"/>
        <v/>
      </c>
      <c r="G2489" s="137" t="e">
        <f>IF(A2489&lt;&gt;"",IF(AND(#REF!="Padrão",$H$4=#REF!),BDI!$B$17,IF(AND(#REF!="Padrão",$H$4=#REF!),BDI!#REF!,IF(AND(#REF!="Diferenciado",$H$4=#REF!),BDI!$E$17,IF(AND(#REF!="Diferenciado",$H$4=#REF!),BDI!#REF!,IF(#REF!="ZERO",0))))),"")</f>
        <v>#REF!</v>
      </c>
      <c r="H2489" s="138" t="str">
        <f t="shared" si="142"/>
        <v/>
      </c>
      <c r="I2489" s="136" t="str">
        <f t="shared" si="143"/>
        <v/>
      </c>
    </row>
    <row r="2490" spans="1:9" hidden="1" x14ac:dyDescent="0.25">
      <c r="A2490" s="114" t="s">
        <v>6209</v>
      </c>
      <c r="B2490" s="115" t="s">
        <v>4972</v>
      </c>
      <c r="C2490" s="116" t="s">
        <v>20</v>
      </c>
      <c r="D2490" s="116">
        <v>0</v>
      </c>
      <c r="E2490" s="135" t="s">
        <v>558</v>
      </c>
      <c r="F2490" s="136" t="str">
        <f t="shared" si="141"/>
        <v/>
      </c>
      <c r="G2490" s="137" t="e">
        <f>IF(A2490&lt;&gt;"",IF(AND(#REF!="Padrão",$H$4=#REF!),BDI!$B$17,IF(AND(#REF!="Padrão",$H$4=#REF!),BDI!#REF!,IF(AND(#REF!="Diferenciado",$H$4=#REF!),BDI!$E$17,IF(AND(#REF!="Diferenciado",$H$4=#REF!),BDI!#REF!,IF(#REF!="ZERO",0))))),"")</f>
        <v>#REF!</v>
      </c>
      <c r="H2490" s="138" t="str">
        <f t="shared" si="142"/>
        <v/>
      </c>
      <c r="I2490" s="136" t="str">
        <f t="shared" si="143"/>
        <v/>
      </c>
    </row>
    <row r="2491" spans="1:9" hidden="1" x14ac:dyDescent="0.25">
      <c r="A2491" s="114" t="s">
        <v>6210</v>
      </c>
      <c r="B2491" s="115" t="s">
        <v>4973</v>
      </c>
      <c r="C2491" s="116" t="s">
        <v>20</v>
      </c>
      <c r="D2491" s="116">
        <v>0</v>
      </c>
      <c r="E2491" s="135" t="s">
        <v>558</v>
      </c>
      <c r="F2491" s="136" t="str">
        <f t="shared" si="141"/>
        <v/>
      </c>
      <c r="G2491" s="137" t="e">
        <f>IF(A2491&lt;&gt;"",IF(AND(#REF!="Padrão",$H$4=#REF!),BDI!$B$17,IF(AND(#REF!="Padrão",$H$4=#REF!),BDI!#REF!,IF(AND(#REF!="Diferenciado",$H$4=#REF!),BDI!$E$17,IF(AND(#REF!="Diferenciado",$H$4=#REF!),BDI!#REF!,IF(#REF!="ZERO",0))))),"")</f>
        <v>#REF!</v>
      </c>
      <c r="H2491" s="138" t="str">
        <f t="shared" si="142"/>
        <v/>
      </c>
      <c r="I2491" s="136" t="str">
        <f t="shared" si="143"/>
        <v/>
      </c>
    </row>
    <row r="2492" spans="1:9" hidden="1" x14ac:dyDescent="0.25">
      <c r="A2492" s="114" t="s">
        <v>6211</v>
      </c>
      <c r="B2492" s="115" t="s">
        <v>4974</v>
      </c>
      <c r="C2492" s="116" t="s">
        <v>20</v>
      </c>
      <c r="D2492" s="116">
        <v>0</v>
      </c>
      <c r="E2492" s="135" t="s">
        <v>558</v>
      </c>
      <c r="F2492" s="136" t="str">
        <f t="shared" si="141"/>
        <v/>
      </c>
      <c r="G2492" s="137" t="e">
        <f>IF(A2492&lt;&gt;"",IF(AND(#REF!="Padrão",$H$4=#REF!),BDI!$B$17,IF(AND(#REF!="Padrão",$H$4=#REF!),BDI!#REF!,IF(AND(#REF!="Diferenciado",$H$4=#REF!),BDI!$E$17,IF(AND(#REF!="Diferenciado",$H$4=#REF!),BDI!#REF!,IF(#REF!="ZERO",0))))),"")</f>
        <v>#REF!</v>
      </c>
      <c r="H2492" s="138" t="str">
        <f t="shared" si="142"/>
        <v/>
      </c>
      <c r="I2492" s="136" t="str">
        <f t="shared" si="143"/>
        <v/>
      </c>
    </row>
    <row r="2493" spans="1:9" hidden="1" x14ac:dyDescent="0.25">
      <c r="A2493" s="114" t="s">
        <v>6212</v>
      </c>
      <c r="B2493" s="115" t="s">
        <v>4975</v>
      </c>
      <c r="C2493" s="116" t="s">
        <v>20</v>
      </c>
      <c r="D2493" s="116">
        <v>0</v>
      </c>
      <c r="E2493" s="135" t="s">
        <v>558</v>
      </c>
      <c r="F2493" s="136" t="str">
        <f t="shared" si="141"/>
        <v/>
      </c>
      <c r="G2493" s="137" t="e">
        <f>IF(A2493&lt;&gt;"",IF(AND(#REF!="Padrão",$H$4=#REF!),BDI!$B$17,IF(AND(#REF!="Padrão",$H$4=#REF!),BDI!#REF!,IF(AND(#REF!="Diferenciado",$H$4=#REF!),BDI!$E$17,IF(AND(#REF!="Diferenciado",$H$4=#REF!),BDI!#REF!,IF(#REF!="ZERO",0))))),"")</f>
        <v>#REF!</v>
      </c>
      <c r="H2493" s="138" t="str">
        <f t="shared" si="142"/>
        <v/>
      </c>
      <c r="I2493" s="136" t="str">
        <f t="shared" si="143"/>
        <v/>
      </c>
    </row>
    <row r="2494" spans="1:9" hidden="1" x14ac:dyDescent="0.25">
      <c r="A2494" s="114" t="s">
        <v>6213</v>
      </c>
      <c r="B2494" s="115" t="s">
        <v>4976</v>
      </c>
      <c r="C2494" s="116" t="s">
        <v>20</v>
      </c>
      <c r="D2494" s="116">
        <v>0</v>
      </c>
      <c r="E2494" s="135" t="s">
        <v>558</v>
      </c>
      <c r="F2494" s="136" t="str">
        <f t="shared" si="141"/>
        <v/>
      </c>
      <c r="G2494" s="137" t="e">
        <f>IF(A2494&lt;&gt;"",IF(AND(#REF!="Padrão",$H$4=#REF!),BDI!$B$17,IF(AND(#REF!="Padrão",$H$4=#REF!),BDI!#REF!,IF(AND(#REF!="Diferenciado",$H$4=#REF!),BDI!$E$17,IF(AND(#REF!="Diferenciado",$H$4=#REF!),BDI!#REF!,IF(#REF!="ZERO",0))))),"")</f>
        <v>#REF!</v>
      </c>
      <c r="H2494" s="138" t="str">
        <f t="shared" si="142"/>
        <v/>
      </c>
      <c r="I2494" s="136" t="str">
        <f t="shared" si="143"/>
        <v/>
      </c>
    </row>
    <row r="2495" spans="1:9" hidden="1" x14ac:dyDescent="0.25">
      <c r="A2495" s="114" t="s">
        <v>6214</v>
      </c>
      <c r="B2495" s="115" t="s">
        <v>4977</v>
      </c>
      <c r="C2495" s="116" t="s">
        <v>20</v>
      </c>
      <c r="D2495" s="116">
        <v>0</v>
      </c>
      <c r="E2495" s="135" t="s">
        <v>558</v>
      </c>
      <c r="F2495" s="136" t="str">
        <f t="shared" si="141"/>
        <v/>
      </c>
      <c r="G2495" s="137" t="e">
        <f>IF(A2495&lt;&gt;"",IF(AND(#REF!="Padrão",$H$4=#REF!),BDI!$B$17,IF(AND(#REF!="Padrão",$H$4=#REF!),BDI!#REF!,IF(AND(#REF!="Diferenciado",$H$4=#REF!),BDI!$E$17,IF(AND(#REF!="Diferenciado",$H$4=#REF!),BDI!#REF!,IF(#REF!="ZERO",0))))),"")</f>
        <v>#REF!</v>
      </c>
      <c r="H2495" s="138" t="str">
        <f t="shared" si="142"/>
        <v/>
      </c>
      <c r="I2495" s="136" t="str">
        <f t="shared" si="143"/>
        <v/>
      </c>
    </row>
    <row r="2496" spans="1:9" hidden="1" x14ac:dyDescent="0.25">
      <c r="A2496" s="114" t="s">
        <v>6215</v>
      </c>
      <c r="B2496" s="115" t="s">
        <v>4978</v>
      </c>
      <c r="C2496" s="116" t="s">
        <v>20</v>
      </c>
      <c r="D2496" s="116">
        <v>0</v>
      </c>
      <c r="E2496" s="135" t="s">
        <v>558</v>
      </c>
      <c r="F2496" s="136" t="str">
        <f t="shared" si="141"/>
        <v/>
      </c>
      <c r="G2496" s="137" t="e">
        <f>IF(A2496&lt;&gt;"",IF(AND(#REF!="Padrão",$H$4=#REF!),BDI!$B$17,IF(AND(#REF!="Padrão",$H$4=#REF!),BDI!#REF!,IF(AND(#REF!="Diferenciado",$H$4=#REF!),BDI!$E$17,IF(AND(#REF!="Diferenciado",$H$4=#REF!),BDI!#REF!,IF(#REF!="ZERO",0))))),"")</f>
        <v>#REF!</v>
      </c>
      <c r="H2496" s="138" t="str">
        <f t="shared" si="142"/>
        <v/>
      </c>
      <c r="I2496" s="136" t="str">
        <f t="shared" si="143"/>
        <v/>
      </c>
    </row>
    <row r="2497" spans="1:9" hidden="1" x14ac:dyDescent="0.25">
      <c r="A2497" s="114" t="s">
        <v>6216</v>
      </c>
      <c r="B2497" s="115" t="s">
        <v>4979</v>
      </c>
      <c r="C2497" s="116" t="s">
        <v>20</v>
      </c>
      <c r="D2497" s="116">
        <v>0</v>
      </c>
      <c r="E2497" s="135" t="s">
        <v>558</v>
      </c>
      <c r="F2497" s="136" t="str">
        <f t="shared" si="141"/>
        <v/>
      </c>
      <c r="G2497" s="137" t="e">
        <f>IF(A2497&lt;&gt;"",IF(AND(#REF!="Padrão",$H$4=#REF!),BDI!$B$17,IF(AND(#REF!="Padrão",$H$4=#REF!),BDI!#REF!,IF(AND(#REF!="Diferenciado",$H$4=#REF!),BDI!$E$17,IF(AND(#REF!="Diferenciado",$H$4=#REF!),BDI!#REF!,IF(#REF!="ZERO",0))))),"")</f>
        <v>#REF!</v>
      </c>
      <c r="H2497" s="138" t="str">
        <f t="shared" si="142"/>
        <v/>
      </c>
      <c r="I2497" s="136" t="str">
        <f t="shared" si="143"/>
        <v/>
      </c>
    </row>
    <row r="2498" spans="1:9" hidden="1" x14ac:dyDescent="0.25">
      <c r="A2498" s="114" t="s">
        <v>6217</v>
      </c>
      <c r="B2498" s="115" t="s">
        <v>4980</v>
      </c>
      <c r="C2498" s="116" t="s">
        <v>20</v>
      </c>
      <c r="D2498" s="116">
        <v>0</v>
      </c>
      <c r="E2498" s="135" t="s">
        <v>558</v>
      </c>
      <c r="F2498" s="136" t="str">
        <f t="shared" si="141"/>
        <v/>
      </c>
      <c r="G2498" s="137" t="e">
        <f>IF(A2498&lt;&gt;"",IF(AND(#REF!="Padrão",$H$4=#REF!),BDI!$B$17,IF(AND(#REF!="Padrão",$H$4=#REF!),BDI!#REF!,IF(AND(#REF!="Diferenciado",$H$4=#REF!),BDI!$E$17,IF(AND(#REF!="Diferenciado",$H$4=#REF!),BDI!#REF!,IF(#REF!="ZERO",0))))),"")</f>
        <v>#REF!</v>
      </c>
      <c r="H2498" s="138" t="str">
        <f t="shared" si="142"/>
        <v/>
      </c>
      <c r="I2498" s="136" t="str">
        <f t="shared" si="143"/>
        <v/>
      </c>
    </row>
    <row r="2499" spans="1:9" hidden="1" x14ac:dyDescent="0.25">
      <c r="A2499" s="114" t="s">
        <v>6218</v>
      </c>
      <c r="B2499" s="115" t="s">
        <v>4981</v>
      </c>
      <c r="C2499" s="116" t="s">
        <v>20</v>
      </c>
      <c r="D2499" s="116">
        <v>0</v>
      </c>
      <c r="E2499" s="135" t="s">
        <v>558</v>
      </c>
      <c r="F2499" s="136" t="str">
        <f t="shared" si="141"/>
        <v/>
      </c>
      <c r="G2499" s="137" t="e">
        <f>IF(A2499&lt;&gt;"",IF(AND(#REF!="Padrão",$H$4=#REF!),BDI!$B$17,IF(AND(#REF!="Padrão",$H$4=#REF!),BDI!#REF!,IF(AND(#REF!="Diferenciado",$H$4=#REF!),BDI!$E$17,IF(AND(#REF!="Diferenciado",$H$4=#REF!),BDI!#REF!,IF(#REF!="ZERO",0))))),"")</f>
        <v>#REF!</v>
      </c>
      <c r="H2499" s="138" t="str">
        <f t="shared" si="142"/>
        <v/>
      </c>
      <c r="I2499" s="136" t="str">
        <f t="shared" si="143"/>
        <v/>
      </c>
    </row>
    <row r="2500" spans="1:9" hidden="1" x14ac:dyDescent="0.25">
      <c r="A2500" s="114" t="s">
        <v>6219</v>
      </c>
      <c r="B2500" s="115" t="s">
        <v>4982</v>
      </c>
      <c r="C2500" s="116" t="s">
        <v>20</v>
      </c>
      <c r="D2500" s="116">
        <v>0</v>
      </c>
      <c r="E2500" s="135" t="s">
        <v>558</v>
      </c>
      <c r="F2500" s="136" t="str">
        <f t="shared" si="141"/>
        <v/>
      </c>
      <c r="G2500" s="137" t="e">
        <f>IF(A2500&lt;&gt;"",IF(AND(#REF!="Padrão",$H$4=#REF!),BDI!$B$17,IF(AND(#REF!="Padrão",$H$4=#REF!),BDI!#REF!,IF(AND(#REF!="Diferenciado",$H$4=#REF!),BDI!$E$17,IF(AND(#REF!="Diferenciado",$H$4=#REF!),BDI!#REF!,IF(#REF!="ZERO",0))))),"")</f>
        <v>#REF!</v>
      </c>
      <c r="H2500" s="138" t="str">
        <f t="shared" si="142"/>
        <v/>
      </c>
      <c r="I2500" s="136" t="str">
        <f t="shared" si="143"/>
        <v/>
      </c>
    </row>
    <row r="2501" spans="1:9" hidden="1" x14ac:dyDescent="0.25">
      <c r="A2501" s="114" t="s">
        <v>6220</v>
      </c>
      <c r="B2501" s="115" t="s">
        <v>4983</v>
      </c>
      <c r="C2501" s="116" t="s">
        <v>20</v>
      </c>
      <c r="D2501" s="116">
        <v>0</v>
      </c>
      <c r="E2501" s="135" t="s">
        <v>558</v>
      </c>
      <c r="F2501" s="136" t="str">
        <f t="shared" si="141"/>
        <v/>
      </c>
      <c r="G2501" s="137" t="e">
        <f>IF(A2501&lt;&gt;"",IF(AND(#REF!="Padrão",$H$4=#REF!),BDI!$B$17,IF(AND(#REF!="Padrão",$H$4=#REF!),BDI!#REF!,IF(AND(#REF!="Diferenciado",$H$4=#REF!),BDI!$E$17,IF(AND(#REF!="Diferenciado",$H$4=#REF!),BDI!#REF!,IF(#REF!="ZERO",0))))),"")</f>
        <v>#REF!</v>
      </c>
      <c r="H2501" s="138" t="str">
        <f t="shared" si="142"/>
        <v/>
      </c>
      <c r="I2501" s="136" t="str">
        <f t="shared" si="143"/>
        <v/>
      </c>
    </row>
    <row r="2502" spans="1:9" hidden="1" x14ac:dyDescent="0.25">
      <c r="A2502" s="114" t="s">
        <v>6221</v>
      </c>
      <c r="B2502" s="115" t="s">
        <v>4984</v>
      </c>
      <c r="C2502" s="116" t="s">
        <v>20</v>
      </c>
      <c r="D2502" s="116">
        <v>0</v>
      </c>
      <c r="E2502" s="135" t="s">
        <v>558</v>
      </c>
      <c r="F2502" s="136" t="str">
        <f t="shared" si="141"/>
        <v/>
      </c>
      <c r="G2502" s="137" t="e">
        <f>IF(A2502&lt;&gt;"",IF(AND(#REF!="Padrão",$H$4=#REF!),BDI!$B$17,IF(AND(#REF!="Padrão",$H$4=#REF!),BDI!#REF!,IF(AND(#REF!="Diferenciado",$H$4=#REF!),BDI!$E$17,IF(AND(#REF!="Diferenciado",$H$4=#REF!),BDI!#REF!,IF(#REF!="ZERO",0))))),"")</f>
        <v>#REF!</v>
      </c>
      <c r="H2502" s="138" t="str">
        <f t="shared" si="142"/>
        <v/>
      </c>
      <c r="I2502" s="136" t="str">
        <f t="shared" si="143"/>
        <v/>
      </c>
    </row>
    <row r="2503" spans="1:9" hidden="1" x14ac:dyDescent="0.25">
      <c r="A2503" s="114" t="s">
        <v>6222</v>
      </c>
      <c r="B2503" s="115" t="s">
        <v>4985</v>
      </c>
      <c r="C2503" s="116" t="s">
        <v>20</v>
      </c>
      <c r="D2503" s="116">
        <v>0</v>
      </c>
      <c r="E2503" s="135" t="s">
        <v>558</v>
      </c>
      <c r="F2503" s="136" t="str">
        <f t="shared" si="141"/>
        <v/>
      </c>
      <c r="G2503" s="137" t="e">
        <f>IF(A2503&lt;&gt;"",IF(AND(#REF!="Padrão",$H$4=#REF!),BDI!$B$17,IF(AND(#REF!="Padrão",$H$4=#REF!),BDI!#REF!,IF(AND(#REF!="Diferenciado",$H$4=#REF!),BDI!$E$17,IF(AND(#REF!="Diferenciado",$H$4=#REF!),BDI!#REF!,IF(#REF!="ZERO",0))))),"")</f>
        <v>#REF!</v>
      </c>
      <c r="H2503" s="138" t="str">
        <f t="shared" si="142"/>
        <v/>
      </c>
      <c r="I2503" s="136" t="str">
        <f t="shared" si="143"/>
        <v/>
      </c>
    </row>
    <row r="2504" spans="1:9" hidden="1" x14ac:dyDescent="0.25">
      <c r="A2504" s="114" t="s">
        <v>6223</v>
      </c>
      <c r="B2504" s="115" t="s">
        <v>4986</v>
      </c>
      <c r="C2504" s="116" t="s">
        <v>20</v>
      </c>
      <c r="D2504" s="116">
        <v>0</v>
      </c>
      <c r="E2504" s="135">
        <f ca="1">OFFSET(INDEX(Composições!A:J,MATCH(Orçamentária!A2504,Composições!A:A,0),8),2,0)</f>
        <v>107.274</v>
      </c>
      <c r="F2504" s="136">
        <f t="shared" ca="1" si="141"/>
        <v>0</v>
      </c>
      <c r="G2504" s="137" t="e">
        <f>IF(A2504&lt;&gt;"",IF(AND(#REF!="Padrão",$H$4=#REF!),BDI!$B$17,IF(AND(#REF!="Padrão",$H$4=#REF!),BDI!#REF!,IF(AND(#REF!="Diferenciado",$H$4=#REF!),BDI!$E$17,IF(AND(#REF!="Diferenciado",$H$4=#REF!),BDI!#REF!,IF(#REF!="ZERO",0))))),"")</f>
        <v>#REF!</v>
      </c>
      <c r="H2504" s="138" t="e">
        <f t="shared" ca="1" si="142"/>
        <v>#REF!</v>
      </c>
      <c r="I2504" s="136" t="e">
        <f t="shared" ca="1" si="143"/>
        <v>#REF!</v>
      </c>
    </row>
    <row r="2505" spans="1:9" hidden="1" x14ac:dyDescent="0.25">
      <c r="A2505" s="114" t="s">
        <v>6224</v>
      </c>
      <c r="B2505" s="115" t="s">
        <v>4987</v>
      </c>
      <c r="C2505" s="116" t="s">
        <v>20</v>
      </c>
      <c r="D2505" s="116">
        <v>0</v>
      </c>
      <c r="E2505" s="135" t="s">
        <v>558</v>
      </c>
      <c r="F2505" s="136" t="str">
        <f t="shared" si="141"/>
        <v/>
      </c>
      <c r="G2505" s="137" t="e">
        <f>IF(A2505&lt;&gt;"",IF(AND(#REF!="Padrão",$H$4=#REF!),BDI!$B$17,IF(AND(#REF!="Padrão",$H$4=#REF!),BDI!#REF!,IF(AND(#REF!="Diferenciado",$H$4=#REF!),BDI!$E$17,IF(AND(#REF!="Diferenciado",$H$4=#REF!),BDI!#REF!,IF(#REF!="ZERO",0))))),"")</f>
        <v>#REF!</v>
      </c>
      <c r="H2505" s="138" t="str">
        <f t="shared" si="142"/>
        <v/>
      </c>
      <c r="I2505" s="136" t="str">
        <f t="shared" si="143"/>
        <v/>
      </c>
    </row>
    <row r="2506" spans="1:9" hidden="1" x14ac:dyDescent="0.25">
      <c r="A2506" s="114" t="s">
        <v>6225</v>
      </c>
      <c r="B2506" s="115" t="s">
        <v>4988</v>
      </c>
      <c r="C2506" s="116" t="s">
        <v>20</v>
      </c>
      <c r="D2506" s="116">
        <v>0</v>
      </c>
      <c r="E2506" s="135" t="s">
        <v>558</v>
      </c>
      <c r="F2506" s="136" t="str">
        <f t="shared" si="141"/>
        <v/>
      </c>
      <c r="G2506" s="137" t="e">
        <f>IF(A2506&lt;&gt;"",IF(AND(#REF!="Padrão",$H$4=#REF!),BDI!$B$17,IF(AND(#REF!="Padrão",$H$4=#REF!),BDI!#REF!,IF(AND(#REF!="Diferenciado",$H$4=#REF!),BDI!$E$17,IF(AND(#REF!="Diferenciado",$H$4=#REF!),BDI!#REF!,IF(#REF!="ZERO",0))))),"")</f>
        <v>#REF!</v>
      </c>
      <c r="H2506" s="138" t="str">
        <f t="shared" si="142"/>
        <v/>
      </c>
      <c r="I2506" s="136" t="str">
        <f t="shared" si="143"/>
        <v/>
      </c>
    </row>
    <row r="2507" spans="1:9" hidden="1" x14ac:dyDescent="0.25">
      <c r="A2507" s="114" t="s">
        <v>6226</v>
      </c>
      <c r="B2507" s="115" t="s">
        <v>4989</v>
      </c>
      <c r="C2507" s="116" t="s">
        <v>20</v>
      </c>
      <c r="D2507" s="116">
        <v>0</v>
      </c>
      <c r="E2507" s="135" t="s">
        <v>558</v>
      </c>
      <c r="F2507" s="136" t="str">
        <f t="shared" si="141"/>
        <v/>
      </c>
      <c r="G2507" s="137" t="e">
        <f>IF(A2507&lt;&gt;"",IF(AND(#REF!="Padrão",$H$4=#REF!),BDI!$B$17,IF(AND(#REF!="Padrão",$H$4=#REF!),BDI!#REF!,IF(AND(#REF!="Diferenciado",$H$4=#REF!),BDI!$E$17,IF(AND(#REF!="Diferenciado",$H$4=#REF!),BDI!#REF!,IF(#REF!="ZERO",0))))),"")</f>
        <v>#REF!</v>
      </c>
      <c r="H2507" s="138" t="str">
        <f t="shared" si="142"/>
        <v/>
      </c>
      <c r="I2507" s="136" t="str">
        <f t="shared" si="143"/>
        <v/>
      </c>
    </row>
    <row r="2508" spans="1:9" hidden="1" x14ac:dyDescent="0.25">
      <c r="A2508" s="114" t="s">
        <v>6227</v>
      </c>
      <c r="B2508" s="115" t="s">
        <v>4990</v>
      </c>
      <c r="C2508" s="116" t="s">
        <v>20</v>
      </c>
      <c r="D2508" s="116">
        <v>0</v>
      </c>
      <c r="E2508" s="135" t="s">
        <v>558</v>
      </c>
      <c r="F2508" s="136" t="str">
        <f t="shared" si="141"/>
        <v/>
      </c>
      <c r="G2508" s="137" t="e">
        <f>IF(A2508&lt;&gt;"",IF(AND(#REF!="Padrão",$H$4=#REF!),BDI!$B$17,IF(AND(#REF!="Padrão",$H$4=#REF!),BDI!#REF!,IF(AND(#REF!="Diferenciado",$H$4=#REF!),BDI!$E$17,IF(AND(#REF!="Diferenciado",$H$4=#REF!),BDI!#REF!,IF(#REF!="ZERO",0))))),"")</f>
        <v>#REF!</v>
      </c>
      <c r="H2508" s="138" t="str">
        <f t="shared" si="142"/>
        <v/>
      </c>
      <c r="I2508" s="136" t="str">
        <f t="shared" si="143"/>
        <v/>
      </c>
    </row>
    <row r="2509" spans="1:9" hidden="1" x14ac:dyDescent="0.25">
      <c r="A2509" s="114" t="s">
        <v>6228</v>
      </c>
      <c r="B2509" s="115" t="s">
        <v>4991</v>
      </c>
      <c r="C2509" s="116" t="s">
        <v>20</v>
      </c>
      <c r="D2509" s="116">
        <v>0</v>
      </c>
      <c r="E2509" s="135" t="s">
        <v>558</v>
      </c>
      <c r="F2509" s="136" t="str">
        <f t="shared" si="141"/>
        <v/>
      </c>
      <c r="G2509" s="137" t="e">
        <f>IF(A2509&lt;&gt;"",IF(AND(#REF!="Padrão",$H$4=#REF!),BDI!$B$17,IF(AND(#REF!="Padrão",$H$4=#REF!),BDI!#REF!,IF(AND(#REF!="Diferenciado",$H$4=#REF!),BDI!$E$17,IF(AND(#REF!="Diferenciado",$H$4=#REF!),BDI!#REF!,IF(#REF!="ZERO",0))))),"")</f>
        <v>#REF!</v>
      </c>
      <c r="H2509" s="138" t="str">
        <f t="shared" si="142"/>
        <v/>
      </c>
      <c r="I2509" s="136" t="str">
        <f t="shared" si="143"/>
        <v/>
      </c>
    </row>
    <row r="2510" spans="1:9" hidden="1" x14ac:dyDescent="0.25">
      <c r="A2510" s="114" t="s">
        <v>6229</v>
      </c>
      <c r="B2510" s="115" t="s">
        <v>4992</v>
      </c>
      <c r="C2510" s="116" t="s">
        <v>20</v>
      </c>
      <c r="D2510" s="116">
        <v>0</v>
      </c>
      <c r="E2510" s="135" t="s">
        <v>558</v>
      </c>
      <c r="F2510" s="136" t="str">
        <f t="shared" si="141"/>
        <v/>
      </c>
      <c r="G2510" s="137" t="e">
        <f>IF(A2510&lt;&gt;"",IF(AND(#REF!="Padrão",$H$4=#REF!),BDI!$B$17,IF(AND(#REF!="Padrão",$H$4=#REF!),BDI!#REF!,IF(AND(#REF!="Diferenciado",$H$4=#REF!),BDI!$E$17,IF(AND(#REF!="Diferenciado",$H$4=#REF!),BDI!#REF!,IF(#REF!="ZERO",0))))),"")</f>
        <v>#REF!</v>
      </c>
      <c r="H2510" s="138" t="str">
        <f t="shared" si="142"/>
        <v/>
      </c>
      <c r="I2510" s="136" t="str">
        <f t="shared" si="143"/>
        <v/>
      </c>
    </row>
    <row r="2511" spans="1:9" hidden="1" x14ac:dyDescent="0.25">
      <c r="A2511" s="114" t="s">
        <v>6230</v>
      </c>
      <c r="B2511" s="115" t="s">
        <v>4993</v>
      </c>
      <c r="C2511" s="116" t="s">
        <v>20</v>
      </c>
      <c r="D2511" s="116">
        <v>0</v>
      </c>
      <c r="E2511" s="135" t="s">
        <v>558</v>
      </c>
      <c r="F2511" s="136" t="str">
        <f t="shared" si="141"/>
        <v/>
      </c>
      <c r="G2511" s="137" t="e">
        <f>IF(A2511&lt;&gt;"",IF(AND(#REF!="Padrão",$H$4=#REF!),BDI!$B$17,IF(AND(#REF!="Padrão",$H$4=#REF!),BDI!#REF!,IF(AND(#REF!="Diferenciado",$H$4=#REF!),BDI!$E$17,IF(AND(#REF!="Diferenciado",$H$4=#REF!),BDI!#REF!,IF(#REF!="ZERO",0))))),"")</f>
        <v>#REF!</v>
      </c>
      <c r="H2511" s="138" t="str">
        <f t="shared" si="142"/>
        <v/>
      </c>
      <c r="I2511" s="136" t="str">
        <f t="shared" si="143"/>
        <v/>
      </c>
    </row>
    <row r="2512" spans="1:9" hidden="1" x14ac:dyDescent="0.25">
      <c r="A2512" s="114" t="s">
        <v>6231</v>
      </c>
      <c r="B2512" s="115" t="s">
        <v>4994</v>
      </c>
      <c r="C2512" s="116" t="s">
        <v>20</v>
      </c>
      <c r="D2512" s="116">
        <v>0</v>
      </c>
      <c r="E2512" s="135" t="s">
        <v>558</v>
      </c>
      <c r="F2512" s="136" t="str">
        <f t="shared" si="141"/>
        <v/>
      </c>
      <c r="G2512" s="137" t="e">
        <f>IF(A2512&lt;&gt;"",IF(AND(#REF!="Padrão",$H$4=#REF!),BDI!$B$17,IF(AND(#REF!="Padrão",$H$4=#REF!),BDI!#REF!,IF(AND(#REF!="Diferenciado",$H$4=#REF!),BDI!$E$17,IF(AND(#REF!="Diferenciado",$H$4=#REF!),BDI!#REF!,IF(#REF!="ZERO",0))))),"")</f>
        <v>#REF!</v>
      </c>
      <c r="H2512" s="138" t="str">
        <f t="shared" si="142"/>
        <v/>
      </c>
      <c r="I2512" s="136" t="str">
        <f t="shared" si="143"/>
        <v/>
      </c>
    </row>
    <row r="2513" spans="1:9" hidden="1" x14ac:dyDescent="0.25">
      <c r="A2513" s="114" t="s">
        <v>6232</v>
      </c>
      <c r="B2513" s="115" t="s">
        <v>4995</v>
      </c>
      <c r="C2513" s="116" t="s">
        <v>20</v>
      </c>
      <c r="D2513" s="116">
        <v>0</v>
      </c>
      <c r="E2513" s="135" t="s">
        <v>558</v>
      </c>
      <c r="F2513" s="136" t="str">
        <f t="shared" si="141"/>
        <v/>
      </c>
      <c r="G2513" s="137" t="e">
        <f>IF(A2513&lt;&gt;"",IF(AND(#REF!="Padrão",$H$4=#REF!),BDI!$B$17,IF(AND(#REF!="Padrão",$H$4=#REF!),BDI!#REF!,IF(AND(#REF!="Diferenciado",$H$4=#REF!),BDI!$E$17,IF(AND(#REF!="Diferenciado",$H$4=#REF!),BDI!#REF!,IF(#REF!="ZERO",0))))),"")</f>
        <v>#REF!</v>
      </c>
      <c r="H2513" s="138" t="str">
        <f t="shared" si="142"/>
        <v/>
      </c>
      <c r="I2513" s="136" t="str">
        <f t="shared" si="143"/>
        <v/>
      </c>
    </row>
    <row r="2514" spans="1:9" hidden="1" x14ac:dyDescent="0.25">
      <c r="A2514" s="114" t="s">
        <v>6233</v>
      </c>
      <c r="B2514" s="115" t="s">
        <v>4996</v>
      </c>
      <c r="C2514" s="116" t="s">
        <v>20</v>
      </c>
      <c r="D2514" s="116">
        <v>0</v>
      </c>
      <c r="E2514" s="135" t="s">
        <v>558</v>
      </c>
      <c r="F2514" s="136" t="str">
        <f t="shared" si="141"/>
        <v/>
      </c>
      <c r="G2514" s="137" t="e">
        <f>IF(A2514&lt;&gt;"",IF(AND(#REF!="Padrão",$H$4=#REF!),BDI!$B$17,IF(AND(#REF!="Padrão",$H$4=#REF!),BDI!#REF!,IF(AND(#REF!="Diferenciado",$H$4=#REF!),BDI!$E$17,IF(AND(#REF!="Diferenciado",$H$4=#REF!),BDI!#REF!,IF(#REF!="ZERO",0))))),"")</f>
        <v>#REF!</v>
      </c>
      <c r="H2514" s="138" t="str">
        <f t="shared" si="142"/>
        <v/>
      </c>
      <c r="I2514" s="136" t="str">
        <f t="shared" si="143"/>
        <v/>
      </c>
    </row>
    <row r="2515" spans="1:9" hidden="1" x14ac:dyDescent="0.25">
      <c r="A2515" s="114" t="s">
        <v>6234</v>
      </c>
      <c r="B2515" s="115" t="s">
        <v>4997</v>
      </c>
      <c r="C2515" s="116" t="s">
        <v>20</v>
      </c>
      <c r="D2515" s="116">
        <v>0</v>
      </c>
      <c r="E2515" s="135" t="s">
        <v>558</v>
      </c>
      <c r="F2515" s="136" t="str">
        <f t="shared" si="141"/>
        <v/>
      </c>
      <c r="G2515" s="137" t="e">
        <f>IF(A2515&lt;&gt;"",IF(AND(#REF!="Padrão",$H$4=#REF!),BDI!$B$17,IF(AND(#REF!="Padrão",$H$4=#REF!),BDI!#REF!,IF(AND(#REF!="Diferenciado",$H$4=#REF!),BDI!$E$17,IF(AND(#REF!="Diferenciado",$H$4=#REF!),BDI!#REF!,IF(#REF!="ZERO",0))))),"")</f>
        <v>#REF!</v>
      </c>
      <c r="H2515" s="138" t="str">
        <f t="shared" si="142"/>
        <v/>
      </c>
      <c r="I2515" s="136" t="str">
        <f t="shared" si="143"/>
        <v/>
      </c>
    </row>
    <row r="2516" spans="1:9" hidden="1" x14ac:dyDescent="0.25">
      <c r="A2516" s="114" t="s">
        <v>6235</v>
      </c>
      <c r="B2516" s="115" t="s">
        <v>4998</v>
      </c>
      <c r="C2516" s="116" t="s">
        <v>20</v>
      </c>
      <c r="D2516" s="116">
        <v>0</v>
      </c>
      <c r="E2516" s="135" t="s">
        <v>558</v>
      </c>
      <c r="F2516" s="136" t="str">
        <f t="shared" si="141"/>
        <v/>
      </c>
      <c r="G2516" s="137" t="e">
        <f>IF(A2516&lt;&gt;"",IF(AND(#REF!="Padrão",$H$4=#REF!),BDI!$B$17,IF(AND(#REF!="Padrão",$H$4=#REF!),BDI!#REF!,IF(AND(#REF!="Diferenciado",$H$4=#REF!),BDI!$E$17,IF(AND(#REF!="Diferenciado",$H$4=#REF!),BDI!#REF!,IF(#REF!="ZERO",0))))),"")</f>
        <v>#REF!</v>
      </c>
      <c r="H2516" s="138" t="str">
        <f t="shared" si="142"/>
        <v/>
      </c>
      <c r="I2516" s="136" t="str">
        <f t="shared" si="143"/>
        <v/>
      </c>
    </row>
    <row r="2517" spans="1:9" hidden="1" x14ac:dyDescent="0.25">
      <c r="A2517" s="114" t="s">
        <v>6236</v>
      </c>
      <c r="B2517" s="115" t="s">
        <v>4999</v>
      </c>
      <c r="C2517" s="116" t="s">
        <v>20</v>
      </c>
      <c r="D2517" s="116">
        <v>0</v>
      </c>
      <c r="E2517" s="135" t="s">
        <v>558</v>
      </c>
      <c r="F2517" s="136" t="str">
        <f t="shared" si="141"/>
        <v/>
      </c>
      <c r="G2517" s="137" t="e">
        <f>IF(A2517&lt;&gt;"",IF(AND(#REF!="Padrão",$H$4=#REF!),BDI!$B$17,IF(AND(#REF!="Padrão",$H$4=#REF!),BDI!#REF!,IF(AND(#REF!="Diferenciado",$H$4=#REF!),BDI!$E$17,IF(AND(#REF!="Diferenciado",$H$4=#REF!),BDI!#REF!,IF(#REF!="ZERO",0))))),"")</f>
        <v>#REF!</v>
      </c>
      <c r="H2517" s="138" t="str">
        <f t="shared" si="142"/>
        <v/>
      </c>
      <c r="I2517" s="136" t="str">
        <f t="shared" si="143"/>
        <v/>
      </c>
    </row>
    <row r="2518" spans="1:9" hidden="1" x14ac:dyDescent="0.25">
      <c r="A2518" s="114" t="s">
        <v>6237</v>
      </c>
      <c r="B2518" s="115" t="s">
        <v>5000</v>
      </c>
      <c r="C2518" s="116" t="s">
        <v>20</v>
      </c>
      <c r="D2518" s="116">
        <v>0</v>
      </c>
      <c r="E2518" s="135" t="s">
        <v>558</v>
      </c>
      <c r="F2518" s="136" t="str">
        <f t="shared" si="141"/>
        <v/>
      </c>
      <c r="G2518" s="137" t="e">
        <f>IF(A2518&lt;&gt;"",IF(AND(#REF!="Padrão",$H$4=#REF!),BDI!$B$17,IF(AND(#REF!="Padrão",$H$4=#REF!),BDI!#REF!,IF(AND(#REF!="Diferenciado",$H$4=#REF!),BDI!$E$17,IF(AND(#REF!="Diferenciado",$H$4=#REF!),BDI!#REF!,IF(#REF!="ZERO",0))))),"")</f>
        <v>#REF!</v>
      </c>
      <c r="H2518" s="138" t="str">
        <f t="shared" si="142"/>
        <v/>
      </c>
      <c r="I2518" s="136" t="str">
        <f t="shared" si="143"/>
        <v/>
      </c>
    </row>
    <row r="2519" spans="1:9" hidden="1" x14ac:dyDescent="0.25">
      <c r="A2519" s="114" t="s">
        <v>6238</v>
      </c>
      <c r="B2519" s="115" t="s">
        <v>5001</v>
      </c>
      <c r="C2519" s="116" t="s">
        <v>20</v>
      </c>
      <c r="D2519" s="116">
        <v>0</v>
      </c>
      <c r="E2519" s="135" t="s">
        <v>558</v>
      </c>
      <c r="F2519" s="136" t="str">
        <f t="shared" si="141"/>
        <v/>
      </c>
      <c r="G2519" s="137" t="e">
        <f>IF(A2519&lt;&gt;"",IF(AND(#REF!="Padrão",$H$4=#REF!),BDI!$B$17,IF(AND(#REF!="Padrão",$H$4=#REF!),BDI!#REF!,IF(AND(#REF!="Diferenciado",$H$4=#REF!),BDI!$E$17,IF(AND(#REF!="Diferenciado",$H$4=#REF!),BDI!#REF!,IF(#REF!="ZERO",0))))),"")</f>
        <v>#REF!</v>
      </c>
      <c r="H2519" s="138" t="str">
        <f t="shared" si="142"/>
        <v/>
      </c>
      <c r="I2519" s="136" t="str">
        <f t="shared" si="143"/>
        <v/>
      </c>
    </row>
    <row r="2520" spans="1:9" hidden="1" x14ac:dyDescent="0.25">
      <c r="A2520" s="114" t="s">
        <v>6239</v>
      </c>
      <c r="B2520" s="115" t="s">
        <v>5002</v>
      </c>
      <c r="C2520" s="116" t="s">
        <v>20</v>
      </c>
      <c r="D2520" s="116">
        <v>0</v>
      </c>
      <c r="E2520" s="135" t="s">
        <v>558</v>
      </c>
      <c r="F2520" s="136" t="str">
        <f t="shared" si="141"/>
        <v/>
      </c>
      <c r="G2520" s="137" t="e">
        <f>IF(A2520&lt;&gt;"",IF(AND(#REF!="Padrão",$H$4=#REF!),BDI!$B$17,IF(AND(#REF!="Padrão",$H$4=#REF!),BDI!#REF!,IF(AND(#REF!="Diferenciado",$H$4=#REF!),BDI!$E$17,IF(AND(#REF!="Diferenciado",$H$4=#REF!),BDI!#REF!,IF(#REF!="ZERO",0))))),"")</f>
        <v>#REF!</v>
      </c>
      <c r="H2520" s="138" t="str">
        <f t="shared" si="142"/>
        <v/>
      </c>
      <c r="I2520" s="136" t="str">
        <f t="shared" si="143"/>
        <v/>
      </c>
    </row>
    <row r="2521" spans="1:9" hidden="1" x14ac:dyDescent="0.25">
      <c r="A2521" s="114" t="s">
        <v>6240</v>
      </c>
      <c r="B2521" s="115" t="s">
        <v>5003</v>
      </c>
      <c r="C2521" s="116" t="s">
        <v>20</v>
      </c>
      <c r="D2521" s="116">
        <v>0</v>
      </c>
      <c r="E2521" s="135" t="s">
        <v>558</v>
      </c>
      <c r="F2521" s="136" t="str">
        <f t="shared" si="141"/>
        <v/>
      </c>
      <c r="G2521" s="137" t="e">
        <f>IF(A2521&lt;&gt;"",IF(AND(#REF!="Padrão",$H$4=#REF!),BDI!$B$17,IF(AND(#REF!="Padrão",$H$4=#REF!),BDI!#REF!,IF(AND(#REF!="Diferenciado",$H$4=#REF!),BDI!$E$17,IF(AND(#REF!="Diferenciado",$H$4=#REF!),BDI!#REF!,IF(#REF!="ZERO",0))))),"")</f>
        <v>#REF!</v>
      </c>
      <c r="H2521" s="138" t="str">
        <f t="shared" si="142"/>
        <v/>
      </c>
      <c r="I2521" s="136" t="str">
        <f t="shared" si="143"/>
        <v/>
      </c>
    </row>
    <row r="2522" spans="1:9" hidden="1" x14ac:dyDescent="0.25">
      <c r="A2522" s="114" t="s">
        <v>6241</v>
      </c>
      <c r="B2522" s="115" t="s">
        <v>5004</v>
      </c>
      <c r="C2522" s="116" t="s">
        <v>20</v>
      </c>
      <c r="D2522" s="116">
        <v>0</v>
      </c>
      <c r="E2522" s="135" t="s">
        <v>558</v>
      </c>
      <c r="F2522" s="136" t="str">
        <f t="shared" si="141"/>
        <v/>
      </c>
      <c r="G2522" s="137" t="e">
        <f>IF(A2522&lt;&gt;"",IF(AND(#REF!="Padrão",$H$4=#REF!),BDI!$B$17,IF(AND(#REF!="Padrão",$H$4=#REF!),BDI!#REF!,IF(AND(#REF!="Diferenciado",$H$4=#REF!),BDI!$E$17,IF(AND(#REF!="Diferenciado",$H$4=#REF!),BDI!#REF!,IF(#REF!="ZERO",0))))),"")</f>
        <v>#REF!</v>
      </c>
      <c r="H2522" s="138" t="str">
        <f t="shared" si="142"/>
        <v/>
      </c>
      <c r="I2522" s="136" t="str">
        <f t="shared" si="143"/>
        <v/>
      </c>
    </row>
    <row r="2523" spans="1:9" hidden="1" x14ac:dyDescent="0.25">
      <c r="A2523" s="114" t="s">
        <v>6242</v>
      </c>
      <c r="B2523" s="115" t="s">
        <v>5005</v>
      </c>
      <c r="C2523" s="116" t="s">
        <v>20</v>
      </c>
      <c r="D2523" s="116">
        <v>0</v>
      </c>
      <c r="E2523" s="135" t="s">
        <v>558</v>
      </c>
      <c r="F2523" s="136" t="str">
        <f t="shared" si="141"/>
        <v/>
      </c>
      <c r="G2523" s="137" t="e">
        <f>IF(A2523&lt;&gt;"",IF(AND(#REF!="Padrão",$H$4=#REF!),BDI!$B$17,IF(AND(#REF!="Padrão",$H$4=#REF!),BDI!#REF!,IF(AND(#REF!="Diferenciado",$H$4=#REF!),BDI!$E$17,IF(AND(#REF!="Diferenciado",$H$4=#REF!),BDI!#REF!,IF(#REF!="ZERO",0))))),"")</f>
        <v>#REF!</v>
      </c>
      <c r="H2523" s="138" t="str">
        <f t="shared" si="142"/>
        <v/>
      </c>
      <c r="I2523" s="136" t="str">
        <f t="shared" si="143"/>
        <v/>
      </c>
    </row>
    <row r="2524" spans="1:9" hidden="1" x14ac:dyDescent="0.25">
      <c r="A2524" s="114" t="s">
        <v>6243</v>
      </c>
      <c r="B2524" s="115" t="s">
        <v>5006</v>
      </c>
      <c r="C2524" s="116" t="s">
        <v>20</v>
      </c>
      <c r="D2524" s="116">
        <v>0</v>
      </c>
      <c r="E2524" s="135" t="s">
        <v>558</v>
      </c>
      <c r="F2524" s="136" t="str">
        <f t="shared" si="141"/>
        <v/>
      </c>
      <c r="G2524" s="137" t="e">
        <f>IF(A2524&lt;&gt;"",IF(AND(#REF!="Padrão",$H$4=#REF!),BDI!$B$17,IF(AND(#REF!="Padrão",$H$4=#REF!),BDI!#REF!,IF(AND(#REF!="Diferenciado",$H$4=#REF!),BDI!$E$17,IF(AND(#REF!="Diferenciado",$H$4=#REF!),BDI!#REF!,IF(#REF!="ZERO",0))))),"")</f>
        <v>#REF!</v>
      </c>
      <c r="H2524" s="138" t="str">
        <f t="shared" si="142"/>
        <v/>
      </c>
      <c r="I2524" s="136" t="str">
        <f t="shared" si="143"/>
        <v/>
      </c>
    </row>
    <row r="2525" spans="1:9" hidden="1" x14ac:dyDescent="0.25">
      <c r="A2525" s="114" t="s">
        <v>6244</v>
      </c>
      <c r="B2525" s="115" t="s">
        <v>5007</v>
      </c>
      <c r="C2525" s="116" t="s">
        <v>20</v>
      </c>
      <c r="D2525" s="116">
        <v>0</v>
      </c>
      <c r="E2525" s="135" t="s">
        <v>558</v>
      </c>
      <c r="F2525" s="136" t="str">
        <f t="shared" si="141"/>
        <v/>
      </c>
      <c r="G2525" s="137" t="e">
        <f>IF(A2525&lt;&gt;"",IF(AND(#REF!="Padrão",$H$4=#REF!),BDI!$B$17,IF(AND(#REF!="Padrão",$H$4=#REF!),BDI!#REF!,IF(AND(#REF!="Diferenciado",$H$4=#REF!),BDI!$E$17,IF(AND(#REF!="Diferenciado",$H$4=#REF!),BDI!#REF!,IF(#REF!="ZERO",0))))),"")</f>
        <v>#REF!</v>
      </c>
      <c r="H2525" s="138" t="str">
        <f t="shared" si="142"/>
        <v/>
      </c>
      <c r="I2525" s="136" t="str">
        <f t="shared" si="143"/>
        <v/>
      </c>
    </row>
    <row r="2526" spans="1:9" hidden="1" x14ac:dyDescent="0.25">
      <c r="A2526" s="114" t="s">
        <v>6245</v>
      </c>
      <c r="B2526" s="115" t="s">
        <v>5008</v>
      </c>
      <c r="C2526" s="116" t="s">
        <v>20</v>
      </c>
      <c r="D2526" s="116">
        <v>0</v>
      </c>
      <c r="E2526" s="135" t="s">
        <v>558</v>
      </c>
      <c r="F2526" s="136" t="str">
        <f t="shared" si="141"/>
        <v/>
      </c>
      <c r="G2526" s="137" t="e">
        <f>IF(A2526&lt;&gt;"",IF(AND(#REF!="Padrão",$H$4=#REF!),BDI!$B$17,IF(AND(#REF!="Padrão",$H$4=#REF!),BDI!#REF!,IF(AND(#REF!="Diferenciado",$H$4=#REF!),BDI!$E$17,IF(AND(#REF!="Diferenciado",$H$4=#REF!),BDI!#REF!,IF(#REF!="ZERO",0))))),"")</f>
        <v>#REF!</v>
      </c>
      <c r="H2526" s="138" t="str">
        <f t="shared" si="142"/>
        <v/>
      </c>
      <c r="I2526" s="136" t="str">
        <f t="shared" si="143"/>
        <v/>
      </c>
    </row>
    <row r="2527" spans="1:9" hidden="1" x14ac:dyDescent="0.25">
      <c r="A2527" s="114" t="s">
        <v>6246</v>
      </c>
      <c r="B2527" s="115" t="s">
        <v>5009</v>
      </c>
      <c r="C2527" s="116" t="s">
        <v>20</v>
      </c>
      <c r="D2527" s="116">
        <v>0</v>
      </c>
      <c r="E2527" s="135" t="s">
        <v>558</v>
      </c>
      <c r="F2527" s="136" t="str">
        <f t="shared" si="141"/>
        <v/>
      </c>
      <c r="G2527" s="137" t="e">
        <f>IF(A2527&lt;&gt;"",IF(AND(#REF!="Padrão",$H$4=#REF!),BDI!$B$17,IF(AND(#REF!="Padrão",$H$4=#REF!),BDI!#REF!,IF(AND(#REF!="Diferenciado",$H$4=#REF!),BDI!$E$17,IF(AND(#REF!="Diferenciado",$H$4=#REF!),BDI!#REF!,IF(#REF!="ZERO",0))))),"")</f>
        <v>#REF!</v>
      </c>
      <c r="H2527" s="138" t="str">
        <f t="shared" si="142"/>
        <v/>
      </c>
      <c r="I2527" s="136" t="str">
        <f t="shared" si="143"/>
        <v/>
      </c>
    </row>
    <row r="2528" spans="1:9" hidden="1" x14ac:dyDescent="0.25">
      <c r="A2528" s="114" t="s">
        <v>6247</v>
      </c>
      <c r="B2528" s="115" t="s">
        <v>5010</v>
      </c>
      <c r="C2528" s="116" t="s">
        <v>20</v>
      </c>
      <c r="D2528" s="116">
        <v>0</v>
      </c>
      <c r="E2528" s="135" t="s">
        <v>558</v>
      </c>
      <c r="F2528" s="136" t="str">
        <f t="shared" si="141"/>
        <v/>
      </c>
      <c r="G2528" s="137" t="e">
        <f>IF(A2528&lt;&gt;"",IF(AND(#REF!="Padrão",$H$4=#REF!),BDI!$B$17,IF(AND(#REF!="Padrão",$H$4=#REF!),BDI!#REF!,IF(AND(#REF!="Diferenciado",$H$4=#REF!),BDI!$E$17,IF(AND(#REF!="Diferenciado",$H$4=#REF!),BDI!#REF!,IF(#REF!="ZERO",0))))),"")</f>
        <v>#REF!</v>
      </c>
      <c r="H2528" s="138" t="str">
        <f t="shared" si="142"/>
        <v/>
      </c>
      <c r="I2528" s="136" t="str">
        <f t="shared" si="143"/>
        <v/>
      </c>
    </row>
    <row r="2529" spans="1:9" hidden="1" x14ac:dyDescent="0.25">
      <c r="A2529" s="114" t="s">
        <v>6248</v>
      </c>
      <c r="B2529" s="115" t="s">
        <v>5011</v>
      </c>
      <c r="C2529" s="116" t="s">
        <v>20</v>
      </c>
      <c r="D2529" s="116">
        <v>0</v>
      </c>
      <c r="E2529" s="135" t="s">
        <v>558</v>
      </c>
      <c r="F2529" s="136" t="str">
        <f t="shared" si="141"/>
        <v/>
      </c>
      <c r="G2529" s="137" t="e">
        <f>IF(A2529&lt;&gt;"",IF(AND(#REF!="Padrão",$H$4=#REF!),BDI!$B$17,IF(AND(#REF!="Padrão",$H$4=#REF!),BDI!#REF!,IF(AND(#REF!="Diferenciado",$H$4=#REF!),BDI!$E$17,IF(AND(#REF!="Diferenciado",$H$4=#REF!),BDI!#REF!,IF(#REF!="ZERO",0))))),"")</f>
        <v>#REF!</v>
      </c>
      <c r="H2529" s="138" t="str">
        <f t="shared" si="142"/>
        <v/>
      </c>
      <c r="I2529" s="136" t="str">
        <f t="shared" si="143"/>
        <v/>
      </c>
    </row>
    <row r="2530" spans="1:9" hidden="1" x14ac:dyDescent="0.25">
      <c r="A2530" s="114" t="s">
        <v>6249</v>
      </c>
      <c r="B2530" s="115" t="s">
        <v>5012</v>
      </c>
      <c r="C2530" s="116" t="s">
        <v>20</v>
      </c>
      <c r="D2530" s="116">
        <v>0</v>
      </c>
      <c r="E2530" s="135" t="s">
        <v>558</v>
      </c>
      <c r="F2530" s="136" t="str">
        <f t="shared" si="141"/>
        <v/>
      </c>
      <c r="G2530" s="137" t="e">
        <f>IF(A2530&lt;&gt;"",IF(AND(#REF!="Padrão",$H$4=#REF!),BDI!$B$17,IF(AND(#REF!="Padrão",$H$4=#REF!),BDI!#REF!,IF(AND(#REF!="Diferenciado",$H$4=#REF!),BDI!$E$17,IF(AND(#REF!="Diferenciado",$H$4=#REF!),BDI!#REF!,IF(#REF!="ZERO",0))))),"")</f>
        <v>#REF!</v>
      </c>
      <c r="H2530" s="138" t="str">
        <f t="shared" si="142"/>
        <v/>
      </c>
      <c r="I2530" s="136" t="str">
        <f t="shared" si="143"/>
        <v/>
      </c>
    </row>
    <row r="2531" spans="1:9" hidden="1" x14ac:dyDescent="0.25">
      <c r="A2531" s="114" t="s">
        <v>6250</v>
      </c>
      <c r="B2531" s="115" t="s">
        <v>5013</v>
      </c>
      <c r="C2531" s="116" t="s">
        <v>20</v>
      </c>
      <c r="D2531" s="116">
        <v>0</v>
      </c>
      <c r="E2531" s="135" t="s">
        <v>558</v>
      </c>
      <c r="F2531" s="136" t="str">
        <f t="shared" si="141"/>
        <v/>
      </c>
      <c r="G2531" s="137" t="e">
        <f>IF(A2531&lt;&gt;"",IF(AND(#REF!="Padrão",$H$4=#REF!),BDI!$B$17,IF(AND(#REF!="Padrão",$H$4=#REF!),BDI!#REF!,IF(AND(#REF!="Diferenciado",$H$4=#REF!),BDI!$E$17,IF(AND(#REF!="Diferenciado",$H$4=#REF!),BDI!#REF!,IF(#REF!="ZERO",0))))),"")</f>
        <v>#REF!</v>
      </c>
      <c r="H2531" s="138" t="str">
        <f t="shared" si="142"/>
        <v/>
      </c>
      <c r="I2531" s="136" t="str">
        <f t="shared" si="143"/>
        <v/>
      </c>
    </row>
    <row r="2532" spans="1:9" hidden="1" x14ac:dyDescent="0.25">
      <c r="A2532" s="114" t="s">
        <v>6251</v>
      </c>
      <c r="B2532" s="115" t="s">
        <v>5014</v>
      </c>
      <c r="C2532" s="116" t="s">
        <v>20</v>
      </c>
      <c r="D2532" s="116">
        <v>0</v>
      </c>
      <c r="E2532" s="135" t="s">
        <v>558</v>
      </c>
      <c r="F2532" s="136" t="str">
        <f t="shared" si="141"/>
        <v/>
      </c>
      <c r="G2532" s="137" t="e">
        <f>IF(A2532&lt;&gt;"",IF(AND(#REF!="Padrão",$H$4=#REF!),BDI!$B$17,IF(AND(#REF!="Padrão",$H$4=#REF!),BDI!#REF!,IF(AND(#REF!="Diferenciado",$H$4=#REF!),BDI!$E$17,IF(AND(#REF!="Diferenciado",$H$4=#REF!),BDI!#REF!,IF(#REF!="ZERO",0))))),"")</f>
        <v>#REF!</v>
      </c>
      <c r="H2532" s="138" t="str">
        <f t="shared" si="142"/>
        <v/>
      </c>
      <c r="I2532" s="136" t="str">
        <f t="shared" si="143"/>
        <v/>
      </c>
    </row>
    <row r="2533" spans="1:9" hidden="1" x14ac:dyDescent="0.25">
      <c r="A2533" s="114" t="s">
        <v>6252</v>
      </c>
      <c r="B2533" s="115" t="s">
        <v>5015</v>
      </c>
      <c r="C2533" s="116" t="s">
        <v>20</v>
      </c>
      <c r="D2533" s="116">
        <v>0</v>
      </c>
      <c r="E2533" s="135" t="s">
        <v>558</v>
      </c>
      <c r="F2533" s="136" t="str">
        <f t="shared" si="141"/>
        <v/>
      </c>
      <c r="G2533" s="137" t="e">
        <f>IF(A2533&lt;&gt;"",IF(AND(#REF!="Padrão",$H$4=#REF!),BDI!$B$17,IF(AND(#REF!="Padrão",$H$4=#REF!),BDI!#REF!,IF(AND(#REF!="Diferenciado",$H$4=#REF!),BDI!$E$17,IF(AND(#REF!="Diferenciado",$H$4=#REF!),BDI!#REF!,IF(#REF!="ZERO",0))))),"")</f>
        <v>#REF!</v>
      </c>
      <c r="H2533" s="138" t="str">
        <f t="shared" si="142"/>
        <v/>
      </c>
      <c r="I2533" s="136" t="str">
        <f t="shared" si="143"/>
        <v/>
      </c>
    </row>
    <row r="2534" spans="1:9" hidden="1" x14ac:dyDescent="0.25">
      <c r="A2534" s="114" t="s">
        <v>6253</v>
      </c>
      <c r="B2534" s="115" t="s">
        <v>5016</v>
      </c>
      <c r="C2534" s="116" t="s">
        <v>20</v>
      </c>
      <c r="D2534" s="116">
        <v>0</v>
      </c>
      <c r="E2534" s="135" t="s">
        <v>558</v>
      </c>
      <c r="F2534" s="136" t="str">
        <f t="shared" si="141"/>
        <v/>
      </c>
      <c r="G2534" s="137" t="e">
        <f>IF(A2534&lt;&gt;"",IF(AND(#REF!="Padrão",$H$4=#REF!),BDI!$B$17,IF(AND(#REF!="Padrão",$H$4=#REF!),BDI!#REF!,IF(AND(#REF!="Diferenciado",$H$4=#REF!),BDI!$E$17,IF(AND(#REF!="Diferenciado",$H$4=#REF!),BDI!#REF!,IF(#REF!="ZERO",0))))),"")</f>
        <v>#REF!</v>
      </c>
      <c r="H2534" s="138" t="str">
        <f t="shared" si="142"/>
        <v/>
      </c>
      <c r="I2534" s="136" t="str">
        <f t="shared" si="143"/>
        <v/>
      </c>
    </row>
    <row r="2535" spans="1:9" hidden="1" x14ac:dyDescent="0.25">
      <c r="A2535" s="114" t="s">
        <v>6254</v>
      </c>
      <c r="B2535" s="115" t="s">
        <v>5017</v>
      </c>
      <c r="C2535" s="116" t="s">
        <v>20</v>
      </c>
      <c r="D2535" s="116">
        <v>0</v>
      </c>
      <c r="E2535" s="135" t="s">
        <v>558</v>
      </c>
      <c r="F2535" s="136" t="str">
        <f t="shared" si="141"/>
        <v/>
      </c>
      <c r="G2535" s="137" t="e">
        <f>IF(A2535&lt;&gt;"",IF(AND(#REF!="Padrão",$H$4=#REF!),BDI!$B$17,IF(AND(#REF!="Padrão",$H$4=#REF!),BDI!#REF!,IF(AND(#REF!="Diferenciado",$H$4=#REF!),BDI!$E$17,IF(AND(#REF!="Diferenciado",$H$4=#REF!),BDI!#REF!,IF(#REF!="ZERO",0))))),"")</f>
        <v>#REF!</v>
      </c>
      <c r="H2535" s="138" t="str">
        <f t="shared" si="142"/>
        <v/>
      </c>
      <c r="I2535" s="136" t="str">
        <f t="shared" si="143"/>
        <v/>
      </c>
    </row>
    <row r="2536" spans="1:9" hidden="1" x14ac:dyDescent="0.25">
      <c r="A2536" s="114" t="s">
        <v>6255</v>
      </c>
      <c r="B2536" s="115" t="s">
        <v>5018</v>
      </c>
      <c r="C2536" s="116" t="s">
        <v>20</v>
      </c>
      <c r="D2536" s="116">
        <v>0</v>
      </c>
      <c r="E2536" s="135" t="s">
        <v>558</v>
      </c>
      <c r="F2536" s="136" t="str">
        <f t="shared" si="141"/>
        <v/>
      </c>
      <c r="G2536" s="137" t="e">
        <f>IF(A2536&lt;&gt;"",IF(AND(#REF!="Padrão",$H$4=#REF!),BDI!$B$17,IF(AND(#REF!="Padrão",$H$4=#REF!),BDI!#REF!,IF(AND(#REF!="Diferenciado",$H$4=#REF!),BDI!$E$17,IF(AND(#REF!="Diferenciado",$H$4=#REF!),BDI!#REF!,IF(#REF!="ZERO",0))))),"")</f>
        <v>#REF!</v>
      </c>
      <c r="H2536" s="138" t="str">
        <f t="shared" si="142"/>
        <v/>
      </c>
      <c r="I2536" s="136" t="str">
        <f t="shared" si="143"/>
        <v/>
      </c>
    </row>
    <row r="2537" spans="1:9" hidden="1" x14ac:dyDescent="0.25">
      <c r="A2537" s="114" t="s">
        <v>6256</v>
      </c>
      <c r="B2537" s="115" t="s">
        <v>5019</v>
      </c>
      <c r="C2537" s="116" t="s">
        <v>20</v>
      </c>
      <c r="D2537" s="116">
        <v>0</v>
      </c>
      <c r="E2537" s="135" t="s">
        <v>558</v>
      </c>
      <c r="F2537" s="136" t="str">
        <f t="shared" si="141"/>
        <v/>
      </c>
      <c r="G2537" s="137" t="e">
        <f>IF(A2537&lt;&gt;"",IF(AND(#REF!="Padrão",$H$4=#REF!),BDI!$B$17,IF(AND(#REF!="Padrão",$H$4=#REF!),BDI!#REF!,IF(AND(#REF!="Diferenciado",$H$4=#REF!),BDI!$E$17,IF(AND(#REF!="Diferenciado",$H$4=#REF!),BDI!#REF!,IF(#REF!="ZERO",0))))),"")</f>
        <v>#REF!</v>
      </c>
      <c r="H2537" s="138" t="str">
        <f t="shared" si="142"/>
        <v/>
      </c>
      <c r="I2537" s="136" t="str">
        <f t="shared" si="143"/>
        <v/>
      </c>
    </row>
    <row r="2538" spans="1:9" hidden="1" x14ac:dyDescent="0.25">
      <c r="A2538" s="114" t="s">
        <v>6257</v>
      </c>
      <c r="B2538" s="115" t="s">
        <v>5020</v>
      </c>
      <c r="C2538" s="116" t="s">
        <v>20</v>
      </c>
      <c r="D2538" s="116">
        <v>0</v>
      </c>
      <c r="E2538" s="135" t="s">
        <v>558</v>
      </c>
      <c r="F2538" s="136" t="str">
        <f t="shared" si="141"/>
        <v/>
      </c>
      <c r="G2538" s="137" t="e">
        <f>IF(A2538&lt;&gt;"",IF(AND(#REF!="Padrão",$H$4=#REF!),BDI!$B$17,IF(AND(#REF!="Padrão",$H$4=#REF!),BDI!#REF!,IF(AND(#REF!="Diferenciado",$H$4=#REF!),BDI!$E$17,IF(AND(#REF!="Diferenciado",$H$4=#REF!),BDI!#REF!,IF(#REF!="ZERO",0))))),"")</f>
        <v>#REF!</v>
      </c>
      <c r="H2538" s="138" t="str">
        <f t="shared" si="142"/>
        <v/>
      </c>
      <c r="I2538" s="136" t="str">
        <f t="shared" si="143"/>
        <v/>
      </c>
    </row>
    <row r="2539" spans="1:9" hidden="1" x14ac:dyDescent="0.25">
      <c r="A2539" s="114" t="s">
        <v>6258</v>
      </c>
      <c r="B2539" s="115" t="s">
        <v>5021</v>
      </c>
      <c r="C2539" s="116" t="s">
        <v>20</v>
      </c>
      <c r="D2539" s="116">
        <v>0</v>
      </c>
      <c r="E2539" s="135" t="s">
        <v>558</v>
      </c>
      <c r="F2539" s="136" t="str">
        <f t="shared" si="141"/>
        <v/>
      </c>
      <c r="G2539" s="137" t="e">
        <f>IF(A2539&lt;&gt;"",IF(AND(#REF!="Padrão",$H$4=#REF!),BDI!$B$17,IF(AND(#REF!="Padrão",$H$4=#REF!),BDI!#REF!,IF(AND(#REF!="Diferenciado",$H$4=#REF!),BDI!$E$17,IF(AND(#REF!="Diferenciado",$H$4=#REF!),BDI!#REF!,IF(#REF!="ZERO",0))))),"")</f>
        <v>#REF!</v>
      </c>
      <c r="H2539" s="138" t="str">
        <f t="shared" si="142"/>
        <v/>
      </c>
      <c r="I2539" s="136" t="str">
        <f t="shared" si="143"/>
        <v/>
      </c>
    </row>
    <row r="2540" spans="1:9" hidden="1" x14ac:dyDescent="0.25">
      <c r="A2540" s="114" t="s">
        <v>6259</v>
      </c>
      <c r="B2540" s="115" t="s">
        <v>5022</v>
      </c>
      <c r="C2540" s="116" t="s">
        <v>20</v>
      </c>
      <c r="D2540" s="116">
        <v>0</v>
      </c>
      <c r="E2540" s="135" t="s">
        <v>558</v>
      </c>
      <c r="F2540" s="136" t="str">
        <f t="shared" si="141"/>
        <v/>
      </c>
      <c r="G2540" s="137" t="e">
        <f>IF(A2540&lt;&gt;"",IF(AND(#REF!="Padrão",$H$4=#REF!),BDI!$B$17,IF(AND(#REF!="Padrão",$H$4=#REF!),BDI!#REF!,IF(AND(#REF!="Diferenciado",$H$4=#REF!),BDI!$E$17,IF(AND(#REF!="Diferenciado",$H$4=#REF!),BDI!#REF!,IF(#REF!="ZERO",0))))),"")</f>
        <v>#REF!</v>
      </c>
      <c r="H2540" s="138" t="str">
        <f t="shared" si="142"/>
        <v/>
      </c>
      <c r="I2540" s="136" t="str">
        <f t="shared" si="143"/>
        <v/>
      </c>
    </row>
    <row r="2541" spans="1:9" hidden="1" x14ac:dyDescent="0.25">
      <c r="A2541" s="114" t="s">
        <v>6260</v>
      </c>
      <c r="B2541" s="115" t="s">
        <v>5023</v>
      </c>
      <c r="C2541" s="116" t="s">
        <v>20</v>
      </c>
      <c r="D2541" s="116">
        <v>0</v>
      </c>
      <c r="E2541" s="135" t="s">
        <v>558</v>
      </c>
      <c r="F2541" s="136" t="str">
        <f t="shared" ref="F2541:F2604" si="144">IF(ISNUMBER(E2541),D2541*E2541,"")</f>
        <v/>
      </c>
      <c r="G2541" s="137" t="e">
        <f>IF(A2541&lt;&gt;"",IF(AND(#REF!="Padrão",$H$4=#REF!),BDI!$B$17,IF(AND(#REF!="Padrão",$H$4=#REF!),BDI!#REF!,IF(AND(#REF!="Diferenciado",$H$4=#REF!),BDI!$E$17,IF(AND(#REF!="Diferenciado",$H$4=#REF!),BDI!#REF!,IF(#REF!="ZERO",0))))),"")</f>
        <v>#REF!</v>
      </c>
      <c r="H2541" s="138" t="str">
        <f t="shared" ref="H2541:H2604" si="145">IF(ISNUMBER(E2541),ROUND(E2541*(1+G2541),2),"")</f>
        <v/>
      </c>
      <c r="I2541" s="136" t="str">
        <f t="shared" ref="I2541:I2604" si="146">IF(ISNUMBER(E2541),ROUND(H2541*D2541,2),"")</f>
        <v/>
      </c>
    </row>
    <row r="2542" spans="1:9" hidden="1" x14ac:dyDescent="0.25">
      <c r="A2542" s="114" t="s">
        <v>6261</v>
      </c>
      <c r="B2542" s="115" t="s">
        <v>5024</v>
      </c>
      <c r="C2542" s="116" t="s">
        <v>20</v>
      </c>
      <c r="D2542" s="116">
        <v>0</v>
      </c>
      <c r="E2542" s="135" t="s">
        <v>558</v>
      </c>
      <c r="F2542" s="136" t="str">
        <f t="shared" si="144"/>
        <v/>
      </c>
      <c r="G2542" s="137" t="e">
        <f>IF(A2542&lt;&gt;"",IF(AND(#REF!="Padrão",$H$4=#REF!),BDI!$B$17,IF(AND(#REF!="Padrão",$H$4=#REF!),BDI!#REF!,IF(AND(#REF!="Diferenciado",$H$4=#REF!),BDI!$E$17,IF(AND(#REF!="Diferenciado",$H$4=#REF!),BDI!#REF!,IF(#REF!="ZERO",0))))),"")</f>
        <v>#REF!</v>
      </c>
      <c r="H2542" s="138" t="str">
        <f t="shared" si="145"/>
        <v/>
      </c>
      <c r="I2542" s="136" t="str">
        <f t="shared" si="146"/>
        <v/>
      </c>
    </row>
    <row r="2543" spans="1:9" hidden="1" x14ac:dyDescent="0.25">
      <c r="A2543" s="114" t="s">
        <v>6262</v>
      </c>
      <c r="B2543" s="115" t="s">
        <v>5025</v>
      </c>
      <c r="C2543" s="116" t="s">
        <v>20</v>
      </c>
      <c r="D2543" s="116">
        <v>0</v>
      </c>
      <c r="E2543" s="135" t="s">
        <v>558</v>
      </c>
      <c r="F2543" s="136" t="str">
        <f t="shared" si="144"/>
        <v/>
      </c>
      <c r="G2543" s="137" t="e">
        <f>IF(A2543&lt;&gt;"",IF(AND(#REF!="Padrão",$H$4=#REF!),BDI!$B$17,IF(AND(#REF!="Padrão",$H$4=#REF!),BDI!#REF!,IF(AND(#REF!="Diferenciado",$H$4=#REF!),BDI!$E$17,IF(AND(#REF!="Diferenciado",$H$4=#REF!),BDI!#REF!,IF(#REF!="ZERO",0))))),"")</f>
        <v>#REF!</v>
      </c>
      <c r="H2543" s="138" t="str">
        <f t="shared" si="145"/>
        <v/>
      </c>
      <c r="I2543" s="136" t="str">
        <f t="shared" si="146"/>
        <v/>
      </c>
    </row>
    <row r="2544" spans="1:9" hidden="1" x14ac:dyDescent="0.25">
      <c r="A2544" s="114" t="s">
        <v>6263</v>
      </c>
      <c r="B2544" s="115" t="s">
        <v>5026</v>
      </c>
      <c r="C2544" s="116" t="s">
        <v>20</v>
      </c>
      <c r="D2544" s="116">
        <v>0</v>
      </c>
      <c r="E2544" s="135" t="s">
        <v>558</v>
      </c>
      <c r="F2544" s="136" t="str">
        <f t="shared" si="144"/>
        <v/>
      </c>
      <c r="G2544" s="137" t="e">
        <f>IF(A2544&lt;&gt;"",IF(AND(#REF!="Padrão",$H$4=#REF!),BDI!$B$17,IF(AND(#REF!="Padrão",$H$4=#REF!),BDI!#REF!,IF(AND(#REF!="Diferenciado",$H$4=#REF!),BDI!$E$17,IF(AND(#REF!="Diferenciado",$H$4=#REF!),BDI!#REF!,IF(#REF!="ZERO",0))))),"")</f>
        <v>#REF!</v>
      </c>
      <c r="H2544" s="138" t="str">
        <f t="shared" si="145"/>
        <v/>
      </c>
      <c r="I2544" s="136" t="str">
        <f t="shared" si="146"/>
        <v/>
      </c>
    </row>
    <row r="2545" spans="1:9" hidden="1" x14ac:dyDescent="0.25">
      <c r="A2545" s="114" t="s">
        <v>6264</v>
      </c>
      <c r="B2545" s="115" t="s">
        <v>5027</v>
      </c>
      <c r="C2545" s="116" t="s">
        <v>20</v>
      </c>
      <c r="D2545" s="116">
        <v>0</v>
      </c>
      <c r="E2545" s="135" t="s">
        <v>558</v>
      </c>
      <c r="F2545" s="136" t="str">
        <f t="shared" si="144"/>
        <v/>
      </c>
      <c r="G2545" s="137" t="e">
        <f>IF(A2545&lt;&gt;"",IF(AND(#REF!="Padrão",$H$4=#REF!),BDI!$B$17,IF(AND(#REF!="Padrão",$H$4=#REF!),BDI!#REF!,IF(AND(#REF!="Diferenciado",$H$4=#REF!),BDI!$E$17,IF(AND(#REF!="Diferenciado",$H$4=#REF!),BDI!#REF!,IF(#REF!="ZERO",0))))),"")</f>
        <v>#REF!</v>
      </c>
      <c r="H2545" s="138" t="str">
        <f t="shared" si="145"/>
        <v/>
      </c>
      <c r="I2545" s="136" t="str">
        <f t="shared" si="146"/>
        <v/>
      </c>
    </row>
    <row r="2546" spans="1:9" hidden="1" x14ac:dyDescent="0.25">
      <c r="A2546" s="114" t="s">
        <v>6265</v>
      </c>
      <c r="B2546" s="115" t="s">
        <v>5028</v>
      </c>
      <c r="C2546" s="116" t="s">
        <v>20</v>
      </c>
      <c r="D2546" s="116">
        <v>0</v>
      </c>
      <c r="E2546" s="135" t="s">
        <v>558</v>
      </c>
      <c r="F2546" s="136" t="str">
        <f t="shared" si="144"/>
        <v/>
      </c>
      <c r="G2546" s="137" t="e">
        <f>IF(A2546&lt;&gt;"",IF(AND(#REF!="Padrão",$H$4=#REF!),BDI!$B$17,IF(AND(#REF!="Padrão",$H$4=#REF!),BDI!#REF!,IF(AND(#REF!="Diferenciado",$H$4=#REF!),BDI!$E$17,IF(AND(#REF!="Diferenciado",$H$4=#REF!),BDI!#REF!,IF(#REF!="ZERO",0))))),"")</f>
        <v>#REF!</v>
      </c>
      <c r="H2546" s="138" t="str">
        <f t="shared" si="145"/>
        <v/>
      </c>
      <c r="I2546" s="136" t="str">
        <f t="shared" si="146"/>
        <v/>
      </c>
    </row>
    <row r="2547" spans="1:9" hidden="1" x14ac:dyDescent="0.25">
      <c r="A2547" s="114" t="s">
        <v>6266</v>
      </c>
      <c r="B2547" s="115" t="s">
        <v>5029</v>
      </c>
      <c r="C2547" s="116" t="s">
        <v>20</v>
      </c>
      <c r="D2547" s="116">
        <v>0</v>
      </c>
      <c r="E2547" s="135" t="s">
        <v>558</v>
      </c>
      <c r="F2547" s="136" t="str">
        <f t="shared" si="144"/>
        <v/>
      </c>
      <c r="G2547" s="137" t="e">
        <f>IF(A2547&lt;&gt;"",IF(AND(#REF!="Padrão",$H$4=#REF!),BDI!$B$17,IF(AND(#REF!="Padrão",$H$4=#REF!),BDI!#REF!,IF(AND(#REF!="Diferenciado",$H$4=#REF!),BDI!$E$17,IF(AND(#REF!="Diferenciado",$H$4=#REF!),BDI!#REF!,IF(#REF!="ZERO",0))))),"")</f>
        <v>#REF!</v>
      </c>
      <c r="H2547" s="138" t="str">
        <f t="shared" si="145"/>
        <v/>
      </c>
      <c r="I2547" s="136" t="str">
        <f t="shared" si="146"/>
        <v/>
      </c>
    </row>
    <row r="2548" spans="1:9" hidden="1" x14ac:dyDescent="0.25">
      <c r="A2548" s="114" t="s">
        <v>6267</v>
      </c>
      <c r="B2548" s="115" t="s">
        <v>5030</v>
      </c>
      <c r="C2548" s="116" t="s">
        <v>20</v>
      </c>
      <c r="D2548" s="116">
        <v>0</v>
      </c>
      <c r="E2548" s="135" t="s">
        <v>558</v>
      </c>
      <c r="F2548" s="136" t="str">
        <f t="shared" si="144"/>
        <v/>
      </c>
      <c r="G2548" s="137" t="e">
        <f>IF(A2548&lt;&gt;"",IF(AND(#REF!="Padrão",$H$4=#REF!),BDI!$B$17,IF(AND(#REF!="Padrão",$H$4=#REF!),BDI!#REF!,IF(AND(#REF!="Diferenciado",$H$4=#REF!),BDI!$E$17,IF(AND(#REF!="Diferenciado",$H$4=#REF!),BDI!#REF!,IF(#REF!="ZERO",0))))),"")</f>
        <v>#REF!</v>
      </c>
      <c r="H2548" s="138" t="str">
        <f t="shared" si="145"/>
        <v/>
      </c>
      <c r="I2548" s="136" t="str">
        <f t="shared" si="146"/>
        <v/>
      </c>
    </row>
    <row r="2549" spans="1:9" hidden="1" x14ac:dyDescent="0.25">
      <c r="A2549" s="114" t="s">
        <v>6268</v>
      </c>
      <c r="B2549" s="115" t="s">
        <v>5031</v>
      </c>
      <c r="C2549" s="116" t="s">
        <v>20</v>
      </c>
      <c r="D2549" s="116">
        <v>0</v>
      </c>
      <c r="E2549" s="135" t="s">
        <v>558</v>
      </c>
      <c r="F2549" s="136" t="str">
        <f t="shared" si="144"/>
        <v/>
      </c>
      <c r="G2549" s="137" t="e">
        <f>IF(A2549&lt;&gt;"",IF(AND(#REF!="Padrão",$H$4=#REF!),BDI!$B$17,IF(AND(#REF!="Padrão",$H$4=#REF!),BDI!#REF!,IF(AND(#REF!="Diferenciado",$H$4=#REF!),BDI!$E$17,IF(AND(#REF!="Diferenciado",$H$4=#REF!),BDI!#REF!,IF(#REF!="ZERO",0))))),"")</f>
        <v>#REF!</v>
      </c>
      <c r="H2549" s="138" t="str">
        <f t="shared" si="145"/>
        <v/>
      </c>
      <c r="I2549" s="136" t="str">
        <f t="shared" si="146"/>
        <v/>
      </c>
    </row>
    <row r="2550" spans="1:9" hidden="1" x14ac:dyDescent="0.25">
      <c r="A2550" s="114" t="s">
        <v>6269</v>
      </c>
      <c r="B2550" s="115" t="s">
        <v>5032</v>
      </c>
      <c r="C2550" s="116" t="s">
        <v>20</v>
      </c>
      <c r="D2550" s="116">
        <v>0</v>
      </c>
      <c r="E2550" s="135" t="s">
        <v>558</v>
      </c>
      <c r="F2550" s="136" t="str">
        <f t="shared" si="144"/>
        <v/>
      </c>
      <c r="G2550" s="137" t="e">
        <f>IF(A2550&lt;&gt;"",IF(AND(#REF!="Padrão",$H$4=#REF!),BDI!$B$17,IF(AND(#REF!="Padrão",$H$4=#REF!),BDI!#REF!,IF(AND(#REF!="Diferenciado",$H$4=#REF!),BDI!$E$17,IF(AND(#REF!="Diferenciado",$H$4=#REF!),BDI!#REF!,IF(#REF!="ZERO",0))))),"")</f>
        <v>#REF!</v>
      </c>
      <c r="H2550" s="138" t="str">
        <f t="shared" si="145"/>
        <v/>
      </c>
      <c r="I2550" s="136" t="str">
        <f t="shared" si="146"/>
        <v/>
      </c>
    </row>
    <row r="2551" spans="1:9" hidden="1" x14ac:dyDescent="0.25">
      <c r="A2551" s="114" t="s">
        <v>6270</v>
      </c>
      <c r="B2551" s="115" t="s">
        <v>5033</v>
      </c>
      <c r="C2551" s="116" t="s">
        <v>20</v>
      </c>
      <c r="D2551" s="116">
        <v>0</v>
      </c>
      <c r="E2551" s="135" t="s">
        <v>558</v>
      </c>
      <c r="F2551" s="136" t="str">
        <f t="shared" si="144"/>
        <v/>
      </c>
      <c r="G2551" s="137" t="e">
        <f>IF(A2551&lt;&gt;"",IF(AND(#REF!="Padrão",$H$4=#REF!),BDI!$B$17,IF(AND(#REF!="Padrão",$H$4=#REF!),BDI!#REF!,IF(AND(#REF!="Diferenciado",$H$4=#REF!),BDI!$E$17,IF(AND(#REF!="Diferenciado",$H$4=#REF!),BDI!#REF!,IF(#REF!="ZERO",0))))),"")</f>
        <v>#REF!</v>
      </c>
      <c r="H2551" s="138" t="str">
        <f t="shared" si="145"/>
        <v/>
      </c>
      <c r="I2551" s="136" t="str">
        <f t="shared" si="146"/>
        <v/>
      </c>
    </row>
    <row r="2552" spans="1:9" hidden="1" x14ac:dyDescent="0.25">
      <c r="A2552" s="114" t="s">
        <v>6271</v>
      </c>
      <c r="B2552" s="115" t="s">
        <v>5034</v>
      </c>
      <c r="C2552" s="116" t="s">
        <v>20</v>
      </c>
      <c r="D2552" s="116">
        <v>0</v>
      </c>
      <c r="E2552" s="135" t="s">
        <v>558</v>
      </c>
      <c r="F2552" s="136" t="str">
        <f t="shared" si="144"/>
        <v/>
      </c>
      <c r="G2552" s="137" t="e">
        <f>IF(A2552&lt;&gt;"",IF(AND(#REF!="Padrão",$H$4=#REF!),BDI!$B$17,IF(AND(#REF!="Padrão",$H$4=#REF!),BDI!#REF!,IF(AND(#REF!="Diferenciado",$H$4=#REF!),BDI!$E$17,IF(AND(#REF!="Diferenciado",$H$4=#REF!),BDI!#REF!,IF(#REF!="ZERO",0))))),"")</f>
        <v>#REF!</v>
      </c>
      <c r="H2552" s="138" t="str">
        <f t="shared" si="145"/>
        <v/>
      </c>
      <c r="I2552" s="136" t="str">
        <f t="shared" si="146"/>
        <v/>
      </c>
    </row>
    <row r="2553" spans="1:9" hidden="1" x14ac:dyDescent="0.25">
      <c r="A2553" s="114" t="s">
        <v>6272</v>
      </c>
      <c r="B2553" s="115" t="s">
        <v>5035</v>
      </c>
      <c r="C2553" s="116" t="s">
        <v>20</v>
      </c>
      <c r="D2553" s="116">
        <v>0</v>
      </c>
      <c r="E2553" s="135" t="s">
        <v>558</v>
      </c>
      <c r="F2553" s="136" t="str">
        <f t="shared" si="144"/>
        <v/>
      </c>
      <c r="G2553" s="137" t="e">
        <f>IF(A2553&lt;&gt;"",IF(AND(#REF!="Padrão",$H$4=#REF!),BDI!$B$17,IF(AND(#REF!="Padrão",$H$4=#REF!),BDI!#REF!,IF(AND(#REF!="Diferenciado",$H$4=#REF!),BDI!$E$17,IF(AND(#REF!="Diferenciado",$H$4=#REF!),BDI!#REF!,IF(#REF!="ZERO",0))))),"")</f>
        <v>#REF!</v>
      </c>
      <c r="H2553" s="138" t="str">
        <f t="shared" si="145"/>
        <v/>
      </c>
      <c r="I2553" s="136" t="str">
        <f t="shared" si="146"/>
        <v/>
      </c>
    </row>
    <row r="2554" spans="1:9" hidden="1" x14ac:dyDescent="0.25">
      <c r="A2554" s="114" t="s">
        <v>6273</v>
      </c>
      <c r="B2554" s="115" t="s">
        <v>5036</v>
      </c>
      <c r="C2554" s="116" t="s">
        <v>20</v>
      </c>
      <c r="D2554" s="116">
        <v>0</v>
      </c>
      <c r="E2554" s="135" t="s">
        <v>558</v>
      </c>
      <c r="F2554" s="136" t="str">
        <f t="shared" si="144"/>
        <v/>
      </c>
      <c r="G2554" s="137" t="e">
        <f>IF(A2554&lt;&gt;"",IF(AND(#REF!="Padrão",$H$4=#REF!),BDI!$B$17,IF(AND(#REF!="Padrão",$H$4=#REF!),BDI!#REF!,IF(AND(#REF!="Diferenciado",$H$4=#REF!),BDI!$E$17,IF(AND(#REF!="Diferenciado",$H$4=#REF!),BDI!#REF!,IF(#REF!="ZERO",0))))),"")</f>
        <v>#REF!</v>
      </c>
      <c r="H2554" s="138" t="str">
        <f t="shared" si="145"/>
        <v/>
      </c>
      <c r="I2554" s="136" t="str">
        <f t="shared" si="146"/>
        <v/>
      </c>
    </row>
    <row r="2555" spans="1:9" hidden="1" x14ac:dyDescent="0.25">
      <c r="A2555" s="114" t="s">
        <v>6274</v>
      </c>
      <c r="B2555" s="115" t="s">
        <v>5037</v>
      </c>
      <c r="C2555" s="116" t="s">
        <v>20</v>
      </c>
      <c r="D2555" s="116">
        <v>0</v>
      </c>
      <c r="E2555" s="135" t="s">
        <v>558</v>
      </c>
      <c r="F2555" s="136" t="str">
        <f t="shared" si="144"/>
        <v/>
      </c>
      <c r="G2555" s="137" t="e">
        <f>IF(A2555&lt;&gt;"",IF(AND(#REF!="Padrão",$H$4=#REF!),BDI!$B$17,IF(AND(#REF!="Padrão",$H$4=#REF!),BDI!#REF!,IF(AND(#REF!="Diferenciado",$H$4=#REF!),BDI!$E$17,IF(AND(#REF!="Diferenciado",$H$4=#REF!),BDI!#REF!,IF(#REF!="ZERO",0))))),"")</f>
        <v>#REF!</v>
      </c>
      <c r="H2555" s="138" t="str">
        <f t="shared" si="145"/>
        <v/>
      </c>
      <c r="I2555" s="136" t="str">
        <f t="shared" si="146"/>
        <v/>
      </c>
    </row>
    <row r="2556" spans="1:9" hidden="1" x14ac:dyDescent="0.25">
      <c r="A2556" s="114" t="s">
        <v>6275</v>
      </c>
      <c r="B2556" s="115" t="s">
        <v>5038</v>
      </c>
      <c r="C2556" s="116" t="s">
        <v>20</v>
      </c>
      <c r="D2556" s="116">
        <v>0</v>
      </c>
      <c r="E2556" s="135" t="s">
        <v>558</v>
      </c>
      <c r="F2556" s="136" t="str">
        <f t="shared" si="144"/>
        <v/>
      </c>
      <c r="G2556" s="137" t="e">
        <f>IF(A2556&lt;&gt;"",IF(AND(#REF!="Padrão",$H$4=#REF!),BDI!$B$17,IF(AND(#REF!="Padrão",$H$4=#REF!),BDI!#REF!,IF(AND(#REF!="Diferenciado",$H$4=#REF!),BDI!$E$17,IF(AND(#REF!="Diferenciado",$H$4=#REF!),BDI!#REF!,IF(#REF!="ZERO",0))))),"")</f>
        <v>#REF!</v>
      </c>
      <c r="H2556" s="138" t="str">
        <f t="shared" si="145"/>
        <v/>
      </c>
      <c r="I2556" s="136" t="str">
        <f t="shared" si="146"/>
        <v/>
      </c>
    </row>
    <row r="2557" spans="1:9" hidden="1" x14ac:dyDescent="0.25">
      <c r="A2557" s="114" t="s">
        <v>6276</v>
      </c>
      <c r="B2557" s="115" t="s">
        <v>5039</v>
      </c>
      <c r="C2557" s="116" t="s">
        <v>20</v>
      </c>
      <c r="D2557" s="116">
        <v>0</v>
      </c>
      <c r="E2557" s="135" t="s">
        <v>558</v>
      </c>
      <c r="F2557" s="136" t="str">
        <f t="shared" si="144"/>
        <v/>
      </c>
      <c r="G2557" s="137" t="e">
        <f>IF(A2557&lt;&gt;"",IF(AND(#REF!="Padrão",$H$4=#REF!),BDI!$B$17,IF(AND(#REF!="Padrão",$H$4=#REF!),BDI!#REF!,IF(AND(#REF!="Diferenciado",$H$4=#REF!),BDI!$E$17,IF(AND(#REF!="Diferenciado",$H$4=#REF!),BDI!#REF!,IF(#REF!="ZERO",0))))),"")</f>
        <v>#REF!</v>
      </c>
      <c r="H2557" s="138" t="str">
        <f t="shared" si="145"/>
        <v/>
      </c>
      <c r="I2557" s="136" t="str">
        <f t="shared" si="146"/>
        <v/>
      </c>
    </row>
    <row r="2558" spans="1:9" hidden="1" x14ac:dyDescent="0.25">
      <c r="A2558" s="114" t="s">
        <v>6277</v>
      </c>
      <c r="B2558" s="115" t="s">
        <v>5040</v>
      </c>
      <c r="C2558" s="116" t="s">
        <v>20</v>
      </c>
      <c r="D2558" s="116">
        <v>0</v>
      </c>
      <c r="E2558" s="135" t="s">
        <v>558</v>
      </c>
      <c r="F2558" s="136" t="str">
        <f t="shared" si="144"/>
        <v/>
      </c>
      <c r="G2558" s="137" t="e">
        <f>IF(A2558&lt;&gt;"",IF(AND(#REF!="Padrão",$H$4=#REF!),BDI!$B$17,IF(AND(#REF!="Padrão",$H$4=#REF!),BDI!#REF!,IF(AND(#REF!="Diferenciado",$H$4=#REF!),BDI!$E$17,IF(AND(#REF!="Diferenciado",$H$4=#REF!),BDI!#REF!,IF(#REF!="ZERO",0))))),"")</f>
        <v>#REF!</v>
      </c>
      <c r="H2558" s="138" t="str">
        <f t="shared" si="145"/>
        <v/>
      </c>
      <c r="I2558" s="136" t="str">
        <f t="shared" si="146"/>
        <v/>
      </c>
    </row>
    <row r="2559" spans="1:9" hidden="1" x14ac:dyDescent="0.25">
      <c r="A2559" s="114" t="s">
        <v>6278</v>
      </c>
      <c r="B2559" s="115" t="s">
        <v>5041</v>
      </c>
      <c r="C2559" s="116" t="s">
        <v>20</v>
      </c>
      <c r="D2559" s="116">
        <v>0</v>
      </c>
      <c r="E2559" s="135" t="s">
        <v>558</v>
      </c>
      <c r="F2559" s="136" t="str">
        <f t="shared" si="144"/>
        <v/>
      </c>
      <c r="G2559" s="137" t="e">
        <f>IF(A2559&lt;&gt;"",IF(AND(#REF!="Padrão",$H$4=#REF!),BDI!$B$17,IF(AND(#REF!="Padrão",$H$4=#REF!),BDI!#REF!,IF(AND(#REF!="Diferenciado",$H$4=#REF!),BDI!$E$17,IF(AND(#REF!="Diferenciado",$H$4=#REF!),BDI!#REF!,IF(#REF!="ZERO",0))))),"")</f>
        <v>#REF!</v>
      </c>
      <c r="H2559" s="138" t="str">
        <f t="shared" si="145"/>
        <v/>
      </c>
      <c r="I2559" s="136" t="str">
        <f t="shared" si="146"/>
        <v/>
      </c>
    </row>
    <row r="2560" spans="1:9" hidden="1" x14ac:dyDescent="0.25">
      <c r="A2560" s="114" t="s">
        <v>6279</v>
      </c>
      <c r="B2560" s="115" t="s">
        <v>5042</v>
      </c>
      <c r="C2560" s="116" t="s">
        <v>20</v>
      </c>
      <c r="D2560" s="116">
        <v>0</v>
      </c>
      <c r="E2560" s="135" t="s">
        <v>558</v>
      </c>
      <c r="F2560" s="136" t="str">
        <f t="shared" si="144"/>
        <v/>
      </c>
      <c r="G2560" s="137" t="e">
        <f>IF(A2560&lt;&gt;"",IF(AND(#REF!="Padrão",$H$4=#REF!),BDI!$B$17,IF(AND(#REF!="Padrão",$H$4=#REF!),BDI!#REF!,IF(AND(#REF!="Diferenciado",$H$4=#REF!),BDI!$E$17,IF(AND(#REF!="Diferenciado",$H$4=#REF!),BDI!#REF!,IF(#REF!="ZERO",0))))),"")</f>
        <v>#REF!</v>
      </c>
      <c r="H2560" s="138" t="str">
        <f t="shared" si="145"/>
        <v/>
      </c>
      <c r="I2560" s="136" t="str">
        <f t="shared" si="146"/>
        <v/>
      </c>
    </row>
    <row r="2561" spans="1:9" hidden="1" x14ac:dyDescent="0.25">
      <c r="A2561" s="114" t="s">
        <v>6280</v>
      </c>
      <c r="B2561" s="115" t="s">
        <v>5043</v>
      </c>
      <c r="C2561" s="116" t="s">
        <v>20</v>
      </c>
      <c r="D2561" s="116">
        <v>0</v>
      </c>
      <c r="E2561" s="135" t="s">
        <v>558</v>
      </c>
      <c r="F2561" s="136" t="str">
        <f t="shared" si="144"/>
        <v/>
      </c>
      <c r="G2561" s="137" t="e">
        <f>IF(A2561&lt;&gt;"",IF(AND(#REF!="Padrão",$H$4=#REF!),BDI!$B$17,IF(AND(#REF!="Padrão",$H$4=#REF!),BDI!#REF!,IF(AND(#REF!="Diferenciado",$H$4=#REF!),BDI!$E$17,IF(AND(#REF!="Diferenciado",$H$4=#REF!),BDI!#REF!,IF(#REF!="ZERO",0))))),"")</f>
        <v>#REF!</v>
      </c>
      <c r="H2561" s="138" t="str">
        <f t="shared" si="145"/>
        <v/>
      </c>
      <c r="I2561" s="136" t="str">
        <f t="shared" si="146"/>
        <v/>
      </c>
    </row>
    <row r="2562" spans="1:9" hidden="1" x14ac:dyDescent="0.25">
      <c r="A2562" s="114" t="s">
        <v>6281</v>
      </c>
      <c r="B2562" s="115" t="s">
        <v>5044</v>
      </c>
      <c r="C2562" s="116" t="s">
        <v>20</v>
      </c>
      <c r="D2562" s="116">
        <v>0</v>
      </c>
      <c r="E2562" s="135" t="s">
        <v>558</v>
      </c>
      <c r="F2562" s="136" t="str">
        <f t="shared" si="144"/>
        <v/>
      </c>
      <c r="G2562" s="137" t="e">
        <f>IF(A2562&lt;&gt;"",IF(AND(#REF!="Padrão",$H$4=#REF!),BDI!$B$17,IF(AND(#REF!="Padrão",$H$4=#REF!),BDI!#REF!,IF(AND(#REF!="Diferenciado",$H$4=#REF!),BDI!$E$17,IF(AND(#REF!="Diferenciado",$H$4=#REF!),BDI!#REF!,IF(#REF!="ZERO",0))))),"")</f>
        <v>#REF!</v>
      </c>
      <c r="H2562" s="138" t="str">
        <f t="shared" si="145"/>
        <v/>
      </c>
      <c r="I2562" s="136" t="str">
        <f t="shared" si="146"/>
        <v/>
      </c>
    </row>
    <row r="2563" spans="1:9" hidden="1" x14ac:dyDescent="0.25">
      <c r="A2563" s="114" t="s">
        <v>6282</v>
      </c>
      <c r="B2563" s="115" t="s">
        <v>5045</v>
      </c>
      <c r="C2563" s="116" t="s">
        <v>20</v>
      </c>
      <c r="D2563" s="116">
        <v>0</v>
      </c>
      <c r="E2563" s="135" t="s">
        <v>558</v>
      </c>
      <c r="F2563" s="136" t="str">
        <f t="shared" si="144"/>
        <v/>
      </c>
      <c r="G2563" s="137" t="e">
        <f>IF(A2563&lt;&gt;"",IF(AND(#REF!="Padrão",$H$4=#REF!),BDI!$B$17,IF(AND(#REF!="Padrão",$H$4=#REF!),BDI!#REF!,IF(AND(#REF!="Diferenciado",$H$4=#REF!),BDI!$E$17,IF(AND(#REF!="Diferenciado",$H$4=#REF!),BDI!#REF!,IF(#REF!="ZERO",0))))),"")</f>
        <v>#REF!</v>
      </c>
      <c r="H2563" s="138" t="str">
        <f t="shared" si="145"/>
        <v/>
      </c>
      <c r="I2563" s="136" t="str">
        <f t="shared" si="146"/>
        <v/>
      </c>
    </row>
    <row r="2564" spans="1:9" hidden="1" x14ac:dyDescent="0.25">
      <c r="A2564" s="114" t="s">
        <v>6283</v>
      </c>
      <c r="B2564" s="115" t="s">
        <v>5046</v>
      </c>
      <c r="C2564" s="116" t="s">
        <v>20</v>
      </c>
      <c r="D2564" s="116">
        <v>0</v>
      </c>
      <c r="E2564" s="135" t="s">
        <v>558</v>
      </c>
      <c r="F2564" s="136" t="str">
        <f t="shared" si="144"/>
        <v/>
      </c>
      <c r="G2564" s="137" t="e">
        <f>IF(A2564&lt;&gt;"",IF(AND(#REF!="Padrão",$H$4=#REF!),BDI!$B$17,IF(AND(#REF!="Padrão",$H$4=#REF!),BDI!#REF!,IF(AND(#REF!="Diferenciado",$H$4=#REF!),BDI!$E$17,IF(AND(#REF!="Diferenciado",$H$4=#REF!),BDI!#REF!,IF(#REF!="ZERO",0))))),"")</f>
        <v>#REF!</v>
      </c>
      <c r="H2564" s="138" t="str">
        <f t="shared" si="145"/>
        <v/>
      </c>
      <c r="I2564" s="136" t="str">
        <f t="shared" si="146"/>
        <v/>
      </c>
    </row>
    <row r="2565" spans="1:9" hidden="1" x14ac:dyDescent="0.25">
      <c r="A2565" s="114" t="s">
        <v>6284</v>
      </c>
      <c r="B2565" s="115" t="s">
        <v>5047</v>
      </c>
      <c r="C2565" s="116" t="s">
        <v>20</v>
      </c>
      <c r="D2565" s="116">
        <v>0</v>
      </c>
      <c r="E2565" s="135" t="s">
        <v>558</v>
      </c>
      <c r="F2565" s="136" t="str">
        <f t="shared" si="144"/>
        <v/>
      </c>
      <c r="G2565" s="137" t="e">
        <f>IF(A2565&lt;&gt;"",IF(AND(#REF!="Padrão",$H$4=#REF!),BDI!$B$17,IF(AND(#REF!="Padrão",$H$4=#REF!),BDI!#REF!,IF(AND(#REF!="Diferenciado",$H$4=#REF!),BDI!$E$17,IF(AND(#REF!="Diferenciado",$H$4=#REF!),BDI!#REF!,IF(#REF!="ZERO",0))))),"")</f>
        <v>#REF!</v>
      </c>
      <c r="H2565" s="138" t="str">
        <f t="shared" si="145"/>
        <v/>
      </c>
      <c r="I2565" s="136" t="str">
        <f t="shared" si="146"/>
        <v/>
      </c>
    </row>
    <row r="2566" spans="1:9" hidden="1" x14ac:dyDescent="0.25">
      <c r="A2566" s="114" t="s">
        <v>6285</v>
      </c>
      <c r="B2566" s="115" t="s">
        <v>5048</v>
      </c>
      <c r="C2566" s="116" t="s">
        <v>20</v>
      </c>
      <c r="D2566" s="116">
        <v>0</v>
      </c>
      <c r="E2566" s="135" t="s">
        <v>558</v>
      </c>
      <c r="F2566" s="136" t="str">
        <f t="shared" si="144"/>
        <v/>
      </c>
      <c r="G2566" s="137" t="e">
        <f>IF(A2566&lt;&gt;"",IF(AND(#REF!="Padrão",$H$4=#REF!),BDI!$B$17,IF(AND(#REF!="Padrão",$H$4=#REF!),BDI!#REF!,IF(AND(#REF!="Diferenciado",$H$4=#REF!),BDI!$E$17,IF(AND(#REF!="Diferenciado",$H$4=#REF!),BDI!#REF!,IF(#REF!="ZERO",0))))),"")</f>
        <v>#REF!</v>
      </c>
      <c r="H2566" s="138" t="str">
        <f t="shared" si="145"/>
        <v/>
      </c>
      <c r="I2566" s="136" t="str">
        <f t="shared" si="146"/>
        <v/>
      </c>
    </row>
    <row r="2567" spans="1:9" hidden="1" x14ac:dyDescent="0.25">
      <c r="A2567" s="114" t="s">
        <v>6286</v>
      </c>
      <c r="B2567" s="115" t="s">
        <v>5049</v>
      </c>
      <c r="C2567" s="116" t="s">
        <v>20</v>
      </c>
      <c r="D2567" s="116">
        <v>0</v>
      </c>
      <c r="E2567" s="135" t="s">
        <v>558</v>
      </c>
      <c r="F2567" s="136" t="str">
        <f t="shared" si="144"/>
        <v/>
      </c>
      <c r="G2567" s="137" t="e">
        <f>IF(A2567&lt;&gt;"",IF(AND(#REF!="Padrão",$H$4=#REF!),BDI!$B$17,IF(AND(#REF!="Padrão",$H$4=#REF!),BDI!#REF!,IF(AND(#REF!="Diferenciado",$H$4=#REF!),BDI!$E$17,IF(AND(#REF!="Diferenciado",$H$4=#REF!),BDI!#REF!,IF(#REF!="ZERO",0))))),"")</f>
        <v>#REF!</v>
      </c>
      <c r="H2567" s="138" t="str">
        <f t="shared" si="145"/>
        <v/>
      </c>
      <c r="I2567" s="136" t="str">
        <f t="shared" si="146"/>
        <v/>
      </c>
    </row>
    <row r="2568" spans="1:9" hidden="1" x14ac:dyDescent="0.25">
      <c r="A2568" s="114" t="s">
        <v>6287</v>
      </c>
      <c r="B2568" s="115" t="s">
        <v>5050</v>
      </c>
      <c r="C2568" s="116" t="s">
        <v>20</v>
      </c>
      <c r="D2568" s="116">
        <v>0</v>
      </c>
      <c r="E2568" s="135" t="s">
        <v>558</v>
      </c>
      <c r="F2568" s="136" t="str">
        <f t="shared" si="144"/>
        <v/>
      </c>
      <c r="G2568" s="137" t="e">
        <f>IF(A2568&lt;&gt;"",IF(AND(#REF!="Padrão",$H$4=#REF!),BDI!$B$17,IF(AND(#REF!="Padrão",$H$4=#REF!),BDI!#REF!,IF(AND(#REF!="Diferenciado",$H$4=#REF!),BDI!$E$17,IF(AND(#REF!="Diferenciado",$H$4=#REF!),BDI!#REF!,IF(#REF!="ZERO",0))))),"")</f>
        <v>#REF!</v>
      </c>
      <c r="H2568" s="138" t="str">
        <f t="shared" si="145"/>
        <v/>
      </c>
      <c r="I2568" s="136" t="str">
        <f t="shared" si="146"/>
        <v/>
      </c>
    </row>
    <row r="2569" spans="1:9" hidden="1" x14ac:dyDescent="0.25">
      <c r="A2569" s="114" t="s">
        <v>6288</v>
      </c>
      <c r="B2569" s="115" t="s">
        <v>5051</v>
      </c>
      <c r="C2569" s="116" t="s">
        <v>20</v>
      </c>
      <c r="D2569" s="116">
        <v>0</v>
      </c>
      <c r="E2569" s="135" t="s">
        <v>558</v>
      </c>
      <c r="F2569" s="136" t="str">
        <f t="shared" si="144"/>
        <v/>
      </c>
      <c r="G2569" s="137" t="e">
        <f>IF(A2569&lt;&gt;"",IF(AND(#REF!="Padrão",$H$4=#REF!),BDI!$B$17,IF(AND(#REF!="Padrão",$H$4=#REF!),BDI!#REF!,IF(AND(#REF!="Diferenciado",$H$4=#REF!),BDI!$E$17,IF(AND(#REF!="Diferenciado",$H$4=#REF!),BDI!#REF!,IF(#REF!="ZERO",0))))),"")</f>
        <v>#REF!</v>
      </c>
      <c r="H2569" s="138" t="str">
        <f t="shared" si="145"/>
        <v/>
      </c>
      <c r="I2569" s="136" t="str">
        <f t="shared" si="146"/>
        <v/>
      </c>
    </row>
    <row r="2570" spans="1:9" hidden="1" x14ac:dyDescent="0.25">
      <c r="A2570" s="114" t="s">
        <v>6289</v>
      </c>
      <c r="B2570" s="115" t="s">
        <v>5052</v>
      </c>
      <c r="C2570" s="116" t="s">
        <v>20</v>
      </c>
      <c r="D2570" s="116">
        <v>0</v>
      </c>
      <c r="E2570" s="135" t="s">
        <v>558</v>
      </c>
      <c r="F2570" s="136" t="str">
        <f t="shared" si="144"/>
        <v/>
      </c>
      <c r="G2570" s="137" t="e">
        <f>IF(A2570&lt;&gt;"",IF(AND(#REF!="Padrão",$H$4=#REF!),BDI!$B$17,IF(AND(#REF!="Padrão",$H$4=#REF!),BDI!#REF!,IF(AND(#REF!="Diferenciado",$H$4=#REF!),BDI!$E$17,IF(AND(#REF!="Diferenciado",$H$4=#REF!),BDI!#REF!,IF(#REF!="ZERO",0))))),"")</f>
        <v>#REF!</v>
      </c>
      <c r="H2570" s="138" t="str">
        <f t="shared" si="145"/>
        <v/>
      </c>
      <c r="I2570" s="136" t="str">
        <f t="shared" si="146"/>
        <v/>
      </c>
    </row>
    <row r="2571" spans="1:9" hidden="1" x14ac:dyDescent="0.25">
      <c r="A2571" s="114" t="s">
        <v>6290</v>
      </c>
      <c r="B2571" s="115" t="s">
        <v>5053</v>
      </c>
      <c r="C2571" s="116" t="s">
        <v>20</v>
      </c>
      <c r="D2571" s="116">
        <v>0</v>
      </c>
      <c r="E2571" s="135" t="s">
        <v>558</v>
      </c>
      <c r="F2571" s="136" t="str">
        <f t="shared" si="144"/>
        <v/>
      </c>
      <c r="G2571" s="137" t="e">
        <f>IF(A2571&lt;&gt;"",IF(AND(#REF!="Padrão",$H$4=#REF!),BDI!$B$17,IF(AND(#REF!="Padrão",$H$4=#REF!),BDI!#REF!,IF(AND(#REF!="Diferenciado",$H$4=#REF!),BDI!$E$17,IF(AND(#REF!="Diferenciado",$H$4=#REF!),BDI!#REF!,IF(#REF!="ZERO",0))))),"")</f>
        <v>#REF!</v>
      </c>
      <c r="H2571" s="138" t="str">
        <f t="shared" si="145"/>
        <v/>
      </c>
      <c r="I2571" s="136" t="str">
        <f t="shared" si="146"/>
        <v/>
      </c>
    </row>
    <row r="2572" spans="1:9" hidden="1" x14ac:dyDescent="0.25">
      <c r="A2572" s="114" t="s">
        <v>6291</v>
      </c>
      <c r="B2572" s="115" t="s">
        <v>5054</v>
      </c>
      <c r="C2572" s="116" t="s">
        <v>20</v>
      </c>
      <c r="D2572" s="116">
        <v>0</v>
      </c>
      <c r="E2572" s="135" t="s">
        <v>558</v>
      </c>
      <c r="F2572" s="136" t="str">
        <f t="shared" si="144"/>
        <v/>
      </c>
      <c r="G2572" s="137" t="e">
        <f>IF(A2572&lt;&gt;"",IF(AND(#REF!="Padrão",$H$4=#REF!),BDI!$B$17,IF(AND(#REF!="Padrão",$H$4=#REF!),BDI!#REF!,IF(AND(#REF!="Diferenciado",$H$4=#REF!),BDI!$E$17,IF(AND(#REF!="Diferenciado",$H$4=#REF!),BDI!#REF!,IF(#REF!="ZERO",0))))),"")</f>
        <v>#REF!</v>
      </c>
      <c r="H2572" s="138" t="str">
        <f t="shared" si="145"/>
        <v/>
      </c>
      <c r="I2572" s="136" t="str">
        <f t="shared" si="146"/>
        <v/>
      </c>
    </row>
    <row r="2573" spans="1:9" hidden="1" x14ac:dyDescent="0.25">
      <c r="A2573" s="114" t="s">
        <v>6292</v>
      </c>
      <c r="B2573" s="115" t="s">
        <v>5055</v>
      </c>
      <c r="C2573" s="116" t="s">
        <v>20</v>
      </c>
      <c r="D2573" s="116">
        <v>0</v>
      </c>
      <c r="E2573" s="135" t="s">
        <v>558</v>
      </c>
      <c r="F2573" s="136" t="str">
        <f t="shared" si="144"/>
        <v/>
      </c>
      <c r="G2573" s="137" t="e">
        <f>IF(A2573&lt;&gt;"",IF(AND(#REF!="Padrão",$H$4=#REF!),BDI!$B$17,IF(AND(#REF!="Padrão",$H$4=#REF!),BDI!#REF!,IF(AND(#REF!="Diferenciado",$H$4=#REF!),BDI!$E$17,IF(AND(#REF!="Diferenciado",$H$4=#REF!),BDI!#REF!,IF(#REF!="ZERO",0))))),"")</f>
        <v>#REF!</v>
      </c>
      <c r="H2573" s="138" t="str">
        <f t="shared" si="145"/>
        <v/>
      </c>
      <c r="I2573" s="136" t="str">
        <f t="shared" si="146"/>
        <v/>
      </c>
    </row>
    <row r="2574" spans="1:9" hidden="1" x14ac:dyDescent="0.25">
      <c r="A2574" s="114" t="s">
        <v>6293</v>
      </c>
      <c r="B2574" s="115" t="s">
        <v>5056</v>
      </c>
      <c r="C2574" s="116" t="s">
        <v>20</v>
      </c>
      <c r="D2574" s="116">
        <v>0</v>
      </c>
      <c r="E2574" s="135" t="s">
        <v>558</v>
      </c>
      <c r="F2574" s="136" t="str">
        <f t="shared" si="144"/>
        <v/>
      </c>
      <c r="G2574" s="137" t="e">
        <f>IF(A2574&lt;&gt;"",IF(AND(#REF!="Padrão",$H$4=#REF!),BDI!$B$17,IF(AND(#REF!="Padrão",$H$4=#REF!),BDI!#REF!,IF(AND(#REF!="Diferenciado",$H$4=#REF!),BDI!$E$17,IF(AND(#REF!="Diferenciado",$H$4=#REF!),BDI!#REF!,IF(#REF!="ZERO",0))))),"")</f>
        <v>#REF!</v>
      </c>
      <c r="H2574" s="138" t="str">
        <f t="shared" si="145"/>
        <v/>
      </c>
      <c r="I2574" s="136" t="str">
        <f t="shared" si="146"/>
        <v/>
      </c>
    </row>
    <row r="2575" spans="1:9" hidden="1" x14ac:dyDescent="0.25">
      <c r="A2575" s="114" t="s">
        <v>6294</v>
      </c>
      <c r="B2575" s="115" t="s">
        <v>5057</v>
      </c>
      <c r="C2575" s="116" t="s">
        <v>20</v>
      </c>
      <c r="D2575" s="116">
        <v>0</v>
      </c>
      <c r="E2575" s="135" t="s">
        <v>558</v>
      </c>
      <c r="F2575" s="136" t="str">
        <f t="shared" si="144"/>
        <v/>
      </c>
      <c r="G2575" s="137" t="e">
        <f>IF(A2575&lt;&gt;"",IF(AND(#REF!="Padrão",$H$4=#REF!),BDI!$B$17,IF(AND(#REF!="Padrão",$H$4=#REF!),BDI!#REF!,IF(AND(#REF!="Diferenciado",$H$4=#REF!),BDI!$E$17,IF(AND(#REF!="Diferenciado",$H$4=#REF!),BDI!#REF!,IF(#REF!="ZERO",0))))),"")</f>
        <v>#REF!</v>
      </c>
      <c r="H2575" s="138" t="str">
        <f t="shared" si="145"/>
        <v/>
      </c>
      <c r="I2575" s="136" t="str">
        <f t="shared" si="146"/>
        <v/>
      </c>
    </row>
    <row r="2576" spans="1:9" hidden="1" x14ac:dyDescent="0.25">
      <c r="A2576" s="114" t="s">
        <v>6295</v>
      </c>
      <c r="B2576" s="115" t="s">
        <v>5058</v>
      </c>
      <c r="C2576" s="116" t="s">
        <v>20</v>
      </c>
      <c r="D2576" s="116">
        <v>0</v>
      </c>
      <c r="E2576" s="135" t="s">
        <v>558</v>
      </c>
      <c r="F2576" s="136" t="str">
        <f t="shared" si="144"/>
        <v/>
      </c>
      <c r="G2576" s="137" t="e">
        <f>IF(A2576&lt;&gt;"",IF(AND(#REF!="Padrão",$H$4=#REF!),BDI!$B$17,IF(AND(#REF!="Padrão",$H$4=#REF!),BDI!#REF!,IF(AND(#REF!="Diferenciado",$H$4=#REF!),BDI!$E$17,IF(AND(#REF!="Diferenciado",$H$4=#REF!),BDI!#REF!,IF(#REF!="ZERO",0))))),"")</f>
        <v>#REF!</v>
      </c>
      <c r="H2576" s="138" t="str">
        <f t="shared" si="145"/>
        <v/>
      </c>
      <c r="I2576" s="136" t="str">
        <f t="shared" si="146"/>
        <v/>
      </c>
    </row>
    <row r="2577" spans="1:9" hidden="1" x14ac:dyDescent="0.25">
      <c r="A2577" s="114" t="s">
        <v>6296</v>
      </c>
      <c r="B2577" s="115" t="s">
        <v>5059</v>
      </c>
      <c r="C2577" s="116" t="s">
        <v>1994</v>
      </c>
      <c r="D2577" s="116">
        <v>0</v>
      </c>
      <c r="E2577" s="135" t="s">
        <v>558</v>
      </c>
      <c r="F2577" s="136" t="str">
        <f t="shared" si="144"/>
        <v/>
      </c>
      <c r="G2577" s="137" t="e">
        <f>IF(A2577&lt;&gt;"",IF(AND(#REF!="Padrão",$H$4=#REF!),BDI!$B$17,IF(AND(#REF!="Padrão",$H$4=#REF!),BDI!#REF!,IF(AND(#REF!="Diferenciado",$H$4=#REF!),BDI!$E$17,IF(AND(#REF!="Diferenciado",$H$4=#REF!),BDI!#REF!,IF(#REF!="ZERO",0))))),"")</f>
        <v>#REF!</v>
      </c>
      <c r="H2577" s="138" t="str">
        <f t="shared" si="145"/>
        <v/>
      </c>
      <c r="I2577" s="136" t="str">
        <f t="shared" si="146"/>
        <v/>
      </c>
    </row>
    <row r="2578" spans="1:9" hidden="1" x14ac:dyDescent="0.25">
      <c r="A2578" s="114" t="s">
        <v>6297</v>
      </c>
      <c r="B2578" s="115" t="s">
        <v>5060</v>
      </c>
      <c r="C2578" s="116" t="s">
        <v>1994</v>
      </c>
      <c r="D2578" s="116">
        <v>0</v>
      </c>
      <c r="E2578" s="135" t="s">
        <v>558</v>
      </c>
      <c r="F2578" s="136" t="str">
        <f t="shared" si="144"/>
        <v/>
      </c>
      <c r="G2578" s="137" t="e">
        <f>IF(A2578&lt;&gt;"",IF(AND(#REF!="Padrão",$H$4=#REF!),BDI!$B$17,IF(AND(#REF!="Padrão",$H$4=#REF!),BDI!#REF!,IF(AND(#REF!="Diferenciado",$H$4=#REF!),BDI!$E$17,IF(AND(#REF!="Diferenciado",$H$4=#REF!),BDI!#REF!,IF(#REF!="ZERO",0))))),"")</f>
        <v>#REF!</v>
      </c>
      <c r="H2578" s="138" t="str">
        <f t="shared" si="145"/>
        <v/>
      </c>
      <c r="I2578" s="136" t="str">
        <f t="shared" si="146"/>
        <v/>
      </c>
    </row>
    <row r="2579" spans="1:9" hidden="1" x14ac:dyDescent="0.25">
      <c r="A2579" s="114" t="s">
        <v>6298</v>
      </c>
      <c r="B2579" s="115" t="s">
        <v>5061</v>
      </c>
      <c r="C2579" s="116" t="s">
        <v>1994</v>
      </c>
      <c r="D2579" s="116">
        <v>0</v>
      </c>
      <c r="E2579" s="135" t="s">
        <v>558</v>
      </c>
      <c r="F2579" s="136" t="str">
        <f t="shared" si="144"/>
        <v/>
      </c>
      <c r="G2579" s="137" t="e">
        <f>IF(A2579&lt;&gt;"",IF(AND(#REF!="Padrão",$H$4=#REF!),BDI!$B$17,IF(AND(#REF!="Padrão",$H$4=#REF!),BDI!#REF!,IF(AND(#REF!="Diferenciado",$H$4=#REF!),BDI!$E$17,IF(AND(#REF!="Diferenciado",$H$4=#REF!),BDI!#REF!,IF(#REF!="ZERO",0))))),"")</f>
        <v>#REF!</v>
      </c>
      <c r="H2579" s="138" t="str">
        <f t="shared" si="145"/>
        <v/>
      </c>
      <c r="I2579" s="136" t="str">
        <f t="shared" si="146"/>
        <v/>
      </c>
    </row>
    <row r="2580" spans="1:9" hidden="1" x14ac:dyDescent="0.25">
      <c r="A2580" s="114" t="s">
        <v>6299</v>
      </c>
      <c r="B2580" s="115" t="s">
        <v>5062</v>
      </c>
      <c r="C2580" s="116" t="s">
        <v>20</v>
      </c>
      <c r="D2580" s="116">
        <v>0</v>
      </c>
      <c r="E2580" s="135" t="s">
        <v>558</v>
      </c>
      <c r="F2580" s="136" t="str">
        <f t="shared" si="144"/>
        <v/>
      </c>
      <c r="G2580" s="137" t="e">
        <f>IF(A2580&lt;&gt;"",IF(AND(#REF!="Padrão",$H$4=#REF!),BDI!$B$17,IF(AND(#REF!="Padrão",$H$4=#REF!),BDI!#REF!,IF(AND(#REF!="Diferenciado",$H$4=#REF!),BDI!$E$17,IF(AND(#REF!="Diferenciado",$H$4=#REF!),BDI!#REF!,IF(#REF!="ZERO",0))))),"")</f>
        <v>#REF!</v>
      </c>
      <c r="H2580" s="138" t="str">
        <f t="shared" si="145"/>
        <v/>
      </c>
      <c r="I2580" s="136" t="str">
        <f t="shared" si="146"/>
        <v/>
      </c>
    </row>
    <row r="2581" spans="1:9" hidden="1" x14ac:dyDescent="0.25">
      <c r="A2581" s="114" t="s">
        <v>6300</v>
      </c>
      <c r="B2581" s="115" t="s">
        <v>5063</v>
      </c>
      <c r="C2581" s="116" t="s">
        <v>20</v>
      </c>
      <c r="D2581" s="116">
        <v>0</v>
      </c>
      <c r="E2581" s="135" t="s">
        <v>558</v>
      </c>
      <c r="F2581" s="136" t="str">
        <f t="shared" si="144"/>
        <v/>
      </c>
      <c r="G2581" s="137" t="e">
        <f>IF(A2581&lt;&gt;"",IF(AND(#REF!="Padrão",$H$4=#REF!),BDI!$B$17,IF(AND(#REF!="Padrão",$H$4=#REF!),BDI!#REF!,IF(AND(#REF!="Diferenciado",$H$4=#REF!),BDI!$E$17,IF(AND(#REF!="Diferenciado",$H$4=#REF!),BDI!#REF!,IF(#REF!="ZERO",0))))),"")</f>
        <v>#REF!</v>
      </c>
      <c r="H2581" s="138" t="str">
        <f t="shared" si="145"/>
        <v/>
      </c>
      <c r="I2581" s="136" t="str">
        <f t="shared" si="146"/>
        <v/>
      </c>
    </row>
    <row r="2582" spans="1:9" hidden="1" x14ac:dyDescent="0.25">
      <c r="A2582" s="114" t="s">
        <v>6301</v>
      </c>
      <c r="B2582" s="115" t="s">
        <v>5064</v>
      </c>
      <c r="C2582" s="116" t="s">
        <v>20</v>
      </c>
      <c r="D2582" s="116">
        <v>0</v>
      </c>
      <c r="E2582" s="135" t="s">
        <v>558</v>
      </c>
      <c r="F2582" s="136" t="str">
        <f t="shared" si="144"/>
        <v/>
      </c>
      <c r="G2582" s="137" t="e">
        <f>IF(A2582&lt;&gt;"",IF(AND(#REF!="Padrão",$H$4=#REF!),BDI!$B$17,IF(AND(#REF!="Padrão",$H$4=#REF!),BDI!#REF!,IF(AND(#REF!="Diferenciado",$H$4=#REF!),BDI!$E$17,IF(AND(#REF!="Diferenciado",$H$4=#REF!),BDI!#REF!,IF(#REF!="ZERO",0))))),"")</f>
        <v>#REF!</v>
      </c>
      <c r="H2582" s="138" t="str">
        <f t="shared" si="145"/>
        <v/>
      </c>
      <c r="I2582" s="136" t="str">
        <f t="shared" si="146"/>
        <v/>
      </c>
    </row>
    <row r="2583" spans="1:9" hidden="1" x14ac:dyDescent="0.25">
      <c r="A2583" s="114" t="s">
        <v>6302</v>
      </c>
      <c r="B2583" s="115" t="s">
        <v>5065</v>
      </c>
      <c r="C2583" s="116" t="s">
        <v>20</v>
      </c>
      <c r="D2583" s="116">
        <v>0</v>
      </c>
      <c r="E2583" s="135" t="s">
        <v>558</v>
      </c>
      <c r="F2583" s="136" t="str">
        <f t="shared" si="144"/>
        <v/>
      </c>
      <c r="G2583" s="137" t="e">
        <f>IF(A2583&lt;&gt;"",IF(AND(#REF!="Padrão",$H$4=#REF!),BDI!$B$17,IF(AND(#REF!="Padrão",$H$4=#REF!),BDI!#REF!,IF(AND(#REF!="Diferenciado",$H$4=#REF!),BDI!$E$17,IF(AND(#REF!="Diferenciado",$H$4=#REF!),BDI!#REF!,IF(#REF!="ZERO",0))))),"")</f>
        <v>#REF!</v>
      </c>
      <c r="H2583" s="138" t="str">
        <f t="shared" si="145"/>
        <v/>
      </c>
      <c r="I2583" s="136" t="str">
        <f t="shared" si="146"/>
        <v/>
      </c>
    </row>
    <row r="2584" spans="1:9" hidden="1" x14ac:dyDescent="0.25">
      <c r="A2584" s="114" t="s">
        <v>6303</v>
      </c>
      <c r="B2584" s="115" t="s">
        <v>5066</v>
      </c>
      <c r="C2584" s="116" t="s">
        <v>20</v>
      </c>
      <c r="D2584" s="116">
        <v>0</v>
      </c>
      <c r="E2584" s="135" t="s">
        <v>558</v>
      </c>
      <c r="F2584" s="136" t="str">
        <f t="shared" si="144"/>
        <v/>
      </c>
      <c r="G2584" s="137" t="e">
        <f>IF(A2584&lt;&gt;"",IF(AND(#REF!="Padrão",$H$4=#REF!),BDI!$B$17,IF(AND(#REF!="Padrão",$H$4=#REF!),BDI!#REF!,IF(AND(#REF!="Diferenciado",$H$4=#REF!),BDI!$E$17,IF(AND(#REF!="Diferenciado",$H$4=#REF!),BDI!#REF!,IF(#REF!="ZERO",0))))),"")</f>
        <v>#REF!</v>
      </c>
      <c r="H2584" s="138" t="str">
        <f t="shared" si="145"/>
        <v/>
      </c>
      <c r="I2584" s="136" t="str">
        <f t="shared" si="146"/>
        <v/>
      </c>
    </row>
    <row r="2585" spans="1:9" hidden="1" x14ac:dyDescent="0.25">
      <c r="A2585" s="114" t="s">
        <v>6304</v>
      </c>
      <c r="B2585" s="115" t="s">
        <v>5067</v>
      </c>
      <c r="C2585" s="116" t="s">
        <v>20</v>
      </c>
      <c r="D2585" s="116">
        <v>0</v>
      </c>
      <c r="E2585" s="135" t="s">
        <v>558</v>
      </c>
      <c r="F2585" s="136" t="str">
        <f t="shared" si="144"/>
        <v/>
      </c>
      <c r="G2585" s="137" t="e">
        <f>IF(A2585&lt;&gt;"",IF(AND(#REF!="Padrão",$H$4=#REF!),BDI!$B$17,IF(AND(#REF!="Padrão",$H$4=#REF!),BDI!#REF!,IF(AND(#REF!="Diferenciado",$H$4=#REF!),BDI!$E$17,IF(AND(#REF!="Diferenciado",$H$4=#REF!),BDI!#REF!,IF(#REF!="ZERO",0))))),"")</f>
        <v>#REF!</v>
      </c>
      <c r="H2585" s="138" t="str">
        <f t="shared" si="145"/>
        <v/>
      </c>
      <c r="I2585" s="136" t="str">
        <f t="shared" si="146"/>
        <v/>
      </c>
    </row>
    <row r="2586" spans="1:9" hidden="1" x14ac:dyDescent="0.25">
      <c r="A2586" s="114" t="s">
        <v>6305</v>
      </c>
      <c r="B2586" s="115" t="s">
        <v>5068</v>
      </c>
      <c r="C2586" s="116" t="s">
        <v>20</v>
      </c>
      <c r="D2586" s="116">
        <v>0</v>
      </c>
      <c r="E2586" s="135" t="s">
        <v>558</v>
      </c>
      <c r="F2586" s="136" t="str">
        <f t="shared" si="144"/>
        <v/>
      </c>
      <c r="G2586" s="137" t="e">
        <f>IF(A2586&lt;&gt;"",IF(AND(#REF!="Padrão",$H$4=#REF!),BDI!$B$17,IF(AND(#REF!="Padrão",$H$4=#REF!),BDI!#REF!,IF(AND(#REF!="Diferenciado",$H$4=#REF!),BDI!$E$17,IF(AND(#REF!="Diferenciado",$H$4=#REF!),BDI!#REF!,IF(#REF!="ZERO",0))))),"")</f>
        <v>#REF!</v>
      </c>
      <c r="H2586" s="138" t="str">
        <f t="shared" si="145"/>
        <v/>
      </c>
      <c r="I2586" s="136" t="str">
        <f t="shared" si="146"/>
        <v/>
      </c>
    </row>
    <row r="2587" spans="1:9" hidden="1" x14ac:dyDescent="0.25">
      <c r="A2587" s="114" t="s">
        <v>6306</v>
      </c>
      <c r="B2587" s="115" t="s">
        <v>5069</v>
      </c>
      <c r="C2587" s="116" t="s">
        <v>5107</v>
      </c>
      <c r="D2587" s="116">
        <v>0</v>
      </c>
      <c r="E2587" s="135" t="s">
        <v>558</v>
      </c>
      <c r="F2587" s="136" t="str">
        <f t="shared" si="144"/>
        <v/>
      </c>
      <c r="G2587" s="137" t="e">
        <f>IF(A2587&lt;&gt;"",IF(AND(#REF!="Padrão",$H$4=#REF!),BDI!$B$17,IF(AND(#REF!="Padrão",$H$4=#REF!),BDI!#REF!,IF(AND(#REF!="Diferenciado",$H$4=#REF!),BDI!$E$17,IF(AND(#REF!="Diferenciado",$H$4=#REF!),BDI!#REF!,IF(#REF!="ZERO",0))))),"")</f>
        <v>#REF!</v>
      </c>
      <c r="H2587" s="138" t="str">
        <f t="shared" si="145"/>
        <v/>
      </c>
      <c r="I2587" s="136" t="str">
        <f t="shared" si="146"/>
        <v/>
      </c>
    </row>
    <row r="2588" spans="1:9" hidden="1" x14ac:dyDescent="0.25">
      <c r="A2588" s="114" t="s">
        <v>6307</v>
      </c>
      <c r="B2588" s="115" t="s">
        <v>5070</v>
      </c>
      <c r="C2588" s="116" t="s">
        <v>1994</v>
      </c>
      <c r="D2588" s="116">
        <v>0</v>
      </c>
      <c r="E2588" s="135" t="s">
        <v>558</v>
      </c>
      <c r="F2588" s="136" t="str">
        <f t="shared" si="144"/>
        <v/>
      </c>
      <c r="G2588" s="137" t="e">
        <f>IF(A2588&lt;&gt;"",IF(AND(#REF!="Padrão",$H$4=#REF!),BDI!$B$17,IF(AND(#REF!="Padrão",$H$4=#REF!),BDI!#REF!,IF(AND(#REF!="Diferenciado",$H$4=#REF!),BDI!$E$17,IF(AND(#REF!="Diferenciado",$H$4=#REF!),BDI!#REF!,IF(#REF!="ZERO",0))))),"")</f>
        <v>#REF!</v>
      </c>
      <c r="H2588" s="138" t="str">
        <f t="shared" si="145"/>
        <v/>
      </c>
      <c r="I2588" s="136" t="str">
        <f t="shared" si="146"/>
        <v/>
      </c>
    </row>
    <row r="2589" spans="1:9" hidden="1" x14ac:dyDescent="0.25">
      <c r="A2589" s="114" t="s">
        <v>6308</v>
      </c>
      <c r="B2589" s="115" t="s">
        <v>5071</v>
      </c>
      <c r="C2589" s="116" t="s">
        <v>1994</v>
      </c>
      <c r="D2589" s="116">
        <v>0</v>
      </c>
      <c r="E2589" s="135" t="s">
        <v>558</v>
      </c>
      <c r="F2589" s="136" t="str">
        <f t="shared" si="144"/>
        <v/>
      </c>
      <c r="G2589" s="137" t="e">
        <f>IF(A2589&lt;&gt;"",IF(AND(#REF!="Padrão",$H$4=#REF!),BDI!$B$17,IF(AND(#REF!="Padrão",$H$4=#REF!),BDI!#REF!,IF(AND(#REF!="Diferenciado",$H$4=#REF!),BDI!$E$17,IF(AND(#REF!="Diferenciado",$H$4=#REF!),BDI!#REF!,IF(#REF!="ZERO",0))))),"")</f>
        <v>#REF!</v>
      </c>
      <c r="H2589" s="138" t="str">
        <f t="shared" si="145"/>
        <v/>
      </c>
      <c r="I2589" s="136" t="str">
        <f t="shared" si="146"/>
        <v/>
      </c>
    </row>
    <row r="2590" spans="1:9" hidden="1" x14ac:dyDescent="0.25">
      <c r="A2590" s="114" t="s">
        <v>6309</v>
      </c>
      <c r="B2590" s="115" t="s">
        <v>5072</v>
      </c>
      <c r="C2590" s="116" t="s">
        <v>20</v>
      </c>
      <c r="D2590" s="116">
        <v>0</v>
      </c>
      <c r="E2590" s="135" t="s">
        <v>558</v>
      </c>
      <c r="F2590" s="136" t="str">
        <f t="shared" si="144"/>
        <v/>
      </c>
      <c r="G2590" s="137" t="e">
        <f>IF(A2590&lt;&gt;"",IF(AND(#REF!="Padrão",$H$4=#REF!),BDI!$B$17,IF(AND(#REF!="Padrão",$H$4=#REF!),BDI!#REF!,IF(AND(#REF!="Diferenciado",$H$4=#REF!),BDI!$E$17,IF(AND(#REF!="Diferenciado",$H$4=#REF!),BDI!#REF!,IF(#REF!="ZERO",0))))),"")</f>
        <v>#REF!</v>
      </c>
      <c r="H2590" s="138" t="str">
        <f t="shared" si="145"/>
        <v/>
      </c>
      <c r="I2590" s="136" t="str">
        <f t="shared" si="146"/>
        <v/>
      </c>
    </row>
    <row r="2591" spans="1:9" hidden="1" x14ac:dyDescent="0.25">
      <c r="A2591" s="114" t="s">
        <v>6310</v>
      </c>
      <c r="B2591" s="115" t="s">
        <v>5073</v>
      </c>
      <c r="C2591" s="116" t="s">
        <v>1994</v>
      </c>
      <c r="D2591" s="116">
        <v>0</v>
      </c>
      <c r="E2591" s="135" t="s">
        <v>558</v>
      </c>
      <c r="F2591" s="136" t="str">
        <f t="shared" si="144"/>
        <v/>
      </c>
      <c r="G2591" s="137" t="e">
        <f>IF(A2591&lt;&gt;"",IF(AND(#REF!="Padrão",$H$4=#REF!),BDI!$B$17,IF(AND(#REF!="Padrão",$H$4=#REF!),BDI!#REF!,IF(AND(#REF!="Diferenciado",$H$4=#REF!),BDI!$E$17,IF(AND(#REF!="Diferenciado",$H$4=#REF!),BDI!#REF!,IF(#REF!="ZERO",0))))),"")</f>
        <v>#REF!</v>
      </c>
      <c r="H2591" s="138" t="str">
        <f t="shared" si="145"/>
        <v/>
      </c>
      <c r="I2591" s="136" t="str">
        <f t="shared" si="146"/>
        <v/>
      </c>
    </row>
    <row r="2592" spans="1:9" hidden="1" x14ac:dyDescent="0.25">
      <c r="A2592" s="114" t="s">
        <v>6311</v>
      </c>
      <c r="B2592" s="115" t="s">
        <v>5074</v>
      </c>
      <c r="C2592" s="116" t="s">
        <v>1994</v>
      </c>
      <c r="D2592" s="116">
        <v>0</v>
      </c>
      <c r="E2592" s="135" t="s">
        <v>558</v>
      </c>
      <c r="F2592" s="136" t="str">
        <f t="shared" si="144"/>
        <v/>
      </c>
      <c r="G2592" s="137" t="e">
        <f>IF(A2592&lt;&gt;"",IF(AND(#REF!="Padrão",$H$4=#REF!),BDI!$B$17,IF(AND(#REF!="Padrão",$H$4=#REF!),BDI!#REF!,IF(AND(#REF!="Diferenciado",$H$4=#REF!),BDI!$E$17,IF(AND(#REF!="Diferenciado",$H$4=#REF!),BDI!#REF!,IF(#REF!="ZERO",0))))),"")</f>
        <v>#REF!</v>
      </c>
      <c r="H2592" s="138" t="str">
        <f t="shared" si="145"/>
        <v/>
      </c>
      <c r="I2592" s="136" t="str">
        <f t="shared" si="146"/>
        <v/>
      </c>
    </row>
    <row r="2593" spans="1:9" hidden="1" x14ac:dyDescent="0.25">
      <c r="A2593" s="114" t="s">
        <v>6312</v>
      </c>
      <c r="B2593" s="115" t="s">
        <v>5075</v>
      </c>
      <c r="C2593" s="116" t="s">
        <v>103</v>
      </c>
      <c r="D2593" s="116">
        <v>0</v>
      </c>
      <c r="E2593" s="135">
        <f ca="1">OFFSET(INDEX(Composições!A:J,MATCH(Orçamentária!A2593,Composições!A:A,0),8),2,0)</f>
        <v>111.758</v>
      </c>
      <c r="F2593" s="136">
        <f t="shared" ca="1" si="144"/>
        <v>0</v>
      </c>
      <c r="G2593" s="137" t="e">
        <f>IF(A2593&lt;&gt;"",IF(AND(#REF!="Padrão",$H$4=#REF!),BDI!$B$17,IF(AND(#REF!="Padrão",$H$4=#REF!),BDI!#REF!,IF(AND(#REF!="Diferenciado",$H$4=#REF!),BDI!$E$17,IF(AND(#REF!="Diferenciado",$H$4=#REF!),BDI!#REF!,IF(#REF!="ZERO",0))))),"")</f>
        <v>#REF!</v>
      </c>
      <c r="H2593" s="138" t="e">
        <f t="shared" ca="1" si="145"/>
        <v>#REF!</v>
      </c>
      <c r="I2593" s="136" t="e">
        <f t="shared" ca="1" si="146"/>
        <v>#REF!</v>
      </c>
    </row>
    <row r="2594" spans="1:9" hidden="1" x14ac:dyDescent="0.25">
      <c r="A2594" s="114" t="s">
        <v>6313</v>
      </c>
      <c r="B2594" s="115" t="s">
        <v>5076</v>
      </c>
      <c r="C2594" s="116" t="s">
        <v>103</v>
      </c>
      <c r="D2594" s="116">
        <v>0</v>
      </c>
      <c r="E2594" s="135" t="s">
        <v>558</v>
      </c>
      <c r="F2594" s="136" t="str">
        <f t="shared" si="144"/>
        <v/>
      </c>
      <c r="G2594" s="137" t="e">
        <f>IF(A2594&lt;&gt;"",IF(AND(#REF!="Padrão",$H$4=#REF!),BDI!$B$17,IF(AND(#REF!="Padrão",$H$4=#REF!),BDI!#REF!,IF(AND(#REF!="Diferenciado",$H$4=#REF!),BDI!$E$17,IF(AND(#REF!="Diferenciado",$H$4=#REF!),BDI!#REF!,IF(#REF!="ZERO",0))))),"")</f>
        <v>#REF!</v>
      </c>
      <c r="H2594" s="138" t="str">
        <f t="shared" si="145"/>
        <v/>
      </c>
      <c r="I2594" s="136" t="str">
        <f t="shared" si="146"/>
        <v/>
      </c>
    </row>
    <row r="2595" spans="1:9" hidden="1" x14ac:dyDescent="0.25">
      <c r="A2595" s="114" t="s">
        <v>6314</v>
      </c>
      <c r="B2595" s="115" t="s">
        <v>5077</v>
      </c>
      <c r="C2595" s="116" t="s">
        <v>95</v>
      </c>
      <c r="D2595" s="116">
        <v>0</v>
      </c>
      <c r="E2595" s="135">
        <f ca="1">OFFSET(INDEX(Composições!A:J,MATCH(Orçamentária!A2595,Composições!A:A,0),8),2,0)</f>
        <v>26.293135000000003</v>
      </c>
      <c r="F2595" s="136">
        <f t="shared" ca="1" si="144"/>
        <v>0</v>
      </c>
      <c r="G2595" s="137" t="e">
        <f>IF(A2595&lt;&gt;"",IF(AND(#REF!="Padrão",$H$4=#REF!),BDI!$B$17,IF(AND(#REF!="Padrão",$H$4=#REF!),BDI!#REF!,IF(AND(#REF!="Diferenciado",$H$4=#REF!),BDI!$E$17,IF(AND(#REF!="Diferenciado",$H$4=#REF!),BDI!#REF!,IF(#REF!="ZERO",0))))),"")</f>
        <v>#REF!</v>
      </c>
      <c r="H2595" s="138" t="e">
        <f t="shared" ca="1" si="145"/>
        <v>#REF!</v>
      </c>
      <c r="I2595" s="136" t="e">
        <f t="shared" ca="1" si="146"/>
        <v>#REF!</v>
      </c>
    </row>
    <row r="2596" spans="1:9" hidden="1" x14ac:dyDescent="0.25">
      <c r="A2596" s="114" t="s">
        <v>6315</v>
      </c>
      <c r="B2596" s="115" t="s">
        <v>5078</v>
      </c>
      <c r="C2596" s="116" t="s">
        <v>95</v>
      </c>
      <c r="D2596" s="116">
        <v>0</v>
      </c>
      <c r="E2596" s="135">
        <f ca="1">OFFSET(INDEX(Composições!A:J,MATCH(Orçamentária!A2596,Composições!A:A,0),8),2,0)</f>
        <v>25.110100000000003</v>
      </c>
      <c r="F2596" s="136">
        <f t="shared" ca="1" si="144"/>
        <v>0</v>
      </c>
      <c r="G2596" s="137" t="e">
        <f>IF(A2596&lt;&gt;"",IF(AND(#REF!="Padrão",$H$4=#REF!),BDI!$B$17,IF(AND(#REF!="Padrão",$H$4=#REF!),BDI!#REF!,IF(AND(#REF!="Diferenciado",$H$4=#REF!),BDI!$E$17,IF(AND(#REF!="Diferenciado",$H$4=#REF!),BDI!#REF!,IF(#REF!="ZERO",0))))),"")</f>
        <v>#REF!</v>
      </c>
      <c r="H2596" s="138" t="e">
        <f t="shared" ca="1" si="145"/>
        <v>#REF!</v>
      </c>
      <c r="I2596" s="136" t="e">
        <f t="shared" ca="1" si="146"/>
        <v>#REF!</v>
      </c>
    </row>
    <row r="2597" spans="1:9" hidden="1" x14ac:dyDescent="0.25">
      <c r="A2597" s="114" t="s">
        <v>6316</v>
      </c>
      <c r="B2597" s="115" t="s">
        <v>5079</v>
      </c>
      <c r="C2597" s="116" t="s">
        <v>93</v>
      </c>
      <c r="D2597" s="116">
        <v>0</v>
      </c>
      <c r="E2597" s="135">
        <f ca="1">OFFSET(INDEX(Composições!A:J,MATCH(Orçamentária!A2597,Composições!A:A,0),8),2,0)</f>
        <v>9.6569903500000009</v>
      </c>
      <c r="F2597" s="136">
        <f t="shared" ca="1" si="144"/>
        <v>0</v>
      </c>
      <c r="G2597" s="137" t="e">
        <f>IF(A2597&lt;&gt;"",IF(AND(#REF!="Padrão",$H$4=#REF!),BDI!$B$17,IF(AND(#REF!="Padrão",$H$4=#REF!),BDI!#REF!,IF(AND(#REF!="Diferenciado",$H$4=#REF!),BDI!$E$17,IF(AND(#REF!="Diferenciado",$H$4=#REF!),BDI!#REF!,IF(#REF!="ZERO",0))))),"")</f>
        <v>#REF!</v>
      </c>
      <c r="H2597" s="138" t="e">
        <f t="shared" ca="1" si="145"/>
        <v>#REF!</v>
      </c>
      <c r="I2597" s="136" t="e">
        <f t="shared" ca="1" si="146"/>
        <v>#REF!</v>
      </c>
    </row>
    <row r="2598" spans="1:9" hidden="1" x14ac:dyDescent="0.25">
      <c r="A2598" s="114" t="s">
        <v>6317</v>
      </c>
      <c r="B2598" s="115" t="s">
        <v>5080</v>
      </c>
      <c r="C2598" s="116" t="s">
        <v>95</v>
      </c>
      <c r="D2598" s="116">
        <v>0</v>
      </c>
      <c r="E2598" s="135">
        <f ca="1">OFFSET(INDEX(Composições!A:J,MATCH(Orçamentária!A2598,Composições!A:A,0),8),2,0)</f>
        <v>28.081999999999997</v>
      </c>
      <c r="F2598" s="136">
        <f t="shared" ca="1" si="144"/>
        <v>0</v>
      </c>
      <c r="G2598" s="137" t="e">
        <f>IF(A2598&lt;&gt;"",IF(AND(#REF!="Padrão",$H$4=#REF!),BDI!$B$17,IF(AND(#REF!="Padrão",$H$4=#REF!),BDI!#REF!,IF(AND(#REF!="Diferenciado",$H$4=#REF!),BDI!$E$17,IF(AND(#REF!="Diferenciado",$H$4=#REF!),BDI!#REF!,IF(#REF!="ZERO",0))))),"")</f>
        <v>#REF!</v>
      </c>
      <c r="H2598" s="138" t="e">
        <f t="shared" ca="1" si="145"/>
        <v>#REF!</v>
      </c>
      <c r="I2598" s="136" t="e">
        <f t="shared" ca="1" si="146"/>
        <v>#REF!</v>
      </c>
    </row>
    <row r="2599" spans="1:9" hidden="1" x14ac:dyDescent="0.25">
      <c r="A2599" s="114" t="s">
        <v>6318</v>
      </c>
      <c r="B2599" s="115" t="s">
        <v>5081</v>
      </c>
      <c r="C2599" s="116" t="s">
        <v>95</v>
      </c>
      <c r="D2599" s="116">
        <v>0</v>
      </c>
      <c r="E2599" s="135">
        <f ca="1">OFFSET(INDEX(Composições!A:J,MATCH(Orçamentária!A2599,Composições!A:A,0),8),2,0)</f>
        <v>50.786999999999992</v>
      </c>
      <c r="F2599" s="136">
        <f t="shared" ca="1" si="144"/>
        <v>0</v>
      </c>
      <c r="G2599" s="137" t="e">
        <f>IF(A2599&lt;&gt;"",IF(AND(#REF!="Padrão",$H$4=#REF!),BDI!$B$17,IF(AND(#REF!="Padrão",$H$4=#REF!),BDI!#REF!,IF(AND(#REF!="Diferenciado",$H$4=#REF!),BDI!$E$17,IF(AND(#REF!="Diferenciado",$H$4=#REF!),BDI!#REF!,IF(#REF!="ZERO",0))))),"")</f>
        <v>#REF!</v>
      </c>
      <c r="H2599" s="138" t="e">
        <f t="shared" ca="1" si="145"/>
        <v>#REF!</v>
      </c>
      <c r="I2599" s="136" t="e">
        <f t="shared" ca="1" si="146"/>
        <v>#REF!</v>
      </c>
    </row>
    <row r="2600" spans="1:9" hidden="1" x14ac:dyDescent="0.25">
      <c r="A2600" s="114" t="s">
        <v>6319</v>
      </c>
      <c r="B2600" s="115" t="s">
        <v>5082</v>
      </c>
      <c r="C2600" s="116" t="s">
        <v>110</v>
      </c>
      <c r="D2600" s="116">
        <v>0</v>
      </c>
      <c r="E2600" s="135">
        <f ca="1">OFFSET(INDEX(Composições!A:J,MATCH(Orçamentária!A2600,Composições!A:A,0),8),2,0)</f>
        <v>249.99562264999997</v>
      </c>
      <c r="F2600" s="136">
        <f t="shared" ca="1" si="144"/>
        <v>0</v>
      </c>
      <c r="G2600" s="137" t="e">
        <f>IF(A2600&lt;&gt;"",IF(AND(#REF!="Padrão",$H$4=#REF!),BDI!$B$17,IF(AND(#REF!="Padrão",$H$4=#REF!),BDI!#REF!,IF(AND(#REF!="Diferenciado",$H$4=#REF!),BDI!$E$17,IF(AND(#REF!="Diferenciado",$H$4=#REF!),BDI!#REF!,IF(#REF!="ZERO",0))))),"")</f>
        <v>#REF!</v>
      </c>
      <c r="H2600" s="138" t="e">
        <f t="shared" ca="1" si="145"/>
        <v>#REF!</v>
      </c>
      <c r="I2600" s="136" t="e">
        <f t="shared" ca="1" si="146"/>
        <v>#REF!</v>
      </c>
    </row>
    <row r="2601" spans="1:9" hidden="1" x14ac:dyDescent="0.25">
      <c r="A2601" s="114" t="s">
        <v>6320</v>
      </c>
      <c r="B2601" s="115" t="s">
        <v>5083</v>
      </c>
      <c r="C2601" s="116" t="s">
        <v>42</v>
      </c>
      <c r="D2601" s="116">
        <v>0</v>
      </c>
      <c r="E2601" s="135">
        <f ca="1">OFFSET(INDEX(Composições!A:J,MATCH(Orçamentária!A2601,Composições!A:A,0),8),2,0)</f>
        <v>15.117023200000002</v>
      </c>
      <c r="F2601" s="136">
        <f t="shared" ca="1" si="144"/>
        <v>0</v>
      </c>
      <c r="G2601" s="137" t="e">
        <f>IF(A2601&lt;&gt;"",IF(AND(#REF!="Padrão",$H$4=#REF!),BDI!$B$17,IF(AND(#REF!="Padrão",$H$4=#REF!),BDI!#REF!,IF(AND(#REF!="Diferenciado",$H$4=#REF!),BDI!$E$17,IF(AND(#REF!="Diferenciado",$H$4=#REF!),BDI!#REF!,IF(#REF!="ZERO",0))))),"")</f>
        <v>#REF!</v>
      </c>
      <c r="H2601" s="138" t="e">
        <f t="shared" ca="1" si="145"/>
        <v>#REF!</v>
      </c>
      <c r="I2601" s="136" t="e">
        <f t="shared" ca="1" si="146"/>
        <v>#REF!</v>
      </c>
    </row>
    <row r="2602" spans="1:9" hidden="1" x14ac:dyDescent="0.25">
      <c r="A2602" s="114" t="s">
        <v>6321</v>
      </c>
      <c r="B2602" s="115" t="s">
        <v>5084</v>
      </c>
      <c r="C2602" s="116" t="s">
        <v>110</v>
      </c>
      <c r="D2602" s="116">
        <v>0</v>
      </c>
      <c r="E2602" s="135">
        <f ca="1">OFFSET(INDEX(Composições!A:J,MATCH(Orçamentária!A2602,Composições!A:A,0),8),2,0)</f>
        <v>724.10108888026684</v>
      </c>
      <c r="F2602" s="136">
        <f t="shared" ca="1" si="144"/>
        <v>0</v>
      </c>
      <c r="G2602" s="137" t="e">
        <f>IF(A2602&lt;&gt;"",IF(AND(#REF!="Padrão",$H$4=#REF!),BDI!$B$17,IF(AND(#REF!="Padrão",$H$4=#REF!),BDI!#REF!,IF(AND(#REF!="Diferenciado",$H$4=#REF!),BDI!$E$17,IF(AND(#REF!="Diferenciado",$H$4=#REF!),BDI!#REF!,IF(#REF!="ZERO",0))))),"")</f>
        <v>#REF!</v>
      </c>
      <c r="H2602" s="138" t="e">
        <f t="shared" ca="1" si="145"/>
        <v>#REF!</v>
      </c>
      <c r="I2602" s="136" t="e">
        <f t="shared" ca="1" si="146"/>
        <v>#REF!</v>
      </c>
    </row>
    <row r="2603" spans="1:9" hidden="1" x14ac:dyDescent="0.25">
      <c r="A2603" s="114" t="s">
        <v>6322</v>
      </c>
      <c r="B2603" s="115" t="s">
        <v>5085</v>
      </c>
      <c r="C2603" s="116" t="s">
        <v>20</v>
      </c>
      <c r="D2603" s="116">
        <v>0</v>
      </c>
      <c r="E2603" s="135">
        <f ca="1">OFFSET(INDEX(Composições!A:J,MATCH(Orçamentária!A2603,Composições!A:A,0),8),2,0)</f>
        <v>52.680625500000005</v>
      </c>
      <c r="F2603" s="136">
        <f t="shared" ca="1" si="144"/>
        <v>0</v>
      </c>
      <c r="G2603" s="137" t="e">
        <f>IF(A2603&lt;&gt;"",IF(AND(#REF!="Padrão",$H$4=#REF!),BDI!$B$17,IF(AND(#REF!="Padrão",$H$4=#REF!),BDI!#REF!,IF(AND(#REF!="Diferenciado",$H$4=#REF!),BDI!$E$17,IF(AND(#REF!="Diferenciado",$H$4=#REF!),BDI!#REF!,IF(#REF!="ZERO",0))))),"")</f>
        <v>#REF!</v>
      </c>
      <c r="H2603" s="138" t="e">
        <f t="shared" ca="1" si="145"/>
        <v>#REF!</v>
      </c>
      <c r="I2603" s="136" t="e">
        <f t="shared" ca="1" si="146"/>
        <v>#REF!</v>
      </c>
    </row>
    <row r="2604" spans="1:9" hidden="1" x14ac:dyDescent="0.25">
      <c r="A2604" s="114" t="s">
        <v>6323</v>
      </c>
      <c r="B2604" s="115" t="s">
        <v>5086</v>
      </c>
      <c r="C2604" s="116" t="s">
        <v>95</v>
      </c>
      <c r="D2604" s="116">
        <v>0</v>
      </c>
      <c r="E2604" s="135">
        <f ca="1">OFFSET(INDEX(Composições!A:J,MATCH(Orçamentária!A2604,Composições!A:A,0),8),2,0)</f>
        <v>55.130399999999995</v>
      </c>
      <c r="F2604" s="136">
        <f t="shared" ca="1" si="144"/>
        <v>0</v>
      </c>
      <c r="G2604" s="137" t="e">
        <f>IF(A2604&lt;&gt;"",IF(AND(#REF!="Padrão",$H$4=#REF!),BDI!$B$17,IF(AND(#REF!="Padrão",$H$4=#REF!),BDI!#REF!,IF(AND(#REF!="Diferenciado",$H$4=#REF!),BDI!$E$17,IF(AND(#REF!="Diferenciado",$H$4=#REF!),BDI!#REF!,IF(#REF!="ZERO",0))))),"")</f>
        <v>#REF!</v>
      </c>
      <c r="H2604" s="138" t="e">
        <f t="shared" ca="1" si="145"/>
        <v>#REF!</v>
      </c>
      <c r="I2604" s="136" t="e">
        <f t="shared" ca="1" si="146"/>
        <v>#REF!</v>
      </c>
    </row>
    <row r="2605" spans="1:9" hidden="1" x14ac:dyDescent="0.25">
      <c r="A2605" s="114" t="s">
        <v>6324</v>
      </c>
      <c r="B2605" s="115" t="s">
        <v>5087</v>
      </c>
      <c r="C2605" s="116" t="s">
        <v>93</v>
      </c>
      <c r="D2605" s="116">
        <v>0</v>
      </c>
      <c r="E2605" s="135">
        <f ca="1">OFFSET(INDEX(Composições!A:J,MATCH(Orçamentária!A2605,Composições!A:A,0),8),2,0)</f>
        <v>108.25547550006159</v>
      </c>
      <c r="F2605" s="136">
        <f t="shared" ref="F2605:F2623" ca="1" si="147">IF(ISNUMBER(E2605),D2605*E2605,"")</f>
        <v>0</v>
      </c>
      <c r="G2605" s="137" t="e">
        <f>IF(A2605&lt;&gt;"",IF(AND(#REF!="Padrão",$H$4=#REF!),BDI!$B$17,IF(AND(#REF!="Padrão",$H$4=#REF!),BDI!#REF!,IF(AND(#REF!="Diferenciado",$H$4=#REF!),BDI!$E$17,IF(AND(#REF!="Diferenciado",$H$4=#REF!),BDI!#REF!,IF(#REF!="ZERO",0))))),"")</f>
        <v>#REF!</v>
      </c>
      <c r="H2605" s="138" t="e">
        <f t="shared" ref="H2605:H2623" ca="1" si="148">IF(ISNUMBER(E2605),ROUND(E2605*(1+G2605),2),"")</f>
        <v>#REF!</v>
      </c>
      <c r="I2605" s="136" t="e">
        <f t="shared" ref="I2605:I2623" ca="1" si="149">IF(ISNUMBER(E2605),ROUND(H2605*D2605,2),"")</f>
        <v>#REF!</v>
      </c>
    </row>
    <row r="2606" spans="1:9" hidden="1" x14ac:dyDescent="0.25">
      <c r="A2606" s="114" t="s">
        <v>6325</v>
      </c>
      <c r="B2606" s="115" t="s">
        <v>5088</v>
      </c>
      <c r="C2606" s="116" t="s">
        <v>20</v>
      </c>
      <c r="D2606" s="116">
        <v>0</v>
      </c>
      <c r="E2606" s="135">
        <f ca="1">OFFSET(INDEX(Composições!A:J,MATCH(Orçamentária!A2606,Composições!A:A,0),8),2,0)</f>
        <v>11.89115</v>
      </c>
      <c r="F2606" s="136">
        <f t="shared" ca="1" si="147"/>
        <v>0</v>
      </c>
      <c r="G2606" s="137" t="e">
        <f>IF(A2606&lt;&gt;"",IF(AND(#REF!="Padrão",$H$4=#REF!),BDI!$B$17,IF(AND(#REF!="Padrão",$H$4=#REF!),BDI!#REF!,IF(AND(#REF!="Diferenciado",$H$4=#REF!),BDI!$E$17,IF(AND(#REF!="Diferenciado",$H$4=#REF!),BDI!#REF!,IF(#REF!="ZERO",0))))),"")</f>
        <v>#REF!</v>
      </c>
      <c r="H2606" s="138" t="e">
        <f t="shared" ca="1" si="148"/>
        <v>#REF!</v>
      </c>
      <c r="I2606" s="136" t="e">
        <f t="shared" ca="1" si="149"/>
        <v>#REF!</v>
      </c>
    </row>
    <row r="2607" spans="1:9" hidden="1" x14ac:dyDescent="0.25">
      <c r="A2607" s="114" t="s">
        <v>6326</v>
      </c>
      <c r="B2607" s="115" t="s">
        <v>5089</v>
      </c>
      <c r="C2607" s="116" t="s">
        <v>20</v>
      </c>
      <c r="D2607" s="116">
        <v>0</v>
      </c>
      <c r="E2607" s="135">
        <f ca="1">OFFSET(INDEX(Composições!A:J,MATCH(Orçamentária!A2607,Composições!A:A,0),8),2,0)</f>
        <v>61.995263399999999</v>
      </c>
      <c r="F2607" s="136">
        <f t="shared" ca="1" si="147"/>
        <v>0</v>
      </c>
      <c r="G2607" s="137" t="e">
        <f>IF(A2607&lt;&gt;"",IF(AND(#REF!="Padrão",$H$4=#REF!),BDI!$B$17,IF(AND(#REF!="Padrão",$H$4=#REF!),BDI!#REF!,IF(AND(#REF!="Diferenciado",$H$4=#REF!),BDI!$E$17,IF(AND(#REF!="Diferenciado",$H$4=#REF!),BDI!#REF!,IF(#REF!="ZERO",0))))),"")</f>
        <v>#REF!</v>
      </c>
      <c r="H2607" s="138" t="e">
        <f t="shared" ca="1" si="148"/>
        <v>#REF!</v>
      </c>
      <c r="I2607" s="136" t="e">
        <f t="shared" ca="1" si="149"/>
        <v>#REF!</v>
      </c>
    </row>
    <row r="2608" spans="1:9" hidden="1" x14ac:dyDescent="0.25">
      <c r="A2608" s="114" t="s">
        <v>6327</v>
      </c>
      <c r="B2608" s="115" t="s">
        <v>5090</v>
      </c>
      <c r="C2608" s="116" t="s">
        <v>110</v>
      </c>
      <c r="D2608" s="116">
        <v>0</v>
      </c>
      <c r="E2608" s="135">
        <f ca="1">OFFSET(INDEX(Composições!A:J,MATCH(Orçamentária!A2608,Composições!A:A,0),8),2,0)</f>
        <v>380.877724</v>
      </c>
      <c r="F2608" s="136">
        <f t="shared" ca="1" si="147"/>
        <v>0</v>
      </c>
      <c r="G2608" s="137" t="e">
        <f>IF(A2608&lt;&gt;"",IF(AND(#REF!="Padrão",$H$4=#REF!),BDI!$B$17,IF(AND(#REF!="Padrão",$H$4=#REF!),BDI!#REF!,IF(AND(#REF!="Diferenciado",$H$4=#REF!),BDI!$E$17,IF(AND(#REF!="Diferenciado",$H$4=#REF!),BDI!#REF!,IF(#REF!="ZERO",0))))),"")</f>
        <v>#REF!</v>
      </c>
      <c r="H2608" s="138" t="e">
        <f t="shared" ca="1" si="148"/>
        <v>#REF!</v>
      </c>
      <c r="I2608" s="136" t="e">
        <f t="shared" ca="1" si="149"/>
        <v>#REF!</v>
      </c>
    </row>
    <row r="2609" spans="1:9" hidden="1" x14ac:dyDescent="0.25">
      <c r="A2609" s="114" t="s">
        <v>6328</v>
      </c>
      <c r="B2609" s="115" t="s">
        <v>5091</v>
      </c>
      <c r="C2609" s="116" t="s">
        <v>93</v>
      </c>
      <c r="D2609" s="116">
        <v>0</v>
      </c>
      <c r="E2609" s="135">
        <f ca="1">OFFSET(INDEX(Composições!A:J,MATCH(Orçamentária!A2609,Composições!A:A,0),8),2,0)</f>
        <v>83.899700612740006</v>
      </c>
      <c r="F2609" s="136">
        <f t="shared" ca="1" si="147"/>
        <v>0</v>
      </c>
      <c r="G2609" s="137" t="e">
        <f>IF(A2609&lt;&gt;"",IF(AND(#REF!="Padrão",$H$4=#REF!),BDI!$B$17,IF(AND(#REF!="Padrão",$H$4=#REF!),BDI!#REF!,IF(AND(#REF!="Diferenciado",$H$4=#REF!),BDI!$E$17,IF(AND(#REF!="Diferenciado",$H$4=#REF!),BDI!#REF!,IF(#REF!="ZERO",0))))),"")</f>
        <v>#REF!</v>
      </c>
      <c r="H2609" s="138" t="e">
        <f t="shared" ca="1" si="148"/>
        <v>#REF!</v>
      </c>
      <c r="I2609" s="136" t="e">
        <f t="shared" ca="1" si="149"/>
        <v>#REF!</v>
      </c>
    </row>
    <row r="2610" spans="1:9" hidden="1" x14ac:dyDescent="0.25">
      <c r="A2610" s="114" t="s">
        <v>6329</v>
      </c>
      <c r="B2610" s="115" t="s">
        <v>6585</v>
      </c>
      <c r="C2610" s="116" t="s">
        <v>20</v>
      </c>
      <c r="D2610" s="116">
        <v>0</v>
      </c>
      <c r="E2610" s="135" t="s">
        <v>558</v>
      </c>
      <c r="F2610" s="136" t="str">
        <f t="shared" ref="F2610" si="150">IF(ISNUMBER(E2610),D2610*E2610,"")</f>
        <v/>
      </c>
      <c r="G2610" s="137" t="e">
        <f>IF(A2610&lt;&gt;"",IF(AND(#REF!="Padrão",$H$4=#REF!),BDI!$B$17,IF(AND(#REF!="Padrão",$H$4=#REF!),BDI!#REF!,IF(AND(#REF!="Diferenciado",$H$4=#REF!),BDI!$E$17,IF(AND(#REF!="Diferenciado",$H$4=#REF!),BDI!#REF!,IF(#REF!="ZERO",0))))),"")</f>
        <v>#REF!</v>
      </c>
      <c r="H2610" s="138" t="str">
        <f t="shared" ref="H2610" si="151">IF(ISNUMBER(E2610),ROUND(E2610*(1+G2610),2),"")</f>
        <v/>
      </c>
      <c r="I2610" s="136" t="str">
        <f t="shared" ref="I2610" si="152">IF(ISNUMBER(E2610),ROUND(H2610*D2610,2),"")</f>
        <v/>
      </c>
    </row>
    <row r="2611" spans="1:9" hidden="1" x14ac:dyDescent="0.25">
      <c r="A2611" s="114" t="s">
        <v>6330</v>
      </c>
      <c r="B2611" s="115" t="s">
        <v>5092</v>
      </c>
      <c r="C2611" s="116" t="s">
        <v>42</v>
      </c>
      <c r="D2611" s="116">
        <v>0</v>
      </c>
      <c r="E2611" s="135">
        <f ca="1">OFFSET(INDEX(Composições!A:J,MATCH(Orçamentária!A2611,Composições!A:A,0),8),2,0)</f>
        <v>17.612291300000003</v>
      </c>
      <c r="F2611" s="136">
        <f t="shared" ca="1" si="147"/>
        <v>0</v>
      </c>
      <c r="G2611" s="137" t="e">
        <f>IF(A2611&lt;&gt;"",IF(AND(#REF!="Padrão",$H$4=#REF!),BDI!$B$17,IF(AND(#REF!="Padrão",$H$4=#REF!),BDI!#REF!,IF(AND(#REF!="Diferenciado",$H$4=#REF!),BDI!$E$17,IF(AND(#REF!="Diferenciado",$H$4=#REF!),BDI!#REF!,IF(#REF!="ZERO",0))))),"")</f>
        <v>#REF!</v>
      </c>
      <c r="H2611" s="138" t="e">
        <f t="shared" ca="1" si="148"/>
        <v>#REF!</v>
      </c>
      <c r="I2611" s="136" t="e">
        <f t="shared" ca="1" si="149"/>
        <v>#REF!</v>
      </c>
    </row>
    <row r="2612" spans="1:9" hidden="1" x14ac:dyDescent="0.25">
      <c r="A2612" s="114" t="s">
        <v>6331</v>
      </c>
      <c r="B2612" s="115" t="s">
        <v>5093</v>
      </c>
      <c r="C2612" s="116" t="s">
        <v>95</v>
      </c>
      <c r="D2612" s="116">
        <v>0</v>
      </c>
      <c r="E2612" s="135">
        <f ca="1">OFFSET(INDEX(Composições!A:J,MATCH(Orçamentária!A2612,Composições!A:A,0),8),2,0)</f>
        <v>58.321170699999996</v>
      </c>
      <c r="F2612" s="136">
        <f t="shared" ca="1" si="147"/>
        <v>0</v>
      </c>
      <c r="G2612" s="137" t="e">
        <f>IF(A2612&lt;&gt;"",IF(AND(#REF!="Padrão",$H$4=#REF!),BDI!$B$17,IF(AND(#REF!="Padrão",$H$4=#REF!),BDI!#REF!,IF(AND(#REF!="Diferenciado",$H$4=#REF!),BDI!$E$17,IF(AND(#REF!="Diferenciado",$H$4=#REF!),BDI!#REF!,IF(#REF!="ZERO",0))))),"")</f>
        <v>#REF!</v>
      </c>
      <c r="H2612" s="138" t="e">
        <f t="shared" ca="1" si="148"/>
        <v>#REF!</v>
      </c>
      <c r="I2612" s="136" t="e">
        <f t="shared" ca="1" si="149"/>
        <v>#REF!</v>
      </c>
    </row>
    <row r="2613" spans="1:9" hidden="1" x14ac:dyDescent="0.25">
      <c r="A2613" s="114" t="s">
        <v>6332</v>
      </c>
      <c r="B2613" s="115" t="s">
        <v>5094</v>
      </c>
      <c r="C2613" s="116" t="s">
        <v>93</v>
      </c>
      <c r="D2613" s="116">
        <v>0</v>
      </c>
      <c r="E2613" s="135">
        <f ca="1">OFFSET(INDEX(Composições!A:J,MATCH(Orçamentária!A2613,Composições!A:A,0),8),2,0)</f>
        <v>76.82302679999998</v>
      </c>
      <c r="F2613" s="136">
        <f t="shared" ca="1" si="147"/>
        <v>0</v>
      </c>
      <c r="G2613" s="137" t="e">
        <f>IF(A2613&lt;&gt;"",IF(AND(#REF!="Padrão",$H$4=#REF!),BDI!$B$17,IF(AND(#REF!="Padrão",$H$4=#REF!),BDI!#REF!,IF(AND(#REF!="Diferenciado",$H$4=#REF!),BDI!$E$17,IF(AND(#REF!="Diferenciado",$H$4=#REF!),BDI!#REF!,IF(#REF!="ZERO",0))))),"")</f>
        <v>#REF!</v>
      </c>
      <c r="H2613" s="138" t="e">
        <f t="shared" ca="1" si="148"/>
        <v>#REF!</v>
      </c>
      <c r="I2613" s="136" t="e">
        <f t="shared" ca="1" si="149"/>
        <v>#REF!</v>
      </c>
    </row>
    <row r="2614" spans="1:9" hidden="1" x14ac:dyDescent="0.25">
      <c r="A2614" s="114" t="s">
        <v>6333</v>
      </c>
      <c r="B2614" s="115" t="s">
        <v>5095</v>
      </c>
      <c r="C2614" s="116" t="s">
        <v>95</v>
      </c>
      <c r="D2614" s="116">
        <v>0</v>
      </c>
      <c r="E2614" s="135">
        <f ca="1">OFFSET(INDEX(Composições!A:J,MATCH(Orçamentária!A2614,Composições!A:A,0),8),2,0)</f>
        <v>72.654498981402796</v>
      </c>
      <c r="F2614" s="136">
        <f t="shared" ca="1" si="147"/>
        <v>0</v>
      </c>
      <c r="G2614" s="137" t="e">
        <f>IF(A2614&lt;&gt;"",IF(AND(#REF!="Padrão",$H$4=#REF!),BDI!$B$17,IF(AND(#REF!="Padrão",$H$4=#REF!),BDI!#REF!,IF(AND(#REF!="Diferenciado",$H$4=#REF!),BDI!$E$17,IF(AND(#REF!="Diferenciado",$H$4=#REF!),BDI!#REF!,IF(#REF!="ZERO",0))))),"")</f>
        <v>#REF!</v>
      </c>
      <c r="H2614" s="138" t="e">
        <f t="shared" ca="1" si="148"/>
        <v>#REF!</v>
      </c>
      <c r="I2614" s="136" t="e">
        <f t="shared" ca="1" si="149"/>
        <v>#REF!</v>
      </c>
    </row>
    <row r="2615" spans="1:9" hidden="1" x14ac:dyDescent="0.25">
      <c r="A2615" s="114" t="s">
        <v>6334</v>
      </c>
      <c r="B2615" s="115" t="s">
        <v>5096</v>
      </c>
      <c r="C2615" s="116" t="s">
        <v>20</v>
      </c>
      <c r="D2615" s="116">
        <v>0</v>
      </c>
      <c r="E2615" s="135">
        <f ca="1">OFFSET(INDEX(Composições!A:J,MATCH(Orçamentária!A2615,Composições!A:A,0),8),2,0)</f>
        <v>1204.9454319422937</v>
      </c>
      <c r="F2615" s="136">
        <f t="shared" ca="1" si="147"/>
        <v>0</v>
      </c>
      <c r="G2615" s="137" t="e">
        <f>IF(A2615&lt;&gt;"",IF(AND(#REF!="Padrão",$H$4=#REF!),BDI!$B$17,IF(AND(#REF!="Padrão",$H$4=#REF!),BDI!#REF!,IF(AND(#REF!="Diferenciado",$H$4=#REF!),BDI!$E$17,IF(AND(#REF!="Diferenciado",$H$4=#REF!),BDI!#REF!,IF(#REF!="ZERO",0))))),"")</f>
        <v>#REF!</v>
      </c>
      <c r="H2615" s="138" t="e">
        <f t="shared" ca="1" si="148"/>
        <v>#REF!</v>
      </c>
      <c r="I2615" s="136" t="e">
        <f t="shared" ca="1" si="149"/>
        <v>#REF!</v>
      </c>
    </row>
    <row r="2616" spans="1:9" hidden="1" x14ac:dyDescent="0.25">
      <c r="A2616" s="114" t="s">
        <v>6335</v>
      </c>
      <c r="B2616" s="115" t="s">
        <v>5097</v>
      </c>
      <c r="C2616" s="116" t="s">
        <v>93</v>
      </c>
      <c r="D2616" s="116">
        <v>0</v>
      </c>
      <c r="E2616" s="135">
        <f ca="1">OFFSET(INDEX(Composições!A:J,MATCH(Orçamentária!A2616,Composições!A:A,0),8),2,0)</f>
        <v>14.040999999999999</v>
      </c>
      <c r="F2616" s="136">
        <f t="shared" ca="1" si="147"/>
        <v>0</v>
      </c>
      <c r="G2616" s="137" t="e">
        <f>IF(A2616&lt;&gt;"",IF(AND(#REF!="Padrão",$H$4=#REF!),BDI!$B$17,IF(AND(#REF!="Padrão",$H$4=#REF!),BDI!#REF!,IF(AND(#REF!="Diferenciado",$H$4=#REF!),BDI!$E$17,IF(AND(#REF!="Diferenciado",$H$4=#REF!),BDI!#REF!,IF(#REF!="ZERO",0))))),"")</f>
        <v>#REF!</v>
      </c>
      <c r="H2616" s="138" t="e">
        <f t="shared" ca="1" si="148"/>
        <v>#REF!</v>
      </c>
      <c r="I2616" s="136" t="e">
        <f t="shared" ca="1" si="149"/>
        <v>#REF!</v>
      </c>
    </row>
    <row r="2617" spans="1:9" hidden="1" x14ac:dyDescent="0.25">
      <c r="A2617" s="114" t="s">
        <v>6336</v>
      </c>
      <c r="B2617" s="115" t="s">
        <v>5098</v>
      </c>
      <c r="C2617" s="116" t="s">
        <v>20</v>
      </c>
      <c r="D2617" s="116">
        <v>0</v>
      </c>
      <c r="E2617" s="135">
        <f ca="1">OFFSET(INDEX(Composições!A:J,MATCH(Orçamentária!A2617,Composições!A:A,0),8),2,0)</f>
        <v>120.48376614999999</v>
      </c>
      <c r="F2617" s="136">
        <f t="shared" ca="1" si="147"/>
        <v>0</v>
      </c>
      <c r="G2617" s="137" t="e">
        <f>IF(A2617&lt;&gt;"",IF(AND(#REF!="Padrão",$H$4=#REF!),BDI!$B$17,IF(AND(#REF!="Padrão",$H$4=#REF!),BDI!#REF!,IF(AND(#REF!="Diferenciado",$H$4=#REF!),BDI!$E$17,IF(AND(#REF!="Diferenciado",$H$4=#REF!),BDI!#REF!,IF(#REF!="ZERO",0))))),"")</f>
        <v>#REF!</v>
      </c>
      <c r="H2617" s="138" t="e">
        <f t="shared" ca="1" si="148"/>
        <v>#REF!</v>
      </c>
      <c r="I2617" s="136" t="e">
        <f t="shared" ca="1" si="149"/>
        <v>#REF!</v>
      </c>
    </row>
    <row r="2618" spans="1:9" hidden="1" x14ac:dyDescent="0.25">
      <c r="A2618" s="114" t="s">
        <v>6337</v>
      </c>
      <c r="B2618" s="115" t="s">
        <v>5099</v>
      </c>
      <c r="C2618" s="116" t="s">
        <v>95</v>
      </c>
      <c r="D2618" s="116">
        <v>0</v>
      </c>
      <c r="E2618" s="135">
        <f ca="1">OFFSET(INDEX(Composições!A:J,MATCH(Orçamentária!A2618,Composições!A:A,0),8),2,0)</f>
        <v>2.8112941499999997</v>
      </c>
      <c r="F2618" s="136">
        <f t="shared" ca="1" si="147"/>
        <v>0</v>
      </c>
      <c r="G2618" s="137" t="e">
        <f>IF(A2618&lt;&gt;"",IF(AND(#REF!="Padrão",$H$4=#REF!),BDI!$B$17,IF(AND(#REF!="Padrão",$H$4=#REF!),BDI!#REF!,IF(AND(#REF!="Diferenciado",$H$4=#REF!),BDI!$E$17,IF(AND(#REF!="Diferenciado",$H$4=#REF!),BDI!#REF!,IF(#REF!="ZERO",0))))),"")</f>
        <v>#REF!</v>
      </c>
      <c r="H2618" s="138" t="e">
        <f t="shared" ca="1" si="148"/>
        <v>#REF!</v>
      </c>
      <c r="I2618" s="136" t="e">
        <f t="shared" ca="1" si="149"/>
        <v>#REF!</v>
      </c>
    </row>
    <row r="2619" spans="1:9" hidden="1" x14ac:dyDescent="0.25">
      <c r="A2619" s="114" t="s">
        <v>6338</v>
      </c>
      <c r="B2619" s="115" t="s">
        <v>5100</v>
      </c>
      <c r="C2619" s="116" t="s">
        <v>93</v>
      </c>
      <c r="D2619" s="116">
        <v>0</v>
      </c>
      <c r="E2619" s="135">
        <f ca="1">OFFSET(INDEX(Composições!A:J,MATCH(Orçamentária!A2619,Composições!A:A,0),8),2,0)</f>
        <v>49.94245310645686</v>
      </c>
      <c r="F2619" s="136">
        <f t="shared" ca="1" si="147"/>
        <v>0</v>
      </c>
      <c r="G2619" s="137" t="e">
        <f>IF(A2619&lt;&gt;"",IF(AND(#REF!="Padrão",$H$4=#REF!),BDI!$B$17,IF(AND(#REF!="Padrão",$H$4=#REF!),BDI!#REF!,IF(AND(#REF!="Diferenciado",$H$4=#REF!),BDI!$E$17,IF(AND(#REF!="Diferenciado",$H$4=#REF!),BDI!#REF!,IF(#REF!="ZERO",0))))),"")</f>
        <v>#REF!</v>
      </c>
      <c r="H2619" s="138" t="e">
        <f t="shared" ca="1" si="148"/>
        <v>#REF!</v>
      </c>
      <c r="I2619" s="136" t="e">
        <f t="shared" ca="1" si="149"/>
        <v>#REF!</v>
      </c>
    </row>
    <row r="2620" spans="1:9" hidden="1" x14ac:dyDescent="0.25">
      <c r="A2620" s="114" t="s">
        <v>6339</v>
      </c>
      <c r="B2620" s="115" t="s">
        <v>5101</v>
      </c>
      <c r="C2620" s="116" t="s">
        <v>20</v>
      </c>
      <c r="D2620" s="116">
        <v>0</v>
      </c>
      <c r="E2620" s="135">
        <f ca="1">OFFSET(INDEX(Composições!A:J,MATCH(Orçamentária!A2620,Composições!A:A,0),8),2,0)</f>
        <v>382.76502607199996</v>
      </c>
      <c r="F2620" s="136">
        <f t="shared" ca="1" si="147"/>
        <v>0</v>
      </c>
      <c r="G2620" s="137" t="e">
        <f>IF(A2620&lt;&gt;"",IF(AND(#REF!="Padrão",$H$4=#REF!),BDI!$B$17,IF(AND(#REF!="Padrão",$H$4=#REF!),BDI!#REF!,IF(AND(#REF!="Diferenciado",$H$4=#REF!),BDI!$E$17,IF(AND(#REF!="Diferenciado",$H$4=#REF!),BDI!#REF!,IF(#REF!="ZERO",0))))),"")</f>
        <v>#REF!</v>
      </c>
      <c r="H2620" s="138" t="e">
        <f t="shared" ca="1" si="148"/>
        <v>#REF!</v>
      </c>
      <c r="I2620" s="136" t="e">
        <f t="shared" ca="1" si="149"/>
        <v>#REF!</v>
      </c>
    </row>
    <row r="2621" spans="1:9" ht="25.5" hidden="1" x14ac:dyDescent="0.25">
      <c r="A2621" s="114" t="s">
        <v>6340</v>
      </c>
      <c r="B2621" s="115" t="s">
        <v>5102</v>
      </c>
      <c r="C2621" s="116" t="s">
        <v>20</v>
      </c>
      <c r="D2621" s="116">
        <v>0</v>
      </c>
      <c r="E2621" s="135" t="s">
        <v>558</v>
      </c>
      <c r="F2621" s="136" t="str">
        <f t="shared" si="147"/>
        <v/>
      </c>
      <c r="G2621" s="137" t="e">
        <f>IF(A2621&lt;&gt;"",IF(AND(#REF!="Padrão",$H$4=#REF!),BDI!$B$17,IF(AND(#REF!="Padrão",$H$4=#REF!),BDI!#REF!,IF(AND(#REF!="Diferenciado",$H$4=#REF!),BDI!$E$17,IF(AND(#REF!="Diferenciado",$H$4=#REF!),BDI!#REF!,IF(#REF!="ZERO",0))))),"")</f>
        <v>#REF!</v>
      </c>
      <c r="H2621" s="138" t="str">
        <f t="shared" si="148"/>
        <v/>
      </c>
      <c r="I2621" s="136" t="str">
        <f t="shared" si="149"/>
        <v/>
      </c>
    </row>
    <row r="2622" spans="1:9" hidden="1" x14ac:dyDescent="0.25">
      <c r="A2622" s="114" t="s">
        <v>6341</v>
      </c>
      <c r="B2622" s="115" t="s">
        <v>5103</v>
      </c>
      <c r="C2622" s="116" t="s">
        <v>20</v>
      </c>
      <c r="D2622" s="116">
        <v>0</v>
      </c>
      <c r="E2622" s="135">
        <f ca="1">OFFSET(INDEX(Composições!A:J,MATCH(Orçamentária!A2622,Composições!A:A,0),8),2,0)</f>
        <v>71.518954500000007</v>
      </c>
      <c r="F2622" s="136">
        <f t="shared" ca="1" si="147"/>
        <v>0</v>
      </c>
      <c r="G2622" s="137" t="e">
        <f>IF(A2622&lt;&gt;"",IF(AND(#REF!="Padrão",$H$4=#REF!),BDI!$B$17,IF(AND(#REF!="Padrão",$H$4=#REF!),BDI!#REF!,IF(AND(#REF!="Diferenciado",$H$4=#REF!),BDI!$E$17,IF(AND(#REF!="Diferenciado",$H$4=#REF!),BDI!#REF!,IF(#REF!="ZERO",0))))),"")</f>
        <v>#REF!</v>
      </c>
      <c r="H2622" s="138" t="e">
        <f t="shared" ca="1" si="148"/>
        <v>#REF!</v>
      </c>
      <c r="I2622" s="136" t="e">
        <f t="shared" ca="1" si="149"/>
        <v>#REF!</v>
      </c>
    </row>
    <row r="2623" spans="1:9" hidden="1" x14ac:dyDescent="0.25">
      <c r="A2623" s="114" t="s">
        <v>6342</v>
      </c>
      <c r="B2623" s="115" t="s">
        <v>5104</v>
      </c>
      <c r="C2623" s="116" t="s">
        <v>20</v>
      </c>
      <c r="D2623" s="116">
        <v>0</v>
      </c>
      <c r="E2623" s="135">
        <f ca="1">OFFSET(INDEX(Composições!A:J,MATCH(Orçamentária!A2623,Composições!A:A,0),8),2,0)</f>
        <v>20.348999999999997</v>
      </c>
      <c r="F2623" s="136">
        <f t="shared" ca="1" si="147"/>
        <v>0</v>
      </c>
      <c r="G2623" s="137" t="e">
        <f>IF(A2623&lt;&gt;"",IF(AND(#REF!="Padrão",$H$4=#REF!),BDI!$B$17,IF(AND(#REF!="Padrão",$H$4=#REF!),BDI!#REF!,IF(AND(#REF!="Diferenciado",$H$4=#REF!),BDI!$E$17,IF(AND(#REF!="Diferenciado",$H$4=#REF!),BDI!#REF!,IF(#REF!="ZERO",0))))),"")</f>
        <v>#REF!</v>
      </c>
      <c r="H2623" s="138" t="e">
        <f t="shared" ca="1" si="148"/>
        <v>#REF!</v>
      </c>
      <c r="I2623" s="136" t="e">
        <f t="shared" ca="1" si="149"/>
        <v>#REF!</v>
      </c>
    </row>
    <row r="2624" spans="1:9" hidden="1" x14ac:dyDescent="0.25">
      <c r="A2624" s="114" t="s">
        <v>6586</v>
      </c>
      <c r="B2624" s="115" t="s">
        <v>6587</v>
      </c>
      <c r="C2624" s="116" t="s">
        <v>20</v>
      </c>
      <c r="D2624" s="116">
        <v>0</v>
      </c>
      <c r="E2624" s="135" t="s">
        <v>558</v>
      </c>
      <c r="F2624" s="136" t="str">
        <f t="shared" ref="F2624:F2681" si="153">IF(ISNUMBER(E2624),D2624*E2624,"")</f>
        <v/>
      </c>
      <c r="G2624" s="137" t="e">
        <f>IF(A2624&lt;&gt;"",IF(AND(#REF!="Padrão",$H$4=#REF!),BDI!$B$17,IF(AND(#REF!="Padrão",$H$4=#REF!),BDI!#REF!,IF(AND(#REF!="Diferenciado",$H$4=#REF!),BDI!$E$17,IF(AND(#REF!="Diferenciado",$H$4=#REF!),BDI!#REF!,IF(#REF!="ZERO",0))))),"")</f>
        <v>#REF!</v>
      </c>
      <c r="H2624" s="138" t="str">
        <f t="shared" ref="H2624:H2681" si="154">IF(ISNUMBER(E2624),ROUND(E2624*(1+G2624),2),"")</f>
        <v/>
      </c>
      <c r="I2624" s="136" t="str">
        <f t="shared" ref="I2624:I2681" si="155">IF(ISNUMBER(E2624),ROUND(H2624*D2624,2),"")</f>
        <v/>
      </c>
    </row>
    <row r="2625" spans="1:9" hidden="1" x14ac:dyDescent="0.25">
      <c r="A2625" s="114" t="s">
        <v>6588</v>
      </c>
      <c r="B2625" s="115" t="s">
        <v>6589</v>
      </c>
      <c r="C2625" s="116" t="s">
        <v>20</v>
      </c>
      <c r="D2625" s="116">
        <v>0</v>
      </c>
      <c r="E2625" s="135" t="s">
        <v>558</v>
      </c>
      <c r="F2625" s="136" t="str">
        <f t="shared" si="153"/>
        <v/>
      </c>
      <c r="G2625" s="137" t="e">
        <f>IF(A2625&lt;&gt;"",IF(AND(#REF!="Padrão",$H$4=#REF!),BDI!$B$17,IF(AND(#REF!="Padrão",$H$4=#REF!),BDI!#REF!,IF(AND(#REF!="Diferenciado",$H$4=#REF!),BDI!$E$17,IF(AND(#REF!="Diferenciado",$H$4=#REF!),BDI!#REF!,IF(#REF!="ZERO",0))))),"")</f>
        <v>#REF!</v>
      </c>
      <c r="H2625" s="138" t="str">
        <f t="shared" si="154"/>
        <v/>
      </c>
      <c r="I2625" s="136" t="str">
        <f t="shared" si="155"/>
        <v/>
      </c>
    </row>
    <row r="2626" spans="1:9" hidden="1" x14ac:dyDescent="0.25">
      <c r="A2626" s="114" t="s">
        <v>6590</v>
      </c>
      <c r="B2626" s="115" t="s">
        <v>6591</v>
      </c>
      <c r="C2626" s="116" t="s">
        <v>20</v>
      </c>
      <c r="D2626" s="116">
        <v>0</v>
      </c>
      <c r="E2626" s="135" t="s">
        <v>558</v>
      </c>
      <c r="F2626" s="136" t="str">
        <f t="shared" si="153"/>
        <v/>
      </c>
      <c r="G2626" s="137" t="e">
        <f>IF(A2626&lt;&gt;"",IF(AND(#REF!="Padrão",$H$4=#REF!),BDI!$B$17,IF(AND(#REF!="Padrão",$H$4=#REF!),BDI!#REF!,IF(AND(#REF!="Diferenciado",$H$4=#REF!),BDI!$E$17,IF(AND(#REF!="Diferenciado",$H$4=#REF!),BDI!#REF!,IF(#REF!="ZERO",0))))),"")</f>
        <v>#REF!</v>
      </c>
      <c r="H2626" s="138" t="str">
        <f t="shared" si="154"/>
        <v/>
      </c>
      <c r="I2626" s="136" t="str">
        <f t="shared" si="155"/>
        <v/>
      </c>
    </row>
    <row r="2627" spans="1:9" hidden="1" x14ac:dyDescent="0.25">
      <c r="A2627" s="114" t="s">
        <v>6592</v>
      </c>
      <c r="B2627" s="115" t="s">
        <v>6593</v>
      </c>
      <c r="C2627" s="116" t="s">
        <v>20</v>
      </c>
      <c r="D2627" s="116">
        <v>0</v>
      </c>
      <c r="E2627" s="135" t="s">
        <v>558</v>
      </c>
      <c r="F2627" s="136" t="str">
        <f t="shared" si="153"/>
        <v/>
      </c>
      <c r="G2627" s="137" t="e">
        <f>IF(A2627&lt;&gt;"",IF(AND(#REF!="Padrão",$H$4=#REF!),BDI!$B$17,IF(AND(#REF!="Padrão",$H$4=#REF!),BDI!#REF!,IF(AND(#REF!="Diferenciado",$H$4=#REF!),BDI!$E$17,IF(AND(#REF!="Diferenciado",$H$4=#REF!),BDI!#REF!,IF(#REF!="ZERO",0))))),"")</f>
        <v>#REF!</v>
      </c>
      <c r="H2627" s="138" t="str">
        <f t="shared" si="154"/>
        <v/>
      </c>
      <c r="I2627" s="136" t="str">
        <f t="shared" si="155"/>
        <v/>
      </c>
    </row>
    <row r="2628" spans="1:9" hidden="1" x14ac:dyDescent="0.25">
      <c r="A2628" s="114" t="s">
        <v>6594</v>
      </c>
      <c r="B2628" s="115" t="s">
        <v>6595</v>
      </c>
      <c r="C2628" s="116" t="s">
        <v>20</v>
      </c>
      <c r="D2628" s="116">
        <v>0</v>
      </c>
      <c r="E2628" s="135" t="s">
        <v>558</v>
      </c>
      <c r="F2628" s="136" t="str">
        <f t="shared" si="153"/>
        <v/>
      </c>
      <c r="G2628" s="137" t="e">
        <f>IF(A2628&lt;&gt;"",IF(AND(#REF!="Padrão",$H$4=#REF!),BDI!$B$17,IF(AND(#REF!="Padrão",$H$4=#REF!),BDI!#REF!,IF(AND(#REF!="Diferenciado",$H$4=#REF!),BDI!$E$17,IF(AND(#REF!="Diferenciado",$H$4=#REF!),BDI!#REF!,IF(#REF!="ZERO",0))))),"")</f>
        <v>#REF!</v>
      </c>
      <c r="H2628" s="138" t="str">
        <f t="shared" si="154"/>
        <v/>
      </c>
      <c r="I2628" s="136" t="str">
        <f t="shared" si="155"/>
        <v/>
      </c>
    </row>
    <row r="2629" spans="1:9" hidden="1" x14ac:dyDescent="0.25">
      <c r="A2629" s="114" t="s">
        <v>6596</v>
      </c>
      <c r="B2629" s="115" t="s">
        <v>6597</v>
      </c>
      <c r="C2629" s="116" t="s">
        <v>20</v>
      </c>
      <c r="D2629" s="116">
        <v>0</v>
      </c>
      <c r="E2629" s="135" t="s">
        <v>558</v>
      </c>
      <c r="F2629" s="136" t="str">
        <f t="shared" si="153"/>
        <v/>
      </c>
      <c r="G2629" s="137" t="e">
        <f>IF(A2629&lt;&gt;"",IF(AND(#REF!="Padrão",$H$4=#REF!),BDI!$B$17,IF(AND(#REF!="Padrão",$H$4=#REF!),BDI!#REF!,IF(AND(#REF!="Diferenciado",$H$4=#REF!),BDI!$E$17,IF(AND(#REF!="Diferenciado",$H$4=#REF!),BDI!#REF!,IF(#REF!="ZERO",0))))),"")</f>
        <v>#REF!</v>
      </c>
      <c r="H2629" s="138" t="str">
        <f t="shared" si="154"/>
        <v/>
      </c>
      <c r="I2629" s="136" t="str">
        <f t="shared" si="155"/>
        <v/>
      </c>
    </row>
    <row r="2630" spans="1:9" hidden="1" x14ac:dyDescent="0.25">
      <c r="A2630" s="114" t="s">
        <v>6598</v>
      </c>
      <c r="B2630" s="115" t="s">
        <v>6599</v>
      </c>
      <c r="C2630" s="116" t="s">
        <v>20</v>
      </c>
      <c r="D2630" s="116">
        <v>0</v>
      </c>
      <c r="E2630" s="135" t="s">
        <v>558</v>
      </c>
      <c r="F2630" s="136" t="str">
        <f t="shared" si="153"/>
        <v/>
      </c>
      <c r="G2630" s="137" t="e">
        <f>IF(A2630&lt;&gt;"",IF(AND(#REF!="Padrão",$H$4=#REF!),BDI!$B$17,IF(AND(#REF!="Padrão",$H$4=#REF!),BDI!#REF!,IF(AND(#REF!="Diferenciado",$H$4=#REF!),BDI!$E$17,IF(AND(#REF!="Diferenciado",$H$4=#REF!),BDI!#REF!,IF(#REF!="ZERO",0))))),"")</f>
        <v>#REF!</v>
      </c>
      <c r="H2630" s="138" t="str">
        <f t="shared" si="154"/>
        <v/>
      </c>
      <c r="I2630" s="136" t="str">
        <f t="shared" si="155"/>
        <v/>
      </c>
    </row>
    <row r="2631" spans="1:9" hidden="1" x14ac:dyDescent="0.25">
      <c r="A2631" s="114" t="s">
        <v>6600</v>
      </c>
      <c r="B2631" s="115" t="s">
        <v>6601</v>
      </c>
      <c r="C2631" s="116" t="s">
        <v>20</v>
      </c>
      <c r="D2631" s="116">
        <v>0</v>
      </c>
      <c r="E2631" s="135" t="s">
        <v>558</v>
      </c>
      <c r="F2631" s="136" t="str">
        <f t="shared" si="153"/>
        <v/>
      </c>
      <c r="G2631" s="137" t="e">
        <f>IF(A2631&lt;&gt;"",IF(AND(#REF!="Padrão",$H$4=#REF!),BDI!$B$17,IF(AND(#REF!="Padrão",$H$4=#REF!),BDI!#REF!,IF(AND(#REF!="Diferenciado",$H$4=#REF!),BDI!$E$17,IF(AND(#REF!="Diferenciado",$H$4=#REF!),BDI!#REF!,IF(#REF!="ZERO",0))))),"")</f>
        <v>#REF!</v>
      </c>
      <c r="H2631" s="138" t="str">
        <f t="shared" si="154"/>
        <v/>
      </c>
      <c r="I2631" s="136" t="str">
        <f t="shared" si="155"/>
        <v/>
      </c>
    </row>
    <row r="2632" spans="1:9" hidden="1" x14ac:dyDescent="0.25">
      <c r="A2632" s="114" t="s">
        <v>6602</v>
      </c>
      <c r="B2632" s="115" t="s">
        <v>6603</v>
      </c>
      <c r="C2632" s="116" t="s">
        <v>20</v>
      </c>
      <c r="D2632" s="116">
        <v>0</v>
      </c>
      <c r="E2632" s="135" t="s">
        <v>558</v>
      </c>
      <c r="F2632" s="136" t="str">
        <f t="shared" si="153"/>
        <v/>
      </c>
      <c r="G2632" s="137" t="e">
        <f>IF(A2632&lt;&gt;"",IF(AND(#REF!="Padrão",$H$4=#REF!),BDI!$B$17,IF(AND(#REF!="Padrão",$H$4=#REF!),BDI!#REF!,IF(AND(#REF!="Diferenciado",$H$4=#REF!),BDI!$E$17,IF(AND(#REF!="Diferenciado",$H$4=#REF!),BDI!#REF!,IF(#REF!="ZERO",0))))),"")</f>
        <v>#REF!</v>
      </c>
      <c r="H2632" s="138" t="str">
        <f t="shared" si="154"/>
        <v/>
      </c>
      <c r="I2632" s="136" t="str">
        <f t="shared" si="155"/>
        <v/>
      </c>
    </row>
    <row r="2633" spans="1:9" ht="25.5" hidden="1" x14ac:dyDescent="0.25">
      <c r="A2633" s="114" t="s">
        <v>6604</v>
      </c>
      <c r="B2633" s="115" t="s">
        <v>6605</v>
      </c>
      <c r="C2633" s="116" t="s">
        <v>20</v>
      </c>
      <c r="D2633" s="116">
        <v>0</v>
      </c>
      <c r="E2633" s="135" t="s">
        <v>558</v>
      </c>
      <c r="F2633" s="136" t="str">
        <f t="shared" si="153"/>
        <v/>
      </c>
      <c r="G2633" s="137" t="e">
        <f>IF(A2633&lt;&gt;"",IF(AND(#REF!="Padrão",$H$4=#REF!),BDI!$B$17,IF(AND(#REF!="Padrão",$H$4=#REF!),BDI!#REF!,IF(AND(#REF!="Diferenciado",$H$4=#REF!),BDI!$E$17,IF(AND(#REF!="Diferenciado",$H$4=#REF!),BDI!#REF!,IF(#REF!="ZERO",0))))),"")</f>
        <v>#REF!</v>
      </c>
      <c r="H2633" s="138" t="str">
        <f t="shared" si="154"/>
        <v/>
      </c>
      <c r="I2633" s="136" t="str">
        <f t="shared" si="155"/>
        <v/>
      </c>
    </row>
    <row r="2634" spans="1:9" ht="25.5" hidden="1" x14ac:dyDescent="0.25">
      <c r="A2634" s="114" t="s">
        <v>6606</v>
      </c>
      <c r="B2634" s="115" t="s">
        <v>6607</v>
      </c>
      <c r="C2634" s="116" t="s">
        <v>20</v>
      </c>
      <c r="D2634" s="116">
        <v>0</v>
      </c>
      <c r="E2634" s="135" t="s">
        <v>558</v>
      </c>
      <c r="F2634" s="136" t="str">
        <f t="shared" si="153"/>
        <v/>
      </c>
      <c r="G2634" s="137" t="e">
        <f>IF(A2634&lt;&gt;"",IF(AND(#REF!="Padrão",$H$4=#REF!),BDI!$B$17,IF(AND(#REF!="Padrão",$H$4=#REF!),BDI!#REF!,IF(AND(#REF!="Diferenciado",$H$4=#REF!),BDI!$E$17,IF(AND(#REF!="Diferenciado",$H$4=#REF!),BDI!#REF!,IF(#REF!="ZERO",0))))),"")</f>
        <v>#REF!</v>
      </c>
      <c r="H2634" s="138" t="str">
        <f t="shared" si="154"/>
        <v/>
      </c>
      <c r="I2634" s="136" t="str">
        <f t="shared" si="155"/>
        <v/>
      </c>
    </row>
    <row r="2635" spans="1:9" ht="25.5" hidden="1" x14ac:dyDescent="0.25">
      <c r="A2635" s="114" t="s">
        <v>6608</v>
      </c>
      <c r="B2635" s="115" t="s">
        <v>6609</v>
      </c>
      <c r="C2635" s="116" t="s">
        <v>20</v>
      </c>
      <c r="D2635" s="116">
        <v>0</v>
      </c>
      <c r="E2635" s="135" t="s">
        <v>558</v>
      </c>
      <c r="F2635" s="136" t="str">
        <f t="shared" si="153"/>
        <v/>
      </c>
      <c r="G2635" s="137" t="e">
        <f>IF(A2635&lt;&gt;"",IF(AND(#REF!="Padrão",$H$4=#REF!),BDI!$B$17,IF(AND(#REF!="Padrão",$H$4=#REF!),BDI!#REF!,IF(AND(#REF!="Diferenciado",$H$4=#REF!),BDI!$E$17,IF(AND(#REF!="Diferenciado",$H$4=#REF!),BDI!#REF!,IF(#REF!="ZERO",0))))),"")</f>
        <v>#REF!</v>
      </c>
      <c r="H2635" s="138" t="str">
        <f t="shared" si="154"/>
        <v/>
      </c>
      <c r="I2635" s="136" t="str">
        <f t="shared" si="155"/>
        <v/>
      </c>
    </row>
    <row r="2636" spans="1:9" hidden="1" x14ac:dyDescent="0.25">
      <c r="A2636" s="114" t="s">
        <v>6610</v>
      </c>
      <c r="B2636" s="115" t="s">
        <v>6611</v>
      </c>
      <c r="C2636" s="116" t="s">
        <v>20</v>
      </c>
      <c r="D2636" s="116">
        <v>0</v>
      </c>
      <c r="E2636" s="135" t="s">
        <v>558</v>
      </c>
      <c r="F2636" s="136" t="str">
        <f t="shared" si="153"/>
        <v/>
      </c>
      <c r="G2636" s="137" t="e">
        <f>IF(A2636&lt;&gt;"",IF(AND(#REF!="Padrão",$H$4=#REF!),BDI!$B$17,IF(AND(#REF!="Padrão",$H$4=#REF!),BDI!#REF!,IF(AND(#REF!="Diferenciado",$H$4=#REF!),BDI!$E$17,IF(AND(#REF!="Diferenciado",$H$4=#REF!),BDI!#REF!,IF(#REF!="ZERO",0))))),"")</f>
        <v>#REF!</v>
      </c>
      <c r="H2636" s="138" t="str">
        <f t="shared" si="154"/>
        <v/>
      </c>
      <c r="I2636" s="136" t="str">
        <f t="shared" si="155"/>
        <v/>
      </c>
    </row>
    <row r="2637" spans="1:9" hidden="1" x14ac:dyDescent="0.25">
      <c r="A2637" s="114" t="s">
        <v>6612</v>
      </c>
      <c r="B2637" s="115" t="s">
        <v>6613</v>
      </c>
      <c r="C2637" s="116" t="s">
        <v>20</v>
      </c>
      <c r="D2637" s="116">
        <v>0</v>
      </c>
      <c r="E2637" s="135" t="s">
        <v>558</v>
      </c>
      <c r="F2637" s="136" t="str">
        <f t="shared" si="153"/>
        <v/>
      </c>
      <c r="G2637" s="137" t="e">
        <f>IF(A2637&lt;&gt;"",IF(AND(#REF!="Padrão",$H$4=#REF!),BDI!$B$17,IF(AND(#REF!="Padrão",$H$4=#REF!),BDI!#REF!,IF(AND(#REF!="Diferenciado",$H$4=#REF!),BDI!$E$17,IF(AND(#REF!="Diferenciado",$H$4=#REF!),BDI!#REF!,IF(#REF!="ZERO",0))))),"")</f>
        <v>#REF!</v>
      </c>
      <c r="H2637" s="138" t="str">
        <f t="shared" si="154"/>
        <v/>
      </c>
      <c r="I2637" s="136" t="str">
        <f t="shared" si="155"/>
        <v/>
      </c>
    </row>
    <row r="2638" spans="1:9" hidden="1" x14ac:dyDescent="0.25">
      <c r="A2638" s="114" t="s">
        <v>6614</v>
      </c>
      <c r="B2638" s="115" t="s">
        <v>6615</v>
      </c>
      <c r="C2638" s="116" t="s">
        <v>42</v>
      </c>
      <c r="D2638" s="116">
        <v>0</v>
      </c>
      <c r="E2638" s="135" t="s">
        <v>558</v>
      </c>
      <c r="F2638" s="136" t="str">
        <f t="shared" si="153"/>
        <v/>
      </c>
      <c r="G2638" s="137" t="e">
        <f>IF(A2638&lt;&gt;"",IF(AND(#REF!="Padrão",$H$4=#REF!),BDI!$B$17,IF(AND(#REF!="Padrão",$H$4=#REF!),BDI!#REF!,IF(AND(#REF!="Diferenciado",$H$4=#REF!),BDI!$E$17,IF(AND(#REF!="Diferenciado",$H$4=#REF!),BDI!#REF!,IF(#REF!="ZERO",0))))),"")</f>
        <v>#REF!</v>
      </c>
      <c r="H2638" s="138" t="str">
        <f t="shared" si="154"/>
        <v/>
      </c>
      <c r="I2638" s="136" t="str">
        <f t="shared" si="155"/>
        <v/>
      </c>
    </row>
    <row r="2639" spans="1:9" ht="25.5" hidden="1" x14ac:dyDescent="0.25">
      <c r="A2639" s="114" t="s">
        <v>6616</v>
      </c>
      <c r="B2639" s="115" t="s">
        <v>6617</v>
      </c>
      <c r="C2639" s="116" t="s">
        <v>20</v>
      </c>
      <c r="D2639" s="116">
        <v>0</v>
      </c>
      <c r="E2639" s="135" t="s">
        <v>558</v>
      </c>
      <c r="F2639" s="136" t="str">
        <f t="shared" si="153"/>
        <v/>
      </c>
      <c r="G2639" s="137" t="e">
        <f>IF(A2639&lt;&gt;"",IF(AND(#REF!="Padrão",$H$4=#REF!),BDI!$B$17,IF(AND(#REF!="Padrão",$H$4=#REF!),BDI!#REF!,IF(AND(#REF!="Diferenciado",$H$4=#REF!),BDI!$E$17,IF(AND(#REF!="Diferenciado",$H$4=#REF!),BDI!#REF!,IF(#REF!="ZERO",0))))),"")</f>
        <v>#REF!</v>
      </c>
      <c r="H2639" s="138" t="str">
        <f t="shared" si="154"/>
        <v/>
      </c>
      <c r="I2639" s="136" t="str">
        <f t="shared" si="155"/>
        <v/>
      </c>
    </row>
    <row r="2640" spans="1:9" ht="25.5" hidden="1" x14ac:dyDescent="0.25">
      <c r="A2640" s="114" t="s">
        <v>6618</v>
      </c>
      <c r="B2640" s="115" t="s">
        <v>6619</v>
      </c>
      <c r="C2640" s="116" t="s">
        <v>20</v>
      </c>
      <c r="D2640" s="116">
        <v>0</v>
      </c>
      <c r="E2640" s="135" t="s">
        <v>558</v>
      </c>
      <c r="F2640" s="136" t="str">
        <f t="shared" si="153"/>
        <v/>
      </c>
      <c r="G2640" s="137" t="e">
        <f>IF(A2640&lt;&gt;"",IF(AND(#REF!="Padrão",$H$4=#REF!),BDI!$B$17,IF(AND(#REF!="Padrão",$H$4=#REF!),BDI!#REF!,IF(AND(#REF!="Diferenciado",$H$4=#REF!),BDI!$E$17,IF(AND(#REF!="Diferenciado",$H$4=#REF!),BDI!#REF!,IF(#REF!="ZERO",0))))),"")</f>
        <v>#REF!</v>
      </c>
      <c r="H2640" s="138" t="str">
        <f t="shared" si="154"/>
        <v/>
      </c>
      <c r="I2640" s="136" t="str">
        <f t="shared" si="155"/>
        <v/>
      </c>
    </row>
    <row r="2641" spans="1:9" hidden="1" x14ac:dyDescent="0.25">
      <c r="A2641" s="114" t="s">
        <v>6620</v>
      </c>
      <c r="B2641" s="115" t="s">
        <v>6621</v>
      </c>
      <c r="C2641" s="116" t="s">
        <v>20</v>
      </c>
      <c r="D2641" s="116">
        <v>0</v>
      </c>
      <c r="E2641" s="135" t="s">
        <v>558</v>
      </c>
      <c r="F2641" s="136" t="str">
        <f t="shared" si="153"/>
        <v/>
      </c>
      <c r="G2641" s="137" t="e">
        <f>IF(A2641&lt;&gt;"",IF(AND(#REF!="Padrão",$H$4=#REF!),BDI!$B$17,IF(AND(#REF!="Padrão",$H$4=#REF!),BDI!#REF!,IF(AND(#REF!="Diferenciado",$H$4=#REF!),BDI!$E$17,IF(AND(#REF!="Diferenciado",$H$4=#REF!),BDI!#REF!,IF(#REF!="ZERO",0))))),"")</f>
        <v>#REF!</v>
      </c>
      <c r="H2641" s="138" t="str">
        <f t="shared" si="154"/>
        <v/>
      </c>
      <c r="I2641" s="136" t="str">
        <f t="shared" si="155"/>
        <v/>
      </c>
    </row>
    <row r="2642" spans="1:9" hidden="1" x14ac:dyDescent="0.25">
      <c r="A2642" s="114" t="s">
        <v>6622</v>
      </c>
      <c r="B2642" s="115" t="s">
        <v>6623</v>
      </c>
      <c r="C2642" s="116" t="s">
        <v>20</v>
      </c>
      <c r="D2642" s="116">
        <v>0</v>
      </c>
      <c r="E2642" s="135" t="s">
        <v>558</v>
      </c>
      <c r="F2642" s="136" t="str">
        <f t="shared" si="153"/>
        <v/>
      </c>
      <c r="G2642" s="137" t="e">
        <f>IF(A2642&lt;&gt;"",IF(AND(#REF!="Padrão",$H$4=#REF!),BDI!$B$17,IF(AND(#REF!="Padrão",$H$4=#REF!),BDI!#REF!,IF(AND(#REF!="Diferenciado",$H$4=#REF!),BDI!$E$17,IF(AND(#REF!="Diferenciado",$H$4=#REF!),BDI!#REF!,IF(#REF!="ZERO",0))))),"")</f>
        <v>#REF!</v>
      </c>
      <c r="H2642" s="138" t="str">
        <f t="shared" si="154"/>
        <v/>
      </c>
      <c r="I2642" s="136" t="str">
        <f t="shared" si="155"/>
        <v/>
      </c>
    </row>
    <row r="2643" spans="1:9" hidden="1" x14ac:dyDescent="0.25">
      <c r="A2643" s="114" t="s">
        <v>6624</v>
      </c>
      <c r="B2643" s="115" t="s">
        <v>6625</v>
      </c>
      <c r="C2643" s="116" t="s">
        <v>20</v>
      </c>
      <c r="D2643" s="116">
        <v>0</v>
      </c>
      <c r="E2643" s="135" t="s">
        <v>558</v>
      </c>
      <c r="F2643" s="136" t="str">
        <f t="shared" si="153"/>
        <v/>
      </c>
      <c r="G2643" s="137" t="e">
        <f>IF(A2643&lt;&gt;"",IF(AND(#REF!="Padrão",$H$4=#REF!),BDI!$B$17,IF(AND(#REF!="Padrão",$H$4=#REF!),BDI!#REF!,IF(AND(#REF!="Diferenciado",$H$4=#REF!),BDI!$E$17,IF(AND(#REF!="Diferenciado",$H$4=#REF!),BDI!#REF!,IF(#REF!="ZERO",0))))),"")</f>
        <v>#REF!</v>
      </c>
      <c r="H2643" s="138" t="str">
        <f t="shared" si="154"/>
        <v/>
      </c>
      <c r="I2643" s="136" t="str">
        <f t="shared" si="155"/>
        <v/>
      </c>
    </row>
    <row r="2644" spans="1:9" hidden="1" x14ac:dyDescent="0.25">
      <c r="A2644" s="114" t="s">
        <v>6626</v>
      </c>
      <c r="B2644" s="115" t="s">
        <v>6627</v>
      </c>
      <c r="C2644" s="116" t="s">
        <v>20</v>
      </c>
      <c r="D2644" s="116">
        <v>0</v>
      </c>
      <c r="E2644" s="135" t="s">
        <v>558</v>
      </c>
      <c r="F2644" s="136" t="str">
        <f t="shared" si="153"/>
        <v/>
      </c>
      <c r="G2644" s="137" t="e">
        <f>IF(A2644&lt;&gt;"",IF(AND(#REF!="Padrão",$H$4=#REF!),BDI!$B$17,IF(AND(#REF!="Padrão",$H$4=#REF!),BDI!#REF!,IF(AND(#REF!="Diferenciado",$H$4=#REF!),BDI!$E$17,IF(AND(#REF!="Diferenciado",$H$4=#REF!),BDI!#REF!,IF(#REF!="ZERO",0))))),"")</f>
        <v>#REF!</v>
      </c>
      <c r="H2644" s="138" t="str">
        <f t="shared" si="154"/>
        <v/>
      </c>
      <c r="I2644" s="136" t="str">
        <f t="shared" si="155"/>
        <v/>
      </c>
    </row>
    <row r="2645" spans="1:9" hidden="1" x14ac:dyDescent="0.25">
      <c r="A2645" s="114" t="s">
        <v>6628</v>
      </c>
      <c r="B2645" s="115" t="s">
        <v>6629</v>
      </c>
      <c r="C2645" s="116" t="s">
        <v>20</v>
      </c>
      <c r="D2645" s="116">
        <v>0</v>
      </c>
      <c r="E2645" s="135" t="s">
        <v>558</v>
      </c>
      <c r="F2645" s="136" t="str">
        <f t="shared" si="153"/>
        <v/>
      </c>
      <c r="G2645" s="137" t="e">
        <f>IF(A2645&lt;&gt;"",IF(AND(#REF!="Padrão",$H$4=#REF!),BDI!$B$17,IF(AND(#REF!="Padrão",$H$4=#REF!),BDI!#REF!,IF(AND(#REF!="Diferenciado",$H$4=#REF!),BDI!$E$17,IF(AND(#REF!="Diferenciado",$H$4=#REF!),BDI!#REF!,IF(#REF!="ZERO",0))))),"")</f>
        <v>#REF!</v>
      </c>
      <c r="H2645" s="138" t="str">
        <f t="shared" si="154"/>
        <v/>
      </c>
      <c r="I2645" s="136" t="str">
        <f t="shared" si="155"/>
        <v/>
      </c>
    </row>
    <row r="2646" spans="1:9" hidden="1" x14ac:dyDescent="0.25">
      <c r="A2646" s="114" t="s">
        <v>6630</v>
      </c>
      <c r="B2646" s="115" t="s">
        <v>6631</v>
      </c>
      <c r="C2646" s="116" t="s">
        <v>20</v>
      </c>
      <c r="D2646" s="116">
        <v>0</v>
      </c>
      <c r="E2646" s="135" t="s">
        <v>558</v>
      </c>
      <c r="F2646" s="136" t="str">
        <f t="shared" si="153"/>
        <v/>
      </c>
      <c r="G2646" s="137" t="e">
        <f>IF(A2646&lt;&gt;"",IF(AND(#REF!="Padrão",$H$4=#REF!),BDI!$B$17,IF(AND(#REF!="Padrão",$H$4=#REF!),BDI!#REF!,IF(AND(#REF!="Diferenciado",$H$4=#REF!),BDI!$E$17,IF(AND(#REF!="Diferenciado",$H$4=#REF!),BDI!#REF!,IF(#REF!="ZERO",0))))),"")</f>
        <v>#REF!</v>
      </c>
      <c r="H2646" s="138" t="str">
        <f t="shared" si="154"/>
        <v/>
      </c>
      <c r="I2646" s="136" t="str">
        <f t="shared" si="155"/>
        <v/>
      </c>
    </row>
    <row r="2647" spans="1:9" hidden="1" x14ac:dyDescent="0.25">
      <c r="A2647" s="114" t="s">
        <v>6632</v>
      </c>
      <c r="B2647" s="115" t="s">
        <v>6633</v>
      </c>
      <c r="C2647" s="116" t="s">
        <v>20</v>
      </c>
      <c r="D2647" s="116">
        <v>0</v>
      </c>
      <c r="E2647" s="135" t="s">
        <v>558</v>
      </c>
      <c r="F2647" s="136" t="str">
        <f t="shared" si="153"/>
        <v/>
      </c>
      <c r="G2647" s="137" t="e">
        <f>IF(A2647&lt;&gt;"",IF(AND(#REF!="Padrão",$H$4=#REF!),BDI!$B$17,IF(AND(#REF!="Padrão",$H$4=#REF!),BDI!#REF!,IF(AND(#REF!="Diferenciado",$H$4=#REF!),BDI!$E$17,IF(AND(#REF!="Diferenciado",$H$4=#REF!),BDI!#REF!,IF(#REF!="ZERO",0))))),"")</f>
        <v>#REF!</v>
      </c>
      <c r="H2647" s="138" t="str">
        <f t="shared" si="154"/>
        <v/>
      </c>
      <c r="I2647" s="136" t="str">
        <f t="shared" si="155"/>
        <v/>
      </c>
    </row>
    <row r="2648" spans="1:9" hidden="1" x14ac:dyDescent="0.25">
      <c r="A2648" s="114" t="s">
        <v>6634</v>
      </c>
      <c r="B2648" s="115" t="s">
        <v>6635</v>
      </c>
      <c r="C2648" s="116" t="s">
        <v>20</v>
      </c>
      <c r="D2648" s="116">
        <v>0</v>
      </c>
      <c r="E2648" s="135" t="s">
        <v>558</v>
      </c>
      <c r="F2648" s="136" t="str">
        <f t="shared" si="153"/>
        <v/>
      </c>
      <c r="G2648" s="137" t="e">
        <f>IF(A2648&lt;&gt;"",IF(AND(#REF!="Padrão",$H$4=#REF!),BDI!$B$17,IF(AND(#REF!="Padrão",$H$4=#REF!),BDI!#REF!,IF(AND(#REF!="Diferenciado",$H$4=#REF!),BDI!$E$17,IF(AND(#REF!="Diferenciado",$H$4=#REF!),BDI!#REF!,IF(#REF!="ZERO",0))))),"")</f>
        <v>#REF!</v>
      </c>
      <c r="H2648" s="138" t="str">
        <f t="shared" si="154"/>
        <v/>
      </c>
      <c r="I2648" s="136" t="str">
        <f t="shared" si="155"/>
        <v/>
      </c>
    </row>
    <row r="2649" spans="1:9" hidden="1" x14ac:dyDescent="0.25">
      <c r="A2649" s="114" t="s">
        <v>6636</v>
      </c>
      <c r="B2649" s="115" t="s">
        <v>6637</v>
      </c>
      <c r="C2649" s="116" t="s">
        <v>20</v>
      </c>
      <c r="D2649" s="116">
        <v>0</v>
      </c>
      <c r="E2649" s="135" t="s">
        <v>558</v>
      </c>
      <c r="F2649" s="136" t="str">
        <f t="shared" si="153"/>
        <v/>
      </c>
      <c r="G2649" s="137" t="e">
        <f>IF(A2649&lt;&gt;"",IF(AND(#REF!="Padrão",$H$4=#REF!),BDI!$B$17,IF(AND(#REF!="Padrão",$H$4=#REF!),BDI!#REF!,IF(AND(#REF!="Diferenciado",$H$4=#REF!),BDI!$E$17,IF(AND(#REF!="Diferenciado",$H$4=#REF!),BDI!#REF!,IF(#REF!="ZERO",0))))),"")</f>
        <v>#REF!</v>
      </c>
      <c r="H2649" s="138" t="str">
        <f t="shared" si="154"/>
        <v/>
      </c>
      <c r="I2649" s="136" t="str">
        <f t="shared" si="155"/>
        <v/>
      </c>
    </row>
    <row r="2650" spans="1:9" hidden="1" x14ac:dyDescent="0.25">
      <c r="A2650" s="114" t="s">
        <v>6638</v>
      </c>
      <c r="B2650" s="115" t="s">
        <v>6639</v>
      </c>
      <c r="C2650" s="116" t="s">
        <v>93</v>
      </c>
      <c r="D2650" s="116">
        <v>0</v>
      </c>
      <c r="E2650" s="135" t="s">
        <v>558</v>
      </c>
      <c r="F2650" s="136" t="str">
        <f t="shared" si="153"/>
        <v/>
      </c>
      <c r="G2650" s="137" t="e">
        <f>IF(A2650&lt;&gt;"",IF(AND(#REF!="Padrão",$H$4=#REF!),BDI!$B$17,IF(AND(#REF!="Padrão",$H$4=#REF!),BDI!#REF!,IF(AND(#REF!="Diferenciado",$H$4=#REF!),BDI!$E$17,IF(AND(#REF!="Diferenciado",$H$4=#REF!),BDI!#REF!,IF(#REF!="ZERO",0))))),"")</f>
        <v>#REF!</v>
      </c>
      <c r="H2650" s="138" t="str">
        <f t="shared" si="154"/>
        <v/>
      </c>
      <c r="I2650" s="136" t="str">
        <f t="shared" si="155"/>
        <v/>
      </c>
    </row>
    <row r="2651" spans="1:9" hidden="1" x14ac:dyDescent="0.25">
      <c r="A2651" s="114" t="s">
        <v>6640</v>
      </c>
      <c r="B2651" s="115" t="s">
        <v>6641</v>
      </c>
      <c r="C2651" s="116" t="s">
        <v>20</v>
      </c>
      <c r="D2651" s="116">
        <v>0</v>
      </c>
      <c r="E2651" s="135" t="s">
        <v>558</v>
      </c>
      <c r="F2651" s="136" t="str">
        <f t="shared" si="153"/>
        <v/>
      </c>
      <c r="G2651" s="137" t="e">
        <f>IF(A2651&lt;&gt;"",IF(AND(#REF!="Padrão",$H$4=#REF!),BDI!$B$17,IF(AND(#REF!="Padrão",$H$4=#REF!),BDI!#REF!,IF(AND(#REF!="Diferenciado",$H$4=#REF!),BDI!$E$17,IF(AND(#REF!="Diferenciado",$H$4=#REF!),BDI!#REF!,IF(#REF!="ZERO",0))))),"")</f>
        <v>#REF!</v>
      </c>
      <c r="H2651" s="138" t="str">
        <f t="shared" si="154"/>
        <v/>
      </c>
      <c r="I2651" s="136" t="str">
        <f t="shared" si="155"/>
        <v/>
      </c>
    </row>
    <row r="2652" spans="1:9" hidden="1" x14ac:dyDescent="0.25">
      <c r="A2652" s="114" t="s">
        <v>6642</v>
      </c>
      <c r="B2652" s="115" t="s">
        <v>6643</v>
      </c>
      <c r="C2652" s="116" t="s">
        <v>20</v>
      </c>
      <c r="D2652" s="116">
        <v>0</v>
      </c>
      <c r="E2652" s="135" t="s">
        <v>558</v>
      </c>
      <c r="F2652" s="136" t="str">
        <f t="shared" si="153"/>
        <v/>
      </c>
      <c r="G2652" s="137" t="e">
        <f>IF(A2652&lt;&gt;"",IF(AND(#REF!="Padrão",$H$4=#REF!),BDI!$B$17,IF(AND(#REF!="Padrão",$H$4=#REF!),BDI!#REF!,IF(AND(#REF!="Diferenciado",$H$4=#REF!),BDI!$E$17,IF(AND(#REF!="Diferenciado",$H$4=#REF!),BDI!#REF!,IF(#REF!="ZERO",0))))),"")</f>
        <v>#REF!</v>
      </c>
      <c r="H2652" s="138" t="str">
        <f t="shared" si="154"/>
        <v/>
      </c>
      <c r="I2652" s="136" t="str">
        <f t="shared" si="155"/>
        <v/>
      </c>
    </row>
    <row r="2653" spans="1:9" hidden="1" x14ac:dyDescent="0.25">
      <c r="A2653" s="114" t="s">
        <v>6644</v>
      </c>
      <c r="B2653" s="115" t="s">
        <v>6645</v>
      </c>
      <c r="C2653" s="116" t="s">
        <v>20</v>
      </c>
      <c r="D2653" s="116">
        <v>0</v>
      </c>
      <c r="E2653" s="135" t="s">
        <v>558</v>
      </c>
      <c r="F2653" s="136" t="str">
        <f t="shared" si="153"/>
        <v/>
      </c>
      <c r="G2653" s="137" t="e">
        <f>IF(A2653&lt;&gt;"",IF(AND(#REF!="Padrão",$H$4=#REF!),BDI!$B$17,IF(AND(#REF!="Padrão",$H$4=#REF!),BDI!#REF!,IF(AND(#REF!="Diferenciado",$H$4=#REF!),BDI!$E$17,IF(AND(#REF!="Diferenciado",$H$4=#REF!),BDI!#REF!,IF(#REF!="ZERO",0))))),"")</f>
        <v>#REF!</v>
      </c>
      <c r="H2653" s="138" t="str">
        <f t="shared" si="154"/>
        <v/>
      </c>
      <c r="I2653" s="136" t="str">
        <f t="shared" si="155"/>
        <v/>
      </c>
    </row>
    <row r="2654" spans="1:9" hidden="1" x14ac:dyDescent="0.25">
      <c r="A2654" s="114" t="s">
        <v>6646</v>
      </c>
      <c r="B2654" s="115" t="s">
        <v>6647</v>
      </c>
      <c r="C2654" s="116" t="s">
        <v>20</v>
      </c>
      <c r="D2654" s="116">
        <v>0</v>
      </c>
      <c r="E2654" s="135" t="s">
        <v>558</v>
      </c>
      <c r="F2654" s="136" t="str">
        <f t="shared" si="153"/>
        <v/>
      </c>
      <c r="G2654" s="137" t="e">
        <f>IF(A2654&lt;&gt;"",IF(AND(#REF!="Padrão",$H$4=#REF!),BDI!$B$17,IF(AND(#REF!="Padrão",$H$4=#REF!),BDI!#REF!,IF(AND(#REF!="Diferenciado",$H$4=#REF!),BDI!$E$17,IF(AND(#REF!="Diferenciado",$H$4=#REF!),BDI!#REF!,IF(#REF!="ZERO",0))))),"")</f>
        <v>#REF!</v>
      </c>
      <c r="H2654" s="138" t="str">
        <f t="shared" si="154"/>
        <v/>
      </c>
      <c r="I2654" s="136" t="str">
        <f t="shared" si="155"/>
        <v/>
      </c>
    </row>
    <row r="2655" spans="1:9" hidden="1" x14ac:dyDescent="0.25">
      <c r="A2655" s="114" t="s">
        <v>6648</v>
      </c>
      <c r="B2655" s="115" t="s">
        <v>6649</v>
      </c>
      <c r="C2655" s="116" t="s">
        <v>20</v>
      </c>
      <c r="D2655" s="116">
        <v>0</v>
      </c>
      <c r="E2655" s="135" t="s">
        <v>558</v>
      </c>
      <c r="F2655" s="136" t="str">
        <f t="shared" si="153"/>
        <v/>
      </c>
      <c r="G2655" s="137" t="e">
        <f>IF(A2655&lt;&gt;"",IF(AND(#REF!="Padrão",$H$4=#REF!),BDI!$B$17,IF(AND(#REF!="Padrão",$H$4=#REF!),BDI!#REF!,IF(AND(#REF!="Diferenciado",$H$4=#REF!),BDI!$E$17,IF(AND(#REF!="Diferenciado",$H$4=#REF!),BDI!#REF!,IF(#REF!="ZERO",0))))),"")</f>
        <v>#REF!</v>
      </c>
      <c r="H2655" s="138" t="str">
        <f t="shared" si="154"/>
        <v/>
      </c>
      <c r="I2655" s="136" t="str">
        <f t="shared" si="155"/>
        <v/>
      </c>
    </row>
    <row r="2656" spans="1:9" hidden="1" x14ac:dyDescent="0.25">
      <c r="A2656" s="114" t="s">
        <v>6650</v>
      </c>
      <c r="B2656" s="115" t="s">
        <v>6651</v>
      </c>
      <c r="C2656" s="116" t="s">
        <v>20</v>
      </c>
      <c r="D2656" s="116">
        <v>0</v>
      </c>
      <c r="E2656" s="135" t="s">
        <v>558</v>
      </c>
      <c r="F2656" s="136" t="str">
        <f t="shared" si="153"/>
        <v/>
      </c>
      <c r="G2656" s="137" t="e">
        <f>IF(A2656&lt;&gt;"",IF(AND(#REF!="Padrão",$H$4=#REF!),BDI!$B$17,IF(AND(#REF!="Padrão",$H$4=#REF!),BDI!#REF!,IF(AND(#REF!="Diferenciado",$H$4=#REF!),BDI!$E$17,IF(AND(#REF!="Diferenciado",$H$4=#REF!),BDI!#REF!,IF(#REF!="ZERO",0))))),"")</f>
        <v>#REF!</v>
      </c>
      <c r="H2656" s="138" t="str">
        <f t="shared" si="154"/>
        <v/>
      </c>
      <c r="I2656" s="136" t="str">
        <f t="shared" si="155"/>
        <v/>
      </c>
    </row>
    <row r="2657" spans="1:9" hidden="1" x14ac:dyDescent="0.25">
      <c r="A2657" s="114" t="s">
        <v>6652</v>
      </c>
      <c r="B2657" s="115" t="s">
        <v>6653</v>
      </c>
      <c r="C2657" s="116" t="s">
        <v>20</v>
      </c>
      <c r="D2657" s="116">
        <v>0</v>
      </c>
      <c r="E2657" s="135" t="s">
        <v>558</v>
      </c>
      <c r="F2657" s="136" t="str">
        <f t="shared" si="153"/>
        <v/>
      </c>
      <c r="G2657" s="137" t="e">
        <f>IF(A2657&lt;&gt;"",IF(AND(#REF!="Padrão",$H$4=#REF!),BDI!$B$17,IF(AND(#REF!="Padrão",$H$4=#REF!),BDI!#REF!,IF(AND(#REF!="Diferenciado",$H$4=#REF!),BDI!$E$17,IF(AND(#REF!="Diferenciado",$H$4=#REF!),BDI!#REF!,IF(#REF!="ZERO",0))))),"")</f>
        <v>#REF!</v>
      </c>
      <c r="H2657" s="138" t="str">
        <f t="shared" si="154"/>
        <v/>
      </c>
      <c r="I2657" s="136" t="str">
        <f t="shared" si="155"/>
        <v/>
      </c>
    </row>
    <row r="2658" spans="1:9" hidden="1" x14ac:dyDescent="0.25">
      <c r="A2658" s="114" t="s">
        <v>6654</v>
      </c>
      <c r="B2658" s="115" t="s">
        <v>6655</v>
      </c>
      <c r="C2658" s="116" t="s">
        <v>20</v>
      </c>
      <c r="D2658" s="116">
        <v>0</v>
      </c>
      <c r="E2658" s="135" t="s">
        <v>558</v>
      </c>
      <c r="F2658" s="136" t="str">
        <f t="shared" si="153"/>
        <v/>
      </c>
      <c r="G2658" s="137" t="e">
        <f>IF(A2658&lt;&gt;"",IF(AND(#REF!="Padrão",$H$4=#REF!),BDI!$B$17,IF(AND(#REF!="Padrão",$H$4=#REF!),BDI!#REF!,IF(AND(#REF!="Diferenciado",$H$4=#REF!),BDI!$E$17,IF(AND(#REF!="Diferenciado",$H$4=#REF!),BDI!#REF!,IF(#REF!="ZERO",0))))),"")</f>
        <v>#REF!</v>
      </c>
      <c r="H2658" s="138" t="str">
        <f t="shared" si="154"/>
        <v/>
      </c>
      <c r="I2658" s="136" t="str">
        <f t="shared" si="155"/>
        <v/>
      </c>
    </row>
    <row r="2659" spans="1:9" hidden="1" x14ac:dyDescent="0.25">
      <c r="A2659" s="114" t="s">
        <v>6656</v>
      </c>
      <c r="B2659" s="115" t="s">
        <v>6657</v>
      </c>
      <c r="C2659" s="116" t="s">
        <v>20</v>
      </c>
      <c r="D2659" s="116">
        <v>0</v>
      </c>
      <c r="E2659" s="135" t="s">
        <v>558</v>
      </c>
      <c r="F2659" s="136" t="str">
        <f t="shared" si="153"/>
        <v/>
      </c>
      <c r="G2659" s="137" t="e">
        <f>IF(A2659&lt;&gt;"",IF(AND(#REF!="Padrão",$H$4=#REF!),BDI!$B$17,IF(AND(#REF!="Padrão",$H$4=#REF!),BDI!#REF!,IF(AND(#REF!="Diferenciado",$H$4=#REF!),BDI!$E$17,IF(AND(#REF!="Diferenciado",$H$4=#REF!),BDI!#REF!,IF(#REF!="ZERO",0))))),"")</f>
        <v>#REF!</v>
      </c>
      <c r="H2659" s="138" t="str">
        <f t="shared" si="154"/>
        <v/>
      </c>
      <c r="I2659" s="136" t="str">
        <f t="shared" si="155"/>
        <v/>
      </c>
    </row>
    <row r="2660" spans="1:9" hidden="1" x14ac:dyDescent="0.25">
      <c r="A2660" s="114" t="s">
        <v>6658</v>
      </c>
      <c r="B2660" s="115" t="s">
        <v>6659</v>
      </c>
      <c r="C2660" s="116" t="s">
        <v>20</v>
      </c>
      <c r="D2660" s="116">
        <v>0</v>
      </c>
      <c r="E2660" s="135" t="s">
        <v>558</v>
      </c>
      <c r="F2660" s="136" t="str">
        <f t="shared" si="153"/>
        <v/>
      </c>
      <c r="G2660" s="137" t="e">
        <f>IF(A2660&lt;&gt;"",IF(AND(#REF!="Padrão",$H$4=#REF!),BDI!$B$17,IF(AND(#REF!="Padrão",$H$4=#REF!),BDI!#REF!,IF(AND(#REF!="Diferenciado",$H$4=#REF!),BDI!$E$17,IF(AND(#REF!="Diferenciado",$H$4=#REF!),BDI!#REF!,IF(#REF!="ZERO",0))))),"")</f>
        <v>#REF!</v>
      </c>
      <c r="H2660" s="138" t="str">
        <f t="shared" si="154"/>
        <v/>
      </c>
      <c r="I2660" s="136" t="str">
        <f t="shared" si="155"/>
        <v/>
      </c>
    </row>
    <row r="2661" spans="1:9" hidden="1" x14ac:dyDescent="0.25">
      <c r="A2661" s="114" t="s">
        <v>6660</v>
      </c>
      <c r="B2661" s="115" t="s">
        <v>6661</v>
      </c>
      <c r="C2661" s="116" t="s">
        <v>20</v>
      </c>
      <c r="D2661" s="116">
        <v>0</v>
      </c>
      <c r="E2661" s="135" t="s">
        <v>558</v>
      </c>
      <c r="F2661" s="136" t="str">
        <f t="shared" si="153"/>
        <v/>
      </c>
      <c r="G2661" s="137" t="e">
        <f>IF(A2661&lt;&gt;"",IF(AND(#REF!="Padrão",$H$4=#REF!),BDI!$B$17,IF(AND(#REF!="Padrão",$H$4=#REF!),BDI!#REF!,IF(AND(#REF!="Diferenciado",$H$4=#REF!),BDI!$E$17,IF(AND(#REF!="Diferenciado",$H$4=#REF!),BDI!#REF!,IF(#REF!="ZERO",0))))),"")</f>
        <v>#REF!</v>
      </c>
      <c r="H2661" s="138" t="str">
        <f t="shared" si="154"/>
        <v/>
      </c>
      <c r="I2661" s="136" t="str">
        <f t="shared" si="155"/>
        <v/>
      </c>
    </row>
    <row r="2662" spans="1:9" hidden="1" x14ac:dyDescent="0.25">
      <c r="A2662" s="114" t="s">
        <v>6662</v>
      </c>
      <c r="B2662" s="115" t="s">
        <v>6663</v>
      </c>
      <c r="C2662" s="116" t="s">
        <v>20</v>
      </c>
      <c r="D2662" s="116">
        <v>0</v>
      </c>
      <c r="E2662" s="135" t="s">
        <v>558</v>
      </c>
      <c r="F2662" s="136" t="str">
        <f t="shared" si="153"/>
        <v/>
      </c>
      <c r="G2662" s="137" t="e">
        <f>IF(A2662&lt;&gt;"",IF(AND(#REF!="Padrão",$H$4=#REF!),BDI!$B$17,IF(AND(#REF!="Padrão",$H$4=#REF!),BDI!#REF!,IF(AND(#REF!="Diferenciado",$H$4=#REF!),BDI!$E$17,IF(AND(#REF!="Diferenciado",$H$4=#REF!),BDI!#REF!,IF(#REF!="ZERO",0))))),"")</f>
        <v>#REF!</v>
      </c>
      <c r="H2662" s="138" t="str">
        <f t="shared" si="154"/>
        <v/>
      </c>
      <c r="I2662" s="136" t="str">
        <f t="shared" si="155"/>
        <v/>
      </c>
    </row>
    <row r="2663" spans="1:9" hidden="1" x14ac:dyDescent="0.25">
      <c r="A2663" s="114" t="s">
        <v>6664</v>
      </c>
      <c r="B2663" s="115" t="s">
        <v>6665</v>
      </c>
      <c r="C2663" s="116" t="s">
        <v>20</v>
      </c>
      <c r="D2663" s="116">
        <v>0</v>
      </c>
      <c r="E2663" s="135" t="s">
        <v>558</v>
      </c>
      <c r="F2663" s="136" t="str">
        <f t="shared" si="153"/>
        <v/>
      </c>
      <c r="G2663" s="137" t="e">
        <f>IF(A2663&lt;&gt;"",IF(AND(#REF!="Padrão",$H$4=#REF!),BDI!$B$17,IF(AND(#REF!="Padrão",$H$4=#REF!),BDI!#REF!,IF(AND(#REF!="Diferenciado",$H$4=#REF!),BDI!$E$17,IF(AND(#REF!="Diferenciado",$H$4=#REF!),BDI!#REF!,IF(#REF!="ZERO",0))))),"")</f>
        <v>#REF!</v>
      </c>
      <c r="H2663" s="138" t="str">
        <f t="shared" si="154"/>
        <v/>
      </c>
      <c r="I2663" s="136" t="str">
        <f t="shared" si="155"/>
        <v/>
      </c>
    </row>
    <row r="2664" spans="1:9" hidden="1" x14ac:dyDescent="0.25">
      <c r="A2664" s="114" t="s">
        <v>6666</v>
      </c>
      <c r="B2664" s="115" t="s">
        <v>6667</v>
      </c>
      <c r="C2664" s="116" t="s">
        <v>20</v>
      </c>
      <c r="D2664" s="116">
        <v>0</v>
      </c>
      <c r="E2664" s="135" t="s">
        <v>558</v>
      </c>
      <c r="F2664" s="136" t="str">
        <f t="shared" si="153"/>
        <v/>
      </c>
      <c r="G2664" s="137" t="e">
        <f>IF(A2664&lt;&gt;"",IF(AND(#REF!="Padrão",$H$4=#REF!),BDI!$B$17,IF(AND(#REF!="Padrão",$H$4=#REF!),BDI!#REF!,IF(AND(#REF!="Diferenciado",$H$4=#REF!),BDI!$E$17,IF(AND(#REF!="Diferenciado",$H$4=#REF!),BDI!#REF!,IF(#REF!="ZERO",0))))),"")</f>
        <v>#REF!</v>
      </c>
      <c r="H2664" s="138" t="str">
        <f t="shared" si="154"/>
        <v/>
      </c>
      <c r="I2664" s="136" t="str">
        <f t="shared" si="155"/>
        <v/>
      </c>
    </row>
    <row r="2665" spans="1:9" hidden="1" x14ac:dyDescent="0.25">
      <c r="A2665" s="114" t="s">
        <v>6668</v>
      </c>
      <c r="B2665" s="115" t="s">
        <v>6669</v>
      </c>
      <c r="C2665" s="116" t="s">
        <v>20</v>
      </c>
      <c r="D2665" s="116">
        <v>0</v>
      </c>
      <c r="E2665" s="135" t="s">
        <v>558</v>
      </c>
      <c r="F2665" s="136" t="str">
        <f t="shared" si="153"/>
        <v/>
      </c>
      <c r="G2665" s="137" t="e">
        <f>IF(A2665&lt;&gt;"",IF(AND(#REF!="Padrão",$H$4=#REF!),BDI!$B$17,IF(AND(#REF!="Padrão",$H$4=#REF!),BDI!#REF!,IF(AND(#REF!="Diferenciado",$H$4=#REF!),BDI!$E$17,IF(AND(#REF!="Diferenciado",$H$4=#REF!),BDI!#REF!,IF(#REF!="ZERO",0))))),"")</f>
        <v>#REF!</v>
      </c>
      <c r="H2665" s="138" t="str">
        <f t="shared" si="154"/>
        <v/>
      </c>
      <c r="I2665" s="136" t="str">
        <f t="shared" si="155"/>
        <v/>
      </c>
    </row>
    <row r="2666" spans="1:9" hidden="1" x14ac:dyDescent="0.25">
      <c r="A2666" s="114" t="s">
        <v>6670</v>
      </c>
      <c r="B2666" s="115" t="s">
        <v>6671</v>
      </c>
      <c r="C2666" s="116" t="s">
        <v>20</v>
      </c>
      <c r="D2666" s="116">
        <v>0</v>
      </c>
      <c r="E2666" s="135" t="s">
        <v>558</v>
      </c>
      <c r="F2666" s="136" t="str">
        <f t="shared" si="153"/>
        <v/>
      </c>
      <c r="G2666" s="137" t="e">
        <f>IF(A2666&lt;&gt;"",IF(AND(#REF!="Padrão",$H$4=#REF!),BDI!$B$17,IF(AND(#REF!="Padrão",$H$4=#REF!),BDI!#REF!,IF(AND(#REF!="Diferenciado",$H$4=#REF!),BDI!$E$17,IF(AND(#REF!="Diferenciado",$H$4=#REF!),BDI!#REF!,IF(#REF!="ZERO",0))))),"")</f>
        <v>#REF!</v>
      </c>
      <c r="H2666" s="138" t="str">
        <f t="shared" si="154"/>
        <v/>
      </c>
      <c r="I2666" s="136" t="str">
        <f t="shared" si="155"/>
        <v/>
      </c>
    </row>
    <row r="2667" spans="1:9" hidden="1" x14ac:dyDescent="0.25">
      <c r="A2667" s="114" t="s">
        <v>6672</v>
      </c>
      <c r="B2667" s="115" t="s">
        <v>6673</v>
      </c>
      <c r="C2667" s="116" t="s">
        <v>20</v>
      </c>
      <c r="D2667" s="116">
        <v>0</v>
      </c>
      <c r="E2667" s="135" t="s">
        <v>558</v>
      </c>
      <c r="F2667" s="136" t="str">
        <f t="shared" si="153"/>
        <v/>
      </c>
      <c r="G2667" s="137" t="e">
        <f>IF(A2667&lt;&gt;"",IF(AND(#REF!="Padrão",$H$4=#REF!),BDI!$B$17,IF(AND(#REF!="Padrão",$H$4=#REF!),BDI!#REF!,IF(AND(#REF!="Diferenciado",$H$4=#REF!),BDI!$E$17,IF(AND(#REF!="Diferenciado",$H$4=#REF!),BDI!#REF!,IF(#REF!="ZERO",0))))),"")</f>
        <v>#REF!</v>
      </c>
      <c r="H2667" s="138" t="str">
        <f t="shared" si="154"/>
        <v/>
      </c>
      <c r="I2667" s="136" t="str">
        <f t="shared" si="155"/>
        <v/>
      </c>
    </row>
    <row r="2668" spans="1:9" hidden="1" x14ac:dyDescent="0.25">
      <c r="A2668" s="114" t="s">
        <v>6674</v>
      </c>
      <c r="B2668" s="115" t="s">
        <v>6675</v>
      </c>
      <c r="C2668" s="116" t="s">
        <v>20</v>
      </c>
      <c r="D2668" s="116">
        <v>0</v>
      </c>
      <c r="E2668" s="135" t="s">
        <v>558</v>
      </c>
      <c r="F2668" s="136" t="str">
        <f t="shared" si="153"/>
        <v/>
      </c>
      <c r="G2668" s="137" t="e">
        <f>IF(A2668&lt;&gt;"",IF(AND(#REF!="Padrão",$H$4=#REF!),BDI!$B$17,IF(AND(#REF!="Padrão",$H$4=#REF!),BDI!#REF!,IF(AND(#REF!="Diferenciado",$H$4=#REF!),BDI!$E$17,IF(AND(#REF!="Diferenciado",$H$4=#REF!),BDI!#REF!,IF(#REF!="ZERO",0))))),"")</f>
        <v>#REF!</v>
      </c>
      <c r="H2668" s="138" t="str">
        <f t="shared" si="154"/>
        <v/>
      </c>
      <c r="I2668" s="136" t="str">
        <f t="shared" si="155"/>
        <v/>
      </c>
    </row>
    <row r="2669" spans="1:9" hidden="1" x14ac:dyDescent="0.25">
      <c r="A2669" s="114" t="s">
        <v>6676</v>
      </c>
      <c r="B2669" s="115" t="s">
        <v>6677</v>
      </c>
      <c r="C2669" s="116" t="s">
        <v>20</v>
      </c>
      <c r="D2669" s="116">
        <v>0</v>
      </c>
      <c r="E2669" s="135" t="s">
        <v>558</v>
      </c>
      <c r="F2669" s="136" t="str">
        <f t="shared" si="153"/>
        <v/>
      </c>
      <c r="G2669" s="137" t="e">
        <f>IF(A2669&lt;&gt;"",IF(AND(#REF!="Padrão",$H$4=#REF!),BDI!$B$17,IF(AND(#REF!="Padrão",$H$4=#REF!),BDI!#REF!,IF(AND(#REF!="Diferenciado",$H$4=#REF!),BDI!$E$17,IF(AND(#REF!="Diferenciado",$H$4=#REF!),BDI!#REF!,IF(#REF!="ZERO",0))))),"")</f>
        <v>#REF!</v>
      </c>
      <c r="H2669" s="138" t="str">
        <f t="shared" si="154"/>
        <v/>
      </c>
      <c r="I2669" s="136" t="str">
        <f t="shared" si="155"/>
        <v/>
      </c>
    </row>
    <row r="2670" spans="1:9" hidden="1" x14ac:dyDescent="0.25">
      <c r="A2670" s="114" t="s">
        <v>6678</v>
      </c>
      <c r="B2670" s="115" t="s">
        <v>6679</v>
      </c>
      <c r="C2670" s="116" t="s">
        <v>20</v>
      </c>
      <c r="D2670" s="116">
        <v>0</v>
      </c>
      <c r="E2670" s="135" t="s">
        <v>558</v>
      </c>
      <c r="F2670" s="136" t="str">
        <f t="shared" si="153"/>
        <v/>
      </c>
      <c r="G2670" s="137" t="e">
        <f>IF(A2670&lt;&gt;"",IF(AND(#REF!="Padrão",$H$4=#REF!),BDI!$B$17,IF(AND(#REF!="Padrão",$H$4=#REF!),BDI!#REF!,IF(AND(#REF!="Diferenciado",$H$4=#REF!),BDI!$E$17,IF(AND(#REF!="Diferenciado",$H$4=#REF!),BDI!#REF!,IF(#REF!="ZERO",0))))),"")</f>
        <v>#REF!</v>
      </c>
      <c r="H2670" s="138" t="str">
        <f t="shared" si="154"/>
        <v/>
      </c>
      <c r="I2670" s="136" t="str">
        <f t="shared" si="155"/>
        <v/>
      </c>
    </row>
    <row r="2671" spans="1:9" hidden="1" x14ac:dyDescent="0.25">
      <c r="A2671" s="114" t="s">
        <v>6680</v>
      </c>
      <c r="B2671" s="115" t="s">
        <v>6681</v>
      </c>
      <c r="C2671" s="116" t="s">
        <v>20</v>
      </c>
      <c r="D2671" s="116">
        <v>0</v>
      </c>
      <c r="E2671" s="135" t="s">
        <v>558</v>
      </c>
      <c r="F2671" s="136" t="str">
        <f t="shared" si="153"/>
        <v/>
      </c>
      <c r="G2671" s="137" t="e">
        <f>IF(A2671&lt;&gt;"",IF(AND(#REF!="Padrão",$H$4=#REF!),BDI!$B$17,IF(AND(#REF!="Padrão",$H$4=#REF!),BDI!#REF!,IF(AND(#REF!="Diferenciado",$H$4=#REF!),BDI!$E$17,IF(AND(#REF!="Diferenciado",$H$4=#REF!),BDI!#REF!,IF(#REF!="ZERO",0))))),"")</f>
        <v>#REF!</v>
      </c>
      <c r="H2671" s="138" t="str">
        <f t="shared" si="154"/>
        <v/>
      </c>
      <c r="I2671" s="136" t="str">
        <f t="shared" si="155"/>
        <v/>
      </c>
    </row>
    <row r="2672" spans="1:9" hidden="1" x14ac:dyDescent="0.25">
      <c r="A2672" s="114" t="s">
        <v>6682</v>
      </c>
      <c r="B2672" s="115" t="s">
        <v>6683</v>
      </c>
      <c r="C2672" s="116" t="s">
        <v>20</v>
      </c>
      <c r="D2672" s="116">
        <v>0</v>
      </c>
      <c r="E2672" s="135" t="s">
        <v>558</v>
      </c>
      <c r="F2672" s="136" t="str">
        <f t="shared" si="153"/>
        <v/>
      </c>
      <c r="G2672" s="137" t="e">
        <f>IF(A2672&lt;&gt;"",IF(AND(#REF!="Padrão",$H$4=#REF!),BDI!$B$17,IF(AND(#REF!="Padrão",$H$4=#REF!),BDI!#REF!,IF(AND(#REF!="Diferenciado",$H$4=#REF!),BDI!$E$17,IF(AND(#REF!="Diferenciado",$H$4=#REF!),BDI!#REF!,IF(#REF!="ZERO",0))))),"")</f>
        <v>#REF!</v>
      </c>
      <c r="H2672" s="138" t="str">
        <f t="shared" si="154"/>
        <v/>
      </c>
      <c r="I2672" s="136" t="str">
        <f t="shared" si="155"/>
        <v/>
      </c>
    </row>
    <row r="2673" spans="1:9" hidden="1" x14ac:dyDescent="0.25">
      <c r="A2673" s="114" t="s">
        <v>6684</v>
      </c>
      <c r="B2673" s="115" t="s">
        <v>6685</v>
      </c>
      <c r="C2673" s="116" t="s">
        <v>20</v>
      </c>
      <c r="D2673" s="116">
        <v>0</v>
      </c>
      <c r="E2673" s="135" t="s">
        <v>558</v>
      </c>
      <c r="F2673" s="136" t="str">
        <f t="shared" si="153"/>
        <v/>
      </c>
      <c r="G2673" s="137" t="e">
        <f>IF(A2673&lt;&gt;"",IF(AND(#REF!="Padrão",$H$4=#REF!),BDI!$B$17,IF(AND(#REF!="Padrão",$H$4=#REF!),BDI!#REF!,IF(AND(#REF!="Diferenciado",$H$4=#REF!),BDI!$E$17,IF(AND(#REF!="Diferenciado",$H$4=#REF!),BDI!#REF!,IF(#REF!="ZERO",0))))),"")</f>
        <v>#REF!</v>
      </c>
      <c r="H2673" s="138" t="str">
        <f t="shared" si="154"/>
        <v/>
      </c>
      <c r="I2673" s="136" t="str">
        <f t="shared" si="155"/>
        <v/>
      </c>
    </row>
    <row r="2674" spans="1:9" hidden="1" x14ac:dyDescent="0.25">
      <c r="A2674" s="114" t="s">
        <v>6686</v>
      </c>
      <c r="B2674" s="115" t="s">
        <v>6687</v>
      </c>
      <c r="C2674" s="116" t="s">
        <v>20</v>
      </c>
      <c r="D2674" s="116">
        <v>0</v>
      </c>
      <c r="E2674" s="135" t="s">
        <v>558</v>
      </c>
      <c r="F2674" s="136" t="str">
        <f t="shared" si="153"/>
        <v/>
      </c>
      <c r="G2674" s="137" t="e">
        <f>IF(A2674&lt;&gt;"",IF(AND(#REF!="Padrão",$H$4=#REF!),BDI!$B$17,IF(AND(#REF!="Padrão",$H$4=#REF!),BDI!#REF!,IF(AND(#REF!="Diferenciado",$H$4=#REF!),BDI!$E$17,IF(AND(#REF!="Diferenciado",$H$4=#REF!),BDI!#REF!,IF(#REF!="ZERO",0))))),"")</f>
        <v>#REF!</v>
      </c>
      <c r="H2674" s="138" t="str">
        <f t="shared" si="154"/>
        <v/>
      </c>
      <c r="I2674" s="136" t="str">
        <f t="shared" si="155"/>
        <v/>
      </c>
    </row>
    <row r="2675" spans="1:9" hidden="1" x14ac:dyDescent="0.25">
      <c r="A2675" s="114" t="s">
        <v>6688</v>
      </c>
      <c r="B2675" s="115" t="s">
        <v>6689</v>
      </c>
      <c r="C2675" s="116" t="s">
        <v>20</v>
      </c>
      <c r="D2675" s="116">
        <v>0</v>
      </c>
      <c r="E2675" s="135" t="s">
        <v>558</v>
      </c>
      <c r="F2675" s="136" t="str">
        <f t="shared" si="153"/>
        <v/>
      </c>
      <c r="G2675" s="137" t="e">
        <f>IF(A2675&lt;&gt;"",IF(AND(#REF!="Padrão",$H$4=#REF!),BDI!$B$17,IF(AND(#REF!="Padrão",$H$4=#REF!),BDI!#REF!,IF(AND(#REF!="Diferenciado",$H$4=#REF!),BDI!$E$17,IF(AND(#REF!="Diferenciado",$H$4=#REF!),BDI!#REF!,IF(#REF!="ZERO",0))))),"")</f>
        <v>#REF!</v>
      </c>
      <c r="H2675" s="138" t="str">
        <f t="shared" si="154"/>
        <v/>
      </c>
      <c r="I2675" s="136" t="str">
        <f t="shared" si="155"/>
        <v/>
      </c>
    </row>
    <row r="2676" spans="1:9" hidden="1" x14ac:dyDescent="0.25">
      <c r="A2676" s="114" t="s">
        <v>6690</v>
      </c>
      <c r="B2676" s="115" t="s">
        <v>6691</v>
      </c>
      <c r="C2676" s="116" t="s">
        <v>20</v>
      </c>
      <c r="D2676" s="116">
        <v>0</v>
      </c>
      <c r="E2676" s="135" t="s">
        <v>558</v>
      </c>
      <c r="F2676" s="136" t="str">
        <f t="shared" si="153"/>
        <v/>
      </c>
      <c r="G2676" s="137" t="e">
        <f>IF(A2676&lt;&gt;"",IF(AND(#REF!="Padrão",$H$4=#REF!),BDI!$B$17,IF(AND(#REF!="Padrão",$H$4=#REF!),BDI!#REF!,IF(AND(#REF!="Diferenciado",$H$4=#REF!),BDI!$E$17,IF(AND(#REF!="Diferenciado",$H$4=#REF!),BDI!#REF!,IF(#REF!="ZERO",0))))),"")</f>
        <v>#REF!</v>
      </c>
      <c r="H2676" s="138" t="str">
        <f t="shared" si="154"/>
        <v/>
      </c>
      <c r="I2676" s="136" t="str">
        <f t="shared" si="155"/>
        <v/>
      </c>
    </row>
    <row r="2677" spans="1:9" hidden="1" x14ac:dyDescent="0.25">
      <c r="A2677" s="114" t="s">
        <v>6692</v>
      </c>
      <c r="B2677" s="115" t="s">
        <v>6693</v>
      </c>
      <c r="C2677" s="116" t="s">
        <v>20</v>
      </c>
      <c r="D2677" s="116">
        <v>0</v>
      </c>
      <c r="E2677" s="135" t="s">
        <v>558</v>
      </c>
      <c r="F2677" s="136" t="str">
        <f t="shared" si="153"/>
        <v/>
      </c>
      <c r="G2677" s="137" t="e">
        <f>IF(A2677&lt;&gt;"",IF(AND(#REF!="Padrão",$H$4=#REF!),BDI!$B$17,IF(AND(#REF!="Padrão",$H$4=#REF!),BDI!#REF!,IF(AND(#REF!="Diferenciado",$H$4=#REF!),BDI!$E$17,IF(AND(#REF!="Diferenciado",$H$4=#REF!),BDI!#REF!,IF(#REF!="ZERO",0))))),"")</f>
        <v>#REF!</v>
      </c>
      <c r="H2677" s="138" t="str">
        <f t="shared" si="154"/>
        <v/>
      </c>
      <c r="I2677" s="136" t="str">
        <f t="shared" si="155"/>
        <v/>
      </c>
    </row>
    <row r="2678" spans="1:9" hidden="1" x14ac:dyDescent="0.25">
      <c r="A2678" s="114" t="s">
        <v>6694</v>
      </c>
      <c r="B2678" s="115" t="s">
        <v>6695</v>
      </c>
      <c r="C2678" s="116" t="s">
        <v>20</v>
      </c>
      <c r="D2678" s="116">
        <v>0</v>
      </c>
      <c r="E2678" s="135" t="s">
        <v>558</v>
      </c>
      <c r="F2678" s="136" t="str">
        <f t="shared" si="153"/>
        <v/>
      </c>
      <c r="G2678" s="137" t="e">
        <f>IF(A2678&lt;&gt;"",IF(AND(#REF!="Padrão",$H$4=#REF!),BDI!$B$17,IF(AND(#REF!="Padrão",$H$4=#REF!),BDI!#REF!,IF(AND(#REF!="Diferenciado",$H$4=#REF!),BDI!$E$17,IF(AND(#REF!="Diferenciado",$H$4=#REF!),BDI!#REF!,IF(#REF!="ZERO",0))))),"")</f>
        <v>#REF!</v>
      </c>
      <c r="H2678" s="138" t="str">
        <f t="shared" si="154"/>
        <v/>
      </c>
      <c r="I2678" s="136" t="str">
        <f t="shared" si="155"/>
        <v/>
      </c>
    </row>
    <row r="2679" spans="1:9" hidden="1" x14ac:dyDescent="0.25">
      <c r="A2679" s="114" t="s">
        <v>6696</v>
      </c>
      <c r="B2679" s="115" t="s">
        <v>6697</v>
      </c>
      <c r="C2679" s="116" t="s">
        <v>20</v>
      </c>
      <c r="D2679" s="116">
        <v>0</v>
      </c>
      <c r="E2679" s="135" t="s">
        <v>558</v>
      </c>
      <c r="F2679" s="136" t="str">
        <f t="shared" si="153"/>
        <v/>
      </c>
      <c r="G2679" s="137" t="e">
        <f>IF(A2679&lt;&gt;"",IF(AND(#REF!="Padrão",$H$4=#REF!),BDI!$B$17,IF(AND(#REF!="Padrão",$H$4=#REF!),BDI!#REF!,IF(AND(#REF!="Diferenciado",$H$4=#REF!),BDI!$E$17,IF(AND(#REF!="Diferenciado",$H$4=#REF!),BDI!#REF!,IF(#REF!="ZERO",0))))),"")</f>
        <v>#REF!</v>
      </c>
      <c r="H2679" s="138" t="str">
        <f t="shared" si="154"/>
        <v/>
      </c>
      <c r="I2679" s="136" t="str">
        <f t="shared" si="155"/>
        <v/>
      </c>
    </row>
    <row r="2680" spans="1:9" hidden="1" x14ac:dyDescent="0.25">
      <c r="A2680" s="114" t="s">
        <v>6698</v>
      </c>
      <c r="B2680" s="115" t="s">
        <v>6699</v>
      </c>
      <c r="C2680" s="116" t="s">
        <v>20</v>
      </c>
      <c r="D2680" s="116">
        <v>0</v>
      </c>
      <c r="E2680" s="135" t="s">
        <v>558</v>
      </c>
      <c r="F2680" s="136" t="str">
        <f t="shared" si="153"/>
        <v/>
      </c>
      <c r="G2680" s="137" t="e">
        <f>IF(A2680&lt;&gt;"",IF(AND(#REF!="Padrão",$H$4=#REF!),BDI!$B$17,IF(AND(#REF!="Padrão",$H$4=#REF!),BDI!#REF!,IF(AND(#REF!="Diferenciado",$H$4=#REF!),BDI!$E$17,IF(AND(#REF!="Diferenciado",$H$4=#REF!),BDI!#REF!,IF(#REF!="ZERO",0))))),"")</f>
        <v>#REF!</v>
      </c>
      <c r="H2680" s="138" t="str">
        <f t="shared" si="154"/>
        <v/>
      </c>
      <c r="I2680" s="136" t="str">
        <f t="shared" si="155"/>
        <v/>
      </c>
    </row>
    <row r="2681" spans="1:9" hidden="1" x14ac:dyDescent="0.25">
      <c r="A2681" s="114" t="s">
        <v>6700</v>
      </c>
      <c r="B2681" s="115" t="s">
        <v>6701</v>
      </c>
      <c r="C2681" s="116" t="s">
        <v>20</v>
      </c>
      <c r="D2681" s="116">
        <v>0</v>
      </c>
      <c r="E2681" s="135" t="s">
        <v>558</v>
      </c>
      <c r="F2681" s="136" t="str">
        <f t="shared" si="153"/>
        <v/>
      </c>
      <c r="G2681" s="137" t="e">
        <f>IF(A2681&lt;&gt;"",IF(AND(#REF!="Padrão",$H$4=#REF!),BDI!$B$17,IF(AND(#REF!="Padrão",$H$4=#REF!),BDI!#REF!,IF(AND(#REF!="Diferenciado",$H$4=#REF!),BDI!$E$17,IF(AND(#REF!="Diferenciado",$H$4=#REF!),BDI!#REF!,IF(#REF!="ZERO",0))))),"")</f>
        <v>#REF!</v>
      </c>
      <c r="H2681" s="138" t="str">
        <f t="shared" si="154"/>
        <v/>
      </c>
      <c r="I2681" s="136" t="str">
        <f t="shared" si="155"/>
        <v/>
      </c>
    </row>
    <row r="2682" spans="1:9" ht="5.0999999999999996" customHeight="1" thickBot="1" x14ac:dyDescent="0.3">
      <c r="A2682" s="219"/>
      <c r="B2682" s="220"/>
      <c r="C2682" s="221"/>
      <c r="D2682" s="221"/>
      <c r="E2682" s="222"/>
      <c r="F2682" s="222"/>
      <c r="G2682" s="223"/>
      <c r="H2682" s="224"/>
      <c r="I2682" s="225"/>
    </row>
    <row r="2683" spans="1:9" ht="15.75" thickBot="1" x14ac:dyDescent="0.3">
      <c r="A2683" s="144">
        <f>SUBTOTAL(103,A6:A2682)</f>
        <v>12</v>
      </c>
      <c r="B2683" s="226"/>
      <c r="C2683" s="143"/>
      <c r="D2683" s="227"/>
      <c r="E2683" s="227"/>
      <c r="F2683" s="141"/>
      <c r="G2683" s="227"/>
      <c r="H2683" s="227" t="s">
        <v>1528</v>
      </c>
      <c r="I2683" s="139">
        <f ca="1">SUBTOTAL(109,F6:F2682)</f>
        <v>547075.45409113215</v>
      </c>
    </row>
    <row r="2684" spans="1:9" ht="15.75" thickBot="1" x14ac:dyDescent="0.3">
      <c r="A2684" s="228"/>
      <c r="B2684" s="229"/>
      <c r="C2684" s="143"/>
      <c r="D2684" s="230"/>
      <c r="E2684" s="230"/>
      <c r="F2684" s="142"/>
      <c r="G2684" s="231"/>
      <c r="H2684" s="231" t="s">
        <v>7</v>
      </c>
      <c r="I2684" s="140">
        <f ca="1">SUBTOTAL(109,I6:I2682)</f>
        <v>611339.65</v>
      </c>
    </row>
    <row r="2685" spans="1:9" x14ac:dyDescent="0.25">
      <c r="A2685" s="3"/>
      <c r="B2685" s="118"/>
      <c r="C2685" s="3"/>
      <c r="D2685" s="119"/>
      <c r="E2685" s="120"/>
      <c r="F2685" s="121"/>
      <c r="G2685" s="120"/>
      <c r="H2685" s="120"/>
      <c r="I2685" s="121"/>
    </row>
    <row r="2686" spans="1:9" x14ac:dyDescent="0.25">
      <c r="A2686" s="3"/>
      <c r="B2686" s="118"/>
      <c r="C2686" s="3"/>
      <c r="D2686" s="122"/>
      <c r="E2686" s="123"/>
      <c r="F2686" s="123"/>
      <c r="G2686" s="123"/>
      <c r="H2686" s="123"/>
      <c r="I2686" s="123"/>
    </row>
  </sheetData>
  <sheetProtection algorithmName="SHA-512" hashValue="c6puRftkM3P/v6E+gwEYJfd7Z3gWjdnWwgoWmWvx0cfOGXQ61LRu8mkF0jZpN/L2j8CFfQPKlowv9KHtqng3LQ==" saltValue="IXFGhF+1js3Kbde/fCdiWQ==" spinCount="100000" sheet="1" objects="1" scenarios="1"/>
  <autoFilter ref="A5:I2683">
    <filterColumn colId="3">
      <filters blank="1">
        <filter val="1,00"/>
        <filter val="1.600,00"/>
        <filter val="10,00"/>
        <filter val="260,00"/>
        <filter val="30,00"/>
        <filter val="300,00"/>
        <filter val="40,00"/>
        <filter val="600,00"/>
      </filters>
    </filterColumn>
  </autoFilter>
  <conditionalFormatting sqref="C6">
    <cfRule type="containsBlanks" dxfId="23" priority="38">
      <formula>LEN(TRIM(C6))=0</formula>
    </cfRule>
    <cfRule type="containsBlanks" priority="39">
      <formula>LEN(TRIM(C6))=0</formula>
    </cfRule>
  </conditionalFormatting>
  <conditionalFormatting sqref="C341:C354">
    <cfRule type="containsBlanks" dxfId="22" priority="36">
      <formula>LEN(TRIM(C341))=0</formula>
    </cfRule>
    <cfRule type="containsBlanks" priority="37">
      <formula>LEN(TRIM(C341))=0</formula>
    </cfRule>
  </conditionalFormatting>
  <conditionalFormatting sqref="C355:C356">
    <cfRule type="containsBlanks" dxfId="21" priority="34">
      <formula>LEN(TRIM(C355))=0</formula>
    </cfRule>
    <cfRule type="containsBlanks" priority="35">
      <formula>LEN(TRIM(C355))=0</formula>
    </cfRule>
  </conditionalFormatting>
  <conditionalFormatting sqref="C340">
    <cfRule type="containsBlanks" dxfId="20" priority="32">
      <formula>LEN(TRIM(C340))=0</formula>
    </cfRule>
    <cfRule type="containsBlanks" priority="33">
      <formula>LEN(TRIM(C340))=0</formula>
    </cfRule>
  </conditionalFormatting>
  <conditionalFormatting sqref="C942:C943">
    <cfRule type="containsBlanks" dxfId="19" priority="30">
      <formula>LEN(TRIM(C942))=0</formula>
    </cfRule>
    <cfRule type="containsBlanks" priority="31">
      <formula>LEN(TRIM(C942))=0</formula>
    </cfRule>
  </conditionalFormatting>
  <conditionalFormatting sqref="C59">
    <cfRule type="containsBlanks" dxfId="18" priority="28">
      <formula>LEN(TRIM(C59))=0</formula>
    </cfRule>
    <cfRule type="containsBlanks" priority="29">
      <formula>LEN(TRIM(C59))=0</formula>
    </cfRule>
  </conditionalFormatting>
  <conditionalFormatting sqref="C61">
    <cfRule type="containsBlanks" dxfId="17" priority="26">
      <formula>LEN(TRIM(C61))=0</formula>
    </cfRule>
    <cfRule type="containsBlanks" priority="27">
      <formula>LEN(TRIM(C61))=0</formula>
    </cfRule>
  </conditionalFormatting>
  <conditionalFormatting sqref="C1091">
    <cfRule type="containsBlanks" dxfId="16" priority="24">
      <formula>LEN(TRIM(C1091))=0</formula>
    </cfRule>
    <cfRule type="containsBlanks" priority="25">
      <formula>LEN(TRIM(C1091))=0</formula>
    </cfRule>
  </conditionalFormatting>
  <conditionalFormatting sqref="C1092">
    <cfRule type="containsBlanks" dxfId="15" priority="22">
      <formula>LEN(TRIM(C1092))=0</formula>
    </cfRule>
    <cfRule type="containsBlanks" priority="23">
      <formula>LEN(TRIM(C1092))=0</formula>
    </cfRule>
  </conditionalFormatting>
  <conditionalFormatting sqref="C1093:C1101">
    <cfRule type="containsBlanks" dxfId="14" priority="20">
      <formula>LEN(TRIM(C1093))=0</formula>
    </cfRule>
    <cfRule type="containsBlanks" priority="21">
      <formula>LEN(TRIM(C1093))=0</formula>
    </cfRule>
  </conditionalFormatting>
  <conditionalFormatting sqref="C1104:C1105">
    <cfRule type="containsBlanks" dxfId="13" priority="18">
      <formula>LEN(TRIM(C1104))=0</formula>
    </cfRule>
    <cfRule type="containsBlanks" priority="19">
      <formula>LEN(TRIM(C1104))=0</formula>
    </cfRule>
  </conditionalFormatting>
  <conditionalFormatting sqref="B2682 B371:B1299 B365 B6:B363">
    <cfRule type="duplicateValues" dxfId="12" priority="13"/>
  </conditionalFormatting>
  <conditionalFormatting sqref="B366:B370">
    <cfRule type="duplicateValues" dxfId="11" priority="12"/>
  </conditionalFormatting>
  <conditionalFormatting sqref="B364">
    <cfRule type="duplicateValues" dxfId="10" priority="11"/>
  </conditionalFormatting>
  <conditionalFormatting sqref="B1300:B1344">
    <cfRule type="duplicateValues" dxfId="9" priority="1968"/>
  </conditionalFormatting>
  <conditionalFormatting sqref="B1345:B1348">
    <cfRule type="duplicateValues" dxfId="8" priority="9"/>
  </conditionalFormatting>
  <conditionalFormatting sqref="B1349">
    <cfRule type="duplicateValues" dxfId="7" priority="8"/>
  </conditionalFormatting>
  <conditionalFormatting sqref="B1350">
    <cfRule type="duplicateValues" dxfId="6" priority="7"/>
  </conditionalFormatting>
  <conditionalFormatting sqref="B1351:B1383">
    <cfRule type="duplicateValues" dxfId="5" priority="6"/>
  </conditionalFormatting>
  <conditionalFormatting sqref="B1385">
    <cfRule type="duplicateValues" dxfId="4" priority="5"/>
  </conditionalFormatting>
  <conditionalFormatting sqref="B1384">
    <cfRule type="duplicateValues" dxfId="3" priority="4"/>
  </conditionalFormatting>
  <conditionalFormatting sqref="B1386:B1388">
    <cfRule type="duplicateValues" dxfId="2" priority="3"/>
  </conditionalFormatting>
  <conditionalFormatting sqref="B6:B2623 B2682:B3058">
    <cfRule type="duplicateValues" dxfId="1" priority="2619"/>
  </conditionalFormatting>
  <conditionalFormatting sqref="B2624:B2681">
    <cfRule type="duplicateValues" dxfId="0" priority="1"/>
  </conditionalFormatting>
  <printOptions horizontalCentered="1"/>
  <pageMargins left="0.19685039370078741" right="0.19685039370078741" top="1.1811023622047245" bottom="0.59055118110236227" header="0.19685039370078741" footer="0.19685039370078741"/>
  <pageSetup paperSize="9" scale="63"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E42"/>
  <sheetViews>
    <sheetView zoomScale="80" zoomScaleNormal="80" workbookViewId="0">
      <selection activeCell="E22" sqref="E22"/>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38.25" customHeight="1" x14ac:dyDescent="0.25">
      <c r="A1" s="134" t="str">
        <f>Orçamentária!A1</f>
        <v xml:space="preserve"> Substituição do carpete azul royal em partes do Edifício Principal do Senado Federal.</v>
      </c>
      <c r="B1" s="124"/>
      <c r="C1" s="124"/>
      <c r="D1" s="124"/>
      <c r="E1" s="124"/>
    </row>
    <row r="2" spans="1:5" ht="24.95" customHeight="1" x14ac:dyDescent="0.25">
      <c r="A2" s="107" t="s">
        <v>3250</v>
      </c>
      <c r="B2" s="107"/>
      <c r="C2" s="107"/>
      <c r="D2" s="107"/>
      <c r="E2" s="107"/>
    </row>
    <row r="3" spans="1:5" ht="18" customHeight="1" thickBot="1" x14ac:dyDescent="0.3">
      <c r="A3" s="126"/>
      <c r="B3" s="126"/>
      <c r="C3" s="127"/>
      <c r="D3" s="126"/>
      <c r="E3" s="126"/>
    </row>
    <row r="4" spans="1:5" ht="24.95" customHeight="1" thickBot="1" x14ac:dyDescent="0.3">
      <c r="A4" s="233" t="s">
        <v>3251</v>
      </c>
      <c r="B4" s="234"/>
      <c r="C4" s="235"/>
      <c r="D4" s="233" t="s">
        <v>3252</v>
      </c>
      <c r="E4" s="234"/>
    </row>
    <row r="5" spans="1:5" ht="20.100000000000001" customHeight="1" x14ac:dyDescent="0.25">
      <c r="A5" s="236" t="s">
        <v>3253</v>
      </c>
      <c r="B5" s="237" t="s">
        <v>3254</v>
      </c>
      <c r="C5" s="238"/>
      <c r="D5" s="236" t="s">
        <v>3253</v>
      </c>
      <c r="E5" s="237" t="s">
        <v>3254</v>
      </c>
    </row>
    <row r="6" spans="1:5" ht="20.100000000000001" customHeight="1" x14ac:dyDescent="0.25">
      <c r="A6" s="239"/>
      <c r="B6" s="240" t="s">
        <v>3255</v>
      </c>
      <c r="C6" s="238"/>
      <c r="D6" s="239"/>
      <c r="E6" s="240" t="s">
        <v>3255</v>
      </c>
    </row>
    <row r="7" spans="1:5" ht="20.100000000000001" customHeight="1" x14ac:dyDescent="0.25">
      <c r="A7" s="241"/>
      <c r="B7" s="242" t="s">
        <v>3256</v>
      </c>
      <c r="C7" s="238"/>
      <c r="D7" s="241"/>
      <c r="E7" s="242" t="s">
        <v>3256</v>
      </c>
    </row>
    <row r="8" spans="1:5" ht="20.100000000000001" customHeight="1" x14ac:dyDescent="0.25">
      <c r="A8" s="243" t="s">
        <v>3257</v>
      </c>
      <c r="B8" s="128">
        <v>3.5000000000000003E-2</v>
      </c>
      <c r="C8" s="244"/>
      <c r="D8" s="243" t="s">
        <v>3257</v>
      </c>
      <c r="E8" s="128">
        <v>1.7500000000000002E-2</v>
      </c>
    </row>
    <row r="9" spans="1:5" ht="20.100000000000001" customHeight="1" x14ac:dyDescent="0.25">
      <c r="A9" s="243" t="s">
        <v>3258</v>
      </c>
      <c r="B9" s="128">
        <v>8.0000000000000002E-3</v>
      </c>
      <c r="C9" s="244"/>
      <c r="D9" s="243" t="s">
        <v>3258</v>
      </c>
      <c r="E9" s="128">
        <v>3.8999999999999998E-3</v>
      </c>
    </row>
    <row r="10" spans="1:5" ht="20.100000000000001" customHeight="1" x14ac:dyDescent="0.25">
      <c r="A10" s="243" t="s">
        <v>3259</v>
      </c>
      <c r="B10" s="128">
        <v>1.2500000000000001E-2</v>
      </c>
      <c r="C10" s="244"/>
      <c r="D10" s="243" t="s">
        <v>3259</v>
      </c>
      <c r="E10" s="128">
        <v>5.5999999999999999E-3</v>
      </c>
    </row>
    <row r="11" spans="1:5" ht="20.100000000000001" customHeight="1" x14ac:dyDescent="0.25">
      <c r="A11" s="243" t="s">
        <v>3260</v>
      </c>
      <c r="B11" s="128">
        <v>7.6E-3</v>
      </c>
      <c r="C11" s="244"/>
      <c r="D11" s="243" t="s">
        <v>3260</v>
      </c>
      <c r="E11" s="128">
        <v>8.5000000000000006E-3</v>
      </c>
    </row>
    <row r="12" spans="1:5" ht="20.100000000000001" customHeight="1" x14ac:dyDescent="0.25">
      <c r="A12" s="243" t="s">
        <v>103</v>
      </c>
      <c r="B12" s="128">
        <v>6.7799999999999999E-2</v>
      </c>
      <c r="C12" s="244"/>
      <c r="D12" s="243" t="s">
        <v>103</v>
      </c>
      <c r="E12" s="128">
        <v>3.5000000000000003E-2</v>
      </c>
    </row>
    <row r="13" spans="1:5" ht="20.100000000000001" customHeight="1" x14ac:dyDescent="0.25">
      <c r="A13" s="243" t="s">
        <v>3261</v>
      </c>
      <c r="B13" s="128">
        <v>6.4999999999999997E-3</v>
      </c>
      <c r="C13" s="244"/>
      <c r="D13" s="243" t="s">
        <v>3261</v>
      </c>
      <c r="E13" s="128">
        <v>6.4999999999999997E-3</v>
      </c>
    </row>
    <row r="14" spans="1:5" ht="20.100000000000001" customHeight="1" x14ac:dyDescent="0.25">
      <c r="A14" s="243" t="s">
        <v>3262</v>
      </c>
      <c r="B14" s="128">
        <v>0.03</v>
      </c>
      <c r="C14" s="244"/>
      <c r="D14" s="243" t="s">
        <v>3262</v>
      </c>
      <c r="E14" s="128">
        <v>0.03</v>
      </c>
    </row>
    <row r="15" spans="1:5" ht="20.100000000000001" customHeight="1" x14ac:dyDescent="0.25">
      <c r="A15" s="243" t="s">
        <v>3263</v>
      </c>
      <c r="B15" s="128">
        <v>0</v>
      </c>
      <c r="C15" s="244"/>
      <c r="D15" s="243" t="s">
        <v>3263</v>
      </c>
      <c r="E15" s="128">
        <v>0</v>
      </c>
    </row>
    <row r="16" spans="1:5" ht="20.100000000000001" customHeight="1" x14ac:dyDescent="0.25">
      <c r="A16" s="243" t="s">
        <v>3264</v>
      </c>
      <c r="B16" s="128">
        <v>0.01</v>
      </c>
      <c r="C16" s="244"/>
      <c r="D16" s="243" t="s">
        <v>3264</v>
      </c>
      <c r="E16" s="128">
        <v>0</v>
      </c>
    </row>
    <row r="17" spans="1:5" ht="24.95" customHeight="1" thickBot="1" x14ac:dyDescent="0.3">
      <c r="A17" s="245" t="s">
        <v>3251</v>
      </c>
      <c r="B17" s="246">
        <f>ROUND(((1+B8+B9+B10)*(1+B11)*(1+B12))/(1-(B13+B14+B15+B16))-1,4)</f>
        <v>0.191</v>
      </c>
      <c r="C17" s="244"/>
      <c r="D17" s="247" t="s">
        <v>3252</v>
      </c>
      <c r="E17" s="246">
        <f>ROUND(((1+E8+E9+E10)*(1+E11)*(1+E12))/(1-(E13+E14+E15+E16))-1,4)</f>
        <v>0.11260000000000001</v>
      </c>
    </row>
    <row r="18" spans="1:5" x14ac:dyDescent="0.25">
      <c r="A18" s="248"/>
      <c r="B18" s="244"/>
      <c r="C18" s="249"/>
      <c r="D18" s="248"/>
      <c r="E18" s="244"/>
    </row>
    <row r="19" spans="1:5" x14ac:dyDescent="0.25">
      <c r="A19" s="250"/>
      <c r="B19" s="251"/>
      <c r="C19" s="244"/>
      <c r="D19" s="250"/>
      <c r="E19" s="251"/>
    </row>
    <row r="20" spans="1:5" x14ac:dyDescent="0.25">
      <c r="A20" s="250"/>
      <c r="B20" s="251"/>
      <c r="C20" s="244"/>
      <c r="D20" s="250"/>
      <c r="E20" s="251"/>
    </row>
    <row r="21" spans="1:5" x14ac:dyDescent="0.25">
      <c r="A21" s="252"/>
      <c r="B21" s="252"/>
      <c r="C21" s="252"/>
      <c r="D21" s="253"/>
      <c r="E21" s="252"/>
    </row>
    <row r="22" spans="1:5" x14ac:dyDescent="0.25">
      <c r="A22" s="252"/>
      <c r="B22" s="252"/>
      <c r="C22" s="252"/>
      <c r="D22" s="252"/>
      <c r="E22" s="252"/>
    </row>
    <row r="23" spans="1:5" x14ac:dyDescent="0.25">
      <c r="A23" s="252"/>
      <c r="B23" s="252"/>
      <c r="C23" s="252"/>
      <c r="D23" s="252"/>
      <c r="E23" s="252"/>
    </row>
    <row r="24" spans="1:5" x14ac:dyDescent="0.25">
      <c r="A24" s="252"/>
      <c r="B24" s="252"/>
      <c r="C24" s="252"/>
      <c r="D24" s="252"/>
      <c r="E24" s="252"/>
    </row>
    <row r="25" spans="1:5" x14ac:dyDescent="0.25">
      <c r="A25" s="252"/>
      <c r="B25" s="252"/>
      <c r="C25" s="252"/>
      <c r="D25" s="252"/>
      <c r="E25" s="252"/>
    </row>
    <row r="26" spans="1:5" x14ac:dyDescent="0.25">
      <c r="A26" s="252"/>
      <c r="B26" s="252"/>
      <c r="C26" s="252"/>
      <c r="D26" s="252"/>
      <c r="E26" s="252"/>
    </row>
    <row r="27" spans="1:5" x14ac:dyDescent="0.25">
      <c r="A27" s="252"/>
      <c r="B27" s="252"/>
      <c r="C27" s="252"/>
      <c r="D27" s="252"/>
      <c r="E27" s="252"/>
    </row>
    <row r="28" spans="1:5" x14ac:dyDescent="0.25">
      <c r="A28" s="252"/>
      <c r="B28" s="252"/>
      <c r="C28" s="252"/>
      <c r="D28" s="252"/>
      <c r="E28" s="252"/>
    </row>
    <row r="29" spans="1:5" x14ac:dyDescent="0.25">
      <c r="A29" s="252"/>
      <c r="B29" s="252"/>
      <c r="C29" s="252"/>
      <c r="D29" s="252"/>
      <c r="E29" s="252"/>
    </row>
    <row r="30" spans="1:5" x14ac:dyDescent="0.25">
      <c r="A30" s="252"/>
      <c r="B30" s="252"/>
      <c r="C30" s="252"/>
      <c r="D30" s="252"/>
      <c r="E30" s="252"/>
    </row>
    <row r="31" spans="1:5" x14ac:dyDescent="0.25">
      <c r="A31" s="252"/>
      <c r="B31" s="252"/>
      <c r="C31" s="252"/>
      <c r="D31" s="252"/>
      <c r="E31" s="252"/>
    </row>
    <row r="32" spans="1:5" x14ac:dyDescent="0.25">
      <c r="A32" s="252"/>
      <c r="B32" s="252"/>
      <c r="C32" s="252"/>
      <c r="D32" s="252"/>
      <c r="E32" s="252"/>
    </row>
    <row r="33" spans="1:5" x14ac:dyDescent="0.25">
      <c r="A33" s="252"/>
      <c r="B33" s="252"/>
      <c r="C33" s="252"/>
      <c r="D33" s="252"/>
      <c r="E33" s="252"/>
    </row>
    <row r="34" spans="1:5" x14ac:dyDescent="0.25">
      <c r="A34" s="252"/>
      <c r="B34" s="252"/>
      <c r="C34" s="252"/>
      <c r="D34" s="252"/>
      <c r="E34" s="252"/>
    </row>
    <row r="35" spans="1:5" x14ac:dyDescent="0.25">
      <c r="A35" s="252"/>
      <c r="B35" s="252"/>
      <c r="C35" s="252"/>
      <c r="D35" s="252"/>
      <c r="E35" s="252"/>
    </row>
    <row r="36" spans="1:5" x14ac:dyDescent="0.25">
      <c r="A36" s="252"/>
      <c r="B36" s="252"/>
      <c r="C36" s="252"/>
      <c r="D36" s="252"/>
      <c r="E36" s="252"/>
    </row>
    <row r="37" spans="1:5" x14ac:dyDescent="0.25">
      <c r="A37" s="252"/>
      <c r="B37" s="252"/>
      <c r="C37" s="252"/>
      <c r="D37" s="252"/>
      <c r="E37" s="252"/>
    </row>
    <row r="38" spans="1:5" x14ac:dyDescent="0.25">
      <c r="A38" s="252"/>
      <c r="B38" s="252"/>
      <c r="C38" s="252"/>
      <c r="D38" s="252"/>
      <c r="E38" s="252"/>
    </row>
    <row r="39" spans="1:5" x14ac:dyDescent="0.25">
      <c r="A39" s="252"/>
      <c r="B39" s="252"/>
      <c r="C39" s="252"/>
      <c r="D39" s="252"/>
      <c r="E39" s="252"/>
    </row>
    <row r="40" spans="1:5" ht="15.75" x14ac:dyDescent="0.25">
      <c r="A40" s="254" t="s">
        <v>3265</v>
      </c>
      <c r="B40" s="254"/>
      <c r="C40" s="254"/>
      <c r="D40" s="254"/>
      <c r="E40" s="254"/>
    </row>
    <row r="41" spans="1:5" x14ac:dyDescent="0.25">
      <c r="A41" s="117"/>
      <c r="B41" s="117"/>
      <c r="C41" s="117"/>
      <c r="D41" s="117"/>
      <c r="E41" s="117"/>
    </row>
    <row r="42" spans="1:5" x14ac:dyDescent="0.25">
      <c r="A42" s="117"/>
      <c r="B42" s="117"/>
      <c r="C42" s="117"/>
      <c r="D42" s="117"/>
      <c r="E42" s="117"/>
    </row>
  </sheetData>
  <sheetProtection algorithmName="SHA-512" hashValue="gpi5USFYNYTWuakWIyku98hf9C6IQNoLnFnR67Z2igyuSf5vjh7YYQITQaQWEcaYUTxtEGGtENQ2bq84+sg/+w==" saltValue="ZQ0pWHgf26D8a1pvA+wbEA==" spinCount="100000" sheet="1" objects="1" scenarios="1"/>
  <mergeCells count="3">
    <mergeCell ref="A5:A7"/>
    <mergeCell ref="D5:D7"/>
    <mergeCell ref="A40:E40"/>
  </mergeCells>
  <printOptions horizontalCentered="1"/>
  <pageMargins left="0.19685039370078741" right="0.19685039370078741" top="1.3779527559055118" bottom="0.59055118110236227" header="0.19685039370078741" footer="0.19685039370078741"/>
  <pageSetup paperSize="9" scale="65"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Composições</vt:lpstr>
      <vt:lpstr>Comp.Aux1</vt:lpstr>
      <vt:lpstr>Comp.Aux2</vt:lpstr>
      <vt:lpstr>Orçamentária</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 Ferreira Bispo de Souza</cp:lastModifiedBy>
  <cp:lastPrinted>2021-08-23T19:12:44Z</cp:lastPrinted>
  <dcterms:created xsi:type="dcterms:W3CDTF">2020-07-07T13:57:42Z</dcterms:created>
  <dcterms:modified xsi:type="dcterms:W3CDTF">2021-11-11T15:32:10Z</dcterms:modified>
</cp:coreProperties>
</file>